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45182</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68504-2020</t>
        </is>
      </c>
      <c r="B3" s="1" t="n">
        <v>44186</v>
      </c>
      <c r="C3" s="1" t="n">
        <v>45182</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f>
        <v/>
      </c>
      <c r="T3">
        <f>HYPERLINK("https://klasma.github.io/Logging_STROMSUND/kartor/A 68504-2020.png")</f>
        <v/>
      </c>
      <c r="V3">
        <f>HYPERLINK("https://klasma.github.io/Logging_STROMSUND/klagomål/A 68504-2020.docx")</f>
        <v/>
      </c>
      <c r="W3">
        <f>HYPERLINK("https://klasma.github.io/Logging_STROMSUND/klagomålsmail/A 68504-2020.docx")</f>
        <v/>
      </c>
      <c r="X3">
        <f>HYPERLINK("https://klasma.github.io/Logging_STROMSUND/tillsyn/A 68504-2020.docx")</f>
        <v/>
      </c>
      <c r="Y3">
        <f>HYPERLINK("https://klasma.github.io/Logging_STROMSUND/tillsynsmail/A 68504-2020.docx")</f>
        <v/>
      </c>
    </row>
    <row r="4" ht="15" customHeight="1">
      <c r="A4" t="inlineStr">
        <is>
          <t>A 32323-2023</t>
        </is>
      </c>
      <c r="B4" s="1" t="n">
        <v>45110</v>
      </c>
      <c r="C4" s="1" t="n">
        <v>45182</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f>
        <v/>
      </c>
      <c r="T4">
        <f>HYPERLINK("https://klasma.github.io/Logging_BERG/kartor/A 32323-2023.png")</f>
        <v/>
      </c>
      <c r="V4">
        <f>HYPERLINK("https://klasma.github.io/Logging_BERG/klagomål/A 32323-2023.docx")</f>
        <v/>
      </c>
      <c r="W4">
        <f>HYPERLINK("https://klasma.github.io/Logging_BERG/klagomålsmail/A 32323-2023.docx")</f>
        <v/>
      </c>
      <c r="X4">
        <f>HYPERLINK("https://klasma.github.io/Logging_BERG/tillsyn/A 32323-2023.docx")</f>
        <v/>
      </c>
      <c r="Y4">
        <f>HYPERLINK("https://klasma.github.io/Logging_BERG/tillsynsmail/A 32323-2023.docx")</f>
        <v/>
      </c>
    </row>
    <row r="5" ht="15" customHeight="1">
      <c r="A5" t="inlineStr">
        <is>
          <t>A 34324-2022</t>
        </is>
      </c>
      <c r="B5" s="1" t="n">
        <v>44792</v>
      </c>
      <c r="C5" s="1" t="n">
        <v>45182</v>
      </c>
      <c r="D5" t="inlineStr">
        <is>
          <t>JÄMTLANDS LÄN</t>
        </is>
      </c>
      <c r="E5" t="inlineStr">
        <is>
          <t>HÄRJEDALEN</t>
        </is>
      </c>
      <c r="F5" t="inlineStr">
        <is>
          <t>Bergvik skog väst AB</t>
        </is>
      </c>
      <c r="G5" t="n">
        <v>29.1</v>
      </c>
      <c r="H5" t="n">
        <v>2</v>
      </c>
      <c r="I5" t="n">
        <v>6</v>
      </c>
      <c r="J5" t="n">
        <v>24</v>
      </c>
      <c r="K5" t="n">
        <v>7</v>
      </c>
      <c r="L5" t="n">
        <v>0</v>
      </c>
      <c r="M5" t="n">
        <v>0</v>
      </c>
      <c r="N5" t="n">
        <v>0</v>
      </c>
      <c r="O5" t="n">
        <v>31</v>
      </c>
      <c r="P5" t="n">
        <v>7</v>
      </c>
      <c r="Q5" t="n">
        <v>37</v>
      </c>
      <c r="R5"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5">
        <f>HYPERLINK("https://klasma.github.io/Logging_HARJEDALEN/artfynd/A 34324-2022.xlsx")</f>
        <v/>
      </c>
      <c r="T5">
        <f>HYPERLINK("https://klasma.github.io/Logging_HARJEDALEN/kartor/A 34324-2022.png")</f>
        <v/>
      </c>
      <c r="V5">
        <f>HYPERLINK("https://klasma.github.io/Logging_HARJEDALEN/klagomål/A 34324-2022.docx")</f>
        <v/>
      </c>
      <c r="W5">
        <f>HYPERLINK("https://klasma.github.io/Logging_HARJEDALEN/klagomålsmail/A 34324-2022.docx")</f>
        <v/>
      </c>
      <c r="X5">
        <f>HYPERLINK("https://klasma.github.io/Logging_HARJEDALEN/tillsyn/A 34324-2022.docx")</f>
        <v/>
      </c>
      <c r="Y5">
        <f>HYPERLINK("https://klasma.github.io/Logging_HARJEDALEN/tillsynsmail/A 34324-2022.docx")</f>
        <v/>
      </c>
    </row>
    <row r="6" ht="15" customHeight="1">
      <c r="A6" t="inlineStr">
        <is>
          <t>A 55797-2018</t>
        </is>
      </c>
      <c r="B6" s="1" t="n">
        <v>43392</v>
      </c>
      <c r="C6" s="1" t="n">
        <v>45182</v>
      </c>
      <c r="D6" t="inlineStr">
        <is>
          <t>JÄMTLANDS LÄN</t>
        </is>
      </c>
      <c r="E6" t="inlineStr">
        <is>
          <t>KROKOM</t>
        </is>
      </c>
      <c r="G6" t="n">
        <v>88.2</v>
      </c>
      <c r="H6" t="n">
        <v>4</v>
      </c>
      <c r="I6" t="n">
        <v>15</v>
      </c>
      <c r="J6" t="n">
        <v>18</v>
      </c>
      <c r="K6" t="n">
        <v>3</v>
      </c>
      <c r="L6" t="n">
        <v>0</v>
      </c>
      <c r="M6" t="n">
        <v>0</v>
      </c>
      <c r="N6" t="n">
        <v>0</v>
      </c>
      <c r="O6" t="n">
        <v>21</v>
      </c>
      <c r="P6" t="n">
        <v>3</v>
      </c>
      <c r="Q6" t="n">
        <v>36</v>
      </c>
      <c r="R6"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6">
        <f>HYPERLINK("https://klasma.github.io/Logging_KROKOM/artfynd/A 55797-2018.xlsx")</f>
        <v/>
      </c>
      <c r="T6">
        <f>HYPERLINK("https://klasma.github.io/Logging_KROKOM/kartor/A 55797-2018.png")</f>
        <v/>
      </c>
      <c r="V6">
        <f>HYPERLINK("https://klasma.github.io/Logging_KROKOM/klagomål/A 55797-2018.docx")</f>
        <v/>
      </c>
      <c r="W6">
        <f>HYPERLINK("https://klasma.github.io/Logging_KROKOM/klagomålsmail/A 55797-2018.docx")</f>
        <v/>
      </c>
      <c r="X6">
        <f>HYPERLINK("https://klasma.github.io/Logging_KROKOM/tillsyn/A 55797-2018.docx")</f>
        <v/>
      </c>
      <c r="Y6">
        <f>HYPERLINK("https://klasma.github.io/Logging_KROKOM/tillsynsmail/A 55797-2018.docx")</f>
        <v/>
      </c>
    </row>
    <row r="7" ht="15" customHeight="1">
      <c r="A7" t="inlineStr">
        <is>
          <t>A 47079-2019</t>
        </is>
      </c>
      <c r="B7" s="1" t="n">
        <v>43720</v>
      </c>
      <c r="C7" s="1" t="n">
        <v>45182</v>
      </c>
      <c r="D7" t="inlineStr">
        <is>
          <t>JÄMTLANDS LÄN</t>
        </is>
      </c>
      <c r="E7" t="inlineStr">
        <is>
          <t>STRÖMSUND</t>
        </is>
      </c>
      <c r="F7" t="inlineStr">
        <is>
          <t>SCA</t>
        </is>
      </c>
      <c r="G7" t="n">
        <v>16.4</v>
      </c>
      <c r="H7" t="n">
        <v>8</v>
      </c>
      <c r="I7" t="n">
        <v>14</v>
      </c>
      <c r="J7" t="n">
        <v>14</v>
      </c>
      <c r="K7" t="n">
        <v>5</v>
      </c>
      <c r="L7" t="n">
        <v>0</v>
      </c>
      <c r="M7" t="n">
        <v>0</v>
      </c>
      <c r="N7" t="n">
        <v>0</v>
      </c>
      <c r="O7" t="n">
        <v>19</v>
      </c>
      <c r="P7" t="n">
        <v>5</v>
      </c>
      <c r="Q7" t="n">
        <v>35</v>
      </c>
      <c r="R7"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7">
        <f>HYPERLINK("https://klasma.github.io/Logging_STROMSUND/artfynd/A 47079-2019.xlsx")</f>
        <v/>
      </c>
      <c r="T7">
        <f>HYPERLINK("https://klasma.github.io/Logging_STROMSUND/kartor/A 47079-2019.png")</f>
        <v/>
      </c>
      <c r="U7">
        <f>HYPERLINK("https://klasma.github.io/Logging_STROMSUND/knärot/A 47079-2019.png")</f>
        <v/>
      </c>
      <c r="V7">
        <f>HYPERLINK("https://klasma.github.io/Logging_STROMSUND/klagomål/A 47079-2019.docx")</f>
        <v/>
      </c>
      <c r="W7">
        <f>HYPERLINK("https://klasma.github.io/Logging_STROMSUND/klagomålsmail/A 47079-2019.docx")</f>
        <v/>
      </c>
      <c r="X7">
        <f>HYPERLINK("https://klasma.github.io/Logging_STROMSUND/tillsyn/A 47079-2019.docx")</f>
        <v/>
      </c>
      <c r="Y7">
        <f>HYPERLINK("https://klasma.github.io/Logging_STROMSUND/tillsynsmail/A 47079-2019.docx")</f>
        <v/>
      </c>
    </row>
    <row r="8" ht="15" customHeight="1">
      <c r="A8" t="inlineStr">
        <is>
          <t>A 239-2021</t>
        </is>
      </c>
      <c r="B8" s="1" t="n">
        <v>44200</v>
      </c>
      <c r="C8" s="1" t="n">
        <v>45182</v>
      </c>
      <c r="D8" t="inlineStr">
        <is>
          <t>JÄMTLANDS LÄN</t>
        </is>
      </c>
      <c r="E8" t="inlineStr">
        <is>
          <t>STRÖMSUND</t>
        </is>
      </c>
      <c r="F8" t="inlineStr">
        <is>
          <t>Holmen skog AB</t>
        </is>
      </c>
      <c r="G8" t="n">
        <v>171.4</v>
      </c>
      <c r="H8" t="n">
        <v>5</v>
      </c>
      <c r="I8" t="n">
        <v>16</v>
      </c>
      <c r="J8" t="n">
        <v>15</v>
      </c>
      <c r="K8" t="n">
        <v>3</v>
      </c>
      <c r="L8" t="n">
        <v>0</v>
      </c>
      <c r="M8" t="n">
        <v>0</v>
      </c>
      <c r="N8" t="n">
        <v>0</v>
      </c>
      <c r="O8" t="n">
        <v>18</v>
      </c>
      <c r="P8" t="n">
        <v>3</v>
      </c>
      <c r="Q8" t="n">
        <v>35</v>
      </c>
      <c r="R8"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8">
        <f>HYPERLINK("https://klasma.github.io/Logging_STROMSUND/artfynd/A 239-2021.xlsx")</f>
        <v/>
      </c>
      <c r="T8">
        <f>HYPERLINK("https://klasma.github.io/Logging_STROMSUND/kartor/A 239-2021.png")</f>
        <v/>
      </c>
      <c r="V8">
        <f>HYPERLINK("https://klasma.github.io/Logging_STROMSUND/klagomål/A 239-2021.docx")</f>
        <v/>
      </c>
      <c r="W8">
        <f>HYPERLINK("https://klasma.github.io/Logging_STROMSUND/klagomålsmail/A 239-2021.docx")</f>
        <v/>
      </c>
      <c r="X8">
        <f>HYPERLINK("https://klasma.github.io/Logging_STROMSUND/tillsyn/A 239-2021.docx")</f>
        <v/>
      </c>
      <c r="Y8">
        <f>HYPERLINK("https://klasma.github.io/Logging_STROMSUND/tillsynsmail/A 239-2021.docx")</f>
        <v/>
      </c>
    </row>
    <row r="9" ht="15" customHeight="1">
      <c r="A9" t="inlineStr">
        <is>
          <t>A 67089-2021</t>
        </is>
      </c>
      <c r="B9" s="1" t="n">
        <v>44522</v>
      </c>
      <c r="C9" s="1" t="n">
        <v>45182</v>
      </c>
      <c r="D9" t="inlineStr">
        <is>
          <t>JÄMTLANDS LÄN</t>
        </is>
      </c>
      <c r="E9" t="inlineStr">
        <is>
          <t>KROKOM</t>
        </is>
      </c>
      <c r="G9" t="n">
        <v>15.4</v>
      </c>
      <c r="H9" t="n">
        <v>7</v>
      </c>
      <c r="I9" t="n">
        <v>11</v>
      </c>
      <c r="J9" t="n">
        <v>19</v>
      </c>
      <c r="K9" t="n">
        <v>2</v>
      </c>
      <c r="L9" t="n">
        <v>1</v>
      </c>
      <c r="M9" t="n">
        <v>0</v>
      </c>
      <c r="N9" t="n">
        <v>0</v>
      </c>
      <c r="O9" t="n">
        <v>22</v>
      </c>
      <c r="P9" t="n">
        <v>3</v>
      </c>
      <c r="Q9" t="n">
        <v>34</v>
      </c>
      <c r="R9"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9">
        <f>HYPERLINK("https://klasma.github.io/Logging_KROKOM/artfynd/A 67089-2021.xlsx")</f>
        <v/>
      </c>
      <c r="T9">
        <f>HYPERLINK("https://klasma.github.io/Logging_KROKOM/kartor/A 67089-2021.png")</f>
        <v/>
      </c>
      <c r="V9">
        <f>HYPERLINK("https://klasma.github.io/Logging_KROKOM/klagomål/A 67089-2021.docx")</f>
        <v/>
      </c>
      <c r="W9">
        <f>HYPERLINK("https://klasma.github.io/Logging_KROKOM/klagomålsmail/A 67089-2021.docx")</f>
        <v/>
      </c>
      <c r="X9">
        <f>HYPERLINK("https://klasma.github.io/Logging_KROKOM/tillsyn/A 67089-2021.docx")</f>
        <v/>
      </c>
      <c r="Y9">
        <f>HYPERLINK("https://klasma.github.io/Logging_KROKOM/tillsynsmail/A 67089-2021.docx")</f>
        <v/>
      </c>
    </row>
    <row r="10" ht="15" customHeight="1">
      <c r="A10" t="inlineStr">
        <is>
          <t>A 52744-2022</t>
        </is>
      </c>
      <c r="B10" s="1" t="n">
        <v>44874</v>
      </c>
      <c r="C10" s="1" t="n">
        <v>45182</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f>
        <v/>
      </c>
      <c r="T10">
        <f>HYPERLINK("https://klasma.github.io/Logging_RAGUNDA/kartor/A 52744-2022.png")</f>
        <v/>
      </c>
      <c r="U10">
        <f>HYPERLINK("https://klasma.github.io/Logging_RAGUNDA/knärot/A 52744-2022.png")</f>
        <v/>
      </c>
      <c r="V10">
        <f>HYPERLINK("https://klasma.github.io/Logging_RAGUNDA/klagomål/A 52744-2022.docx")</f>
        <v/>
      </c>
      <c r="W10">
        <f>HYPERLINK("https://klasma.github.io/Logging_RAGUNDA/klagomålsmail/A 52744-2022.docx")</f>
        <v/>
      </c>
      <c r="X10">
        <f>HYPERLINK("https://klasma.github.io/Logging_RAGUNDA/tillsyn/A 52744-2022.docx")</f>
        <v/>
      </c>
      <c r="Y10">
        <f>HYPERLINK("https://klasma.github.io/Logging_RAGUNDA/tillsynsmail/A 52744-2022.docx")</f>
        <v/>
      </c>
    </row>
    <row r="11" ht="15" customHeight="1">
      <c r="A11" t="inlineStr">
        <is>
          <t>A 13357-2023</t>
        </is>
      </c>
      <c r="B11" s="1" t="n">
        <v>45005</v>
      </c>
      <c r="C11" s="1" t="n">
        <v>45182</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f>
        <v/>
      </c>
      <c r="T11">
        <f>HYPERLINK("https://klasma.github.io/Logging_STROMSUND/kartor/A 13357-2023.png")</f>
        <v/>
      </c>
      <c r="V11">
        <f>HYPERLINK("https://klasma.github.io/Logging_STROMSUND/klagomål/A 13357-2023.docx")</f>
        <v/>
      </c>
      <c r="W11">
        <f>HYPERLINK("https://klasma.github.io/Logging_STROMSUND/klagomålsmail/A 13357-2023.docx")</f>
        <v/>
      </c>
      <c r="X11">
        <f>HYPERLINK("https://klasma.github.io/Logging_STROMSUND/tillsyn/A 13357-2023.docx")</f>
        <v/>
      </c>
      <c r="Y11">
        <f>HYPERLINK("https://klasma.github.io/Logging_STROMSUND/tillsynsmail/A 13357-2023.docx")</f>
        <v/>
      </c>
    </row>
    <row r="12" ht="15" customHeight="1">
      <c r="A12" t="inlineStr">
        <is>
          <t>A 46978-2020</t>
        </is>
      </c>
      <c r="B12" s="1" t="n">
        <v>44090</v>
      </c>
      <c r="C12" s="1" t="n">
        <v>45182</v>
      </c>
      <c r="D12" t="inlineStr">
        <is>
          <t>JÄMTLANDS LÄN</t>
        </is>
      </c>
      <c r="E12" t="inlineStr">
        <is>
          <t>ÅRE</t>
        </is>
      </c>
      <c r="G12" t="n">
        <v>64.40000000000001</v>
      </c>
      <c r="H12" t="n">
        <v>3</v>
      </c>
      <c r="I12" t="n">
        <v>8</v>
      </c>
      <c r="J12" t="n">
        <v>18</v>
      </c>
      <c r="K12" t="n">
        <v>6</v>
      </c>
      <c r="L12" t="n">
        <v>0</v>
      </c>
      <c r="M12" t="n">
        <v>0</v>
      </c>
      <c r="N12" t="n">
        <v>0</v>
      </c>
      <c r="O12" t="n">
        <v>24</v>
      </c>
      <c r="P12" t="n">
        <v>6</v>
      </c>
      <c r="Q12" t="n">
        <v>32</v>
      </c>
      <c r="R1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2">
        <f>HYPERLINK("https://klasma.github.io/Logging_ARE/artfynd/A 46978-2020.xlsx")</f>
        <v/>
      </c>
      <c r="T12">
        <f>HYPERLINK("https://klasma.github.io/Logging_ARE/kartor/A 46978-2020.png")</f>
        <v/>
      </c>
      <c r="V12">
        <f>HYPERLINK("https://klasma.github.io/Logging_ARE/klagomål/A 46978-2020.docx")</f>
        <v/>
      </c>
      <c r="W12">
        <f>HYPERLINK("https://klasma.github.io/Logging_ARE/klagomålsmail/A 46978-2020.docx")</f>
        <v/>
      </c>
      <c r="X12">
        <f>HYPERLINK("https://klasma.github.io/Logging_ARE/tillsyn/A 46978-2020.docx")</f>
        <v/>
      </c>
      <c r="Y12">
        <f>HYPERLINK("https://klasma.github.io/Logging_ARE/tillsynsmail/A 46978-2020.docx")</f>
        <v/>
      </c>
    </row>
    <row r="13" ht="15" customHeight="1">
      <c r="A13" t="inlineStr">
        <is>
          <t>A 64018-2020</t>
        </is>
      </c>
      <c r="B13" s="1" t="n">
        <v>44165</v>
      </c>
      <c r="C13" s="1" t="n">
        <v>45182</v>
      </c>
      <c r="D13" t="inlineStr">
        <is>
          <t>JÄMTLANDS LÄN</t>
        </is>
      </c>
      <c r="E13" t="inlineStr">
        <is>
          <t>BRÄCKE</t>
        </is>
      </c>
      <c r="G13" t="n">
        <v>33.2</v>
      </c>
      <c r="H13" t="n">
        <v>12</v>
      </c>
      <c r="I13" t="n">
        <v>14</v>
      </c>
      <c r="J13" t="n">
        <v>10</v>
      </c>
      <c r="K13" t="n">
        <v>3</v>
      </c>
      <c r="L13" t="n">
        <v>0</v>
      </c>
      <c r="M13" t="n">
        <v>0</v>
      </c>
      <c r="N13" t="n">
        <v>0</v>
      </c>
      <c r="O13" t="n">
        <v>13</v>
      </c>
      <c r="P13" t="n">
        <v>3</v>
      </c>
      <c r="Q13" t="n">
        <v>32</v>
      </c>
      <c r="R1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3">
        <f>HYPERLINK("https://klasma.github.io/Logging_BRACKE/artfynd/A 64018-2020.xlsx")</f>
        <v/>
      </c>
      <c r="T13">
        <f>HYPERLINK("https://klasma.github.io/Logging_BRACKE/kartor/A 64018-2020.png")</f>
        <v/>
      </c>
      <c r="U13">
        <f>HYPERLINK("https://klasma.github.io/Logging_BRACKE/knärot/A 64018-2020.png")</f>
        <v/>
      </c>
      <c r="V13">
        <f>HYPERLINK("https://klasma.github.io/Logging_BRACKE/klagomål/A 64018-2020.docx")</f>
        <v/>
      </c>
      <c r="W13">
        <f>HYPERLINK("https://klasma.github.io/Logging_BRACKE/klagomålsmail/A 64018-2020.docx")</f>
        <v/>
      </c>
      <c r="X13">
        <f>HYPERLINK("https://klasma.github.io/Logging_BRACKE/tillsyn/A 64018-2020.docx")</f>
        <v/>
      </c>
      <c r="Y13">
        <f>HYPERLINK("https://klasma.github.io/Logging_BRACKE/tillsynsmail/A 64018-2020.docx")</f>
        <v/>
      </c>
    </row>
    <row r="14" ht="15" customHeight="1">
      <c r="A14" t="inlineStr">
        <is>
          <t>A 37096-2023</t>
        </is>
      </c>
      <c r="B14" s="1" t="n">
        <v>45155</v>
      </c>
      <c r="C14" s="1" t="n">
        <v>45182</v>
      </c>
      <c r="D14" t="inlineStr">
        <is>
          <t>JÄMTLANDS LÄN</t>
        </is>
      </c>
      <c r="E14" t="inlineStr">
        <is>
          <t>ÖSTERSUND</t>
        </is>
      </c>
      <c r="G14" t="n">
        <v>70.59999999999999</v>
      </c>
      <c r="H14" t="n">
        <v>10</v>
      </c>
      <c r="I14" t="n">
        <v>8</v>
      </c>
      <c r="J14" t="n">
        <v>14</v>
      </c>
      <c r="K14" t="n">
        <v>7</v>
      </c>
      <c r="L14" t="n">
        <v>0</v>
      </c>
      <c r="M14" t="n">
        <v>0</v>
      </c>
      <c r="N14" t="n">
        <v>0</v>
      </c>
      <c r="O14" t="n">
        <v>21</v>
      </c>
      <c r="P14" t="n">
        <v>7</v>
      </c>
      <c r="Q14" t="n">
        <v>32</v>
      </c>
      <c r="R14"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14">
        <f>HYPERLINK("https://klasma.github.io/Logging_OSTERSUND/artfynd/A 37096-2023.xlsx")</f>
        <v/>
      </c>
      <c r="T14">
        <f>HYPERLINK("https://klasma.github.io/Logging_OSTERSUND/kartor/A 37096-2023.png")</f>
        <v/>
      </c>
      <c r="U14">
        <f>HYPERLINK("https://klasma.github.io/Logging_OSTERSUND/knärot/A 37096-2023.png")</f>
        <v/>
      </c>
      <c r="V14">
        <f>HYPERLINK("https://klasma.github.io/Logging_OSTERSUND/klagomål/A 37096-2023.docx")</f>
        <v/>
      </c>
      <c r="W14">
        <f>HYPERLINK("https://klasma.github.io/Logging_OSTERSUND/klagomålsmail/A 37096-2023.docx")</f>
        <v/>
      </c>
      <c r="X14">
        <f>HYPERLINK("https://klasma.github.io/Logging_OSTERSUND/tillsyn/A 37096-2023.docx")</f>
        <v/>
      </c>
      <c r="Y14">
        <f>HYPERLINK("https://klasma.github.io/Logging_OSTERSUND/tillsynsmail/A 37096-2023.docx")</f>
        <v/>
      </c>
    </row>
    <row r="15" ht="15" customHeight="1">
      <c r="A15" t="inlineStr">
        <is>
          <t>A 29992-2023</t>
        </is>
      </c>
      <c r="B15" s="1" t="n">
        <v>45109</v>
      </c>
      <c r="C15" s="1" t="n">
        <v>45182</v>
      </c>
      <c r="D15" t="inlineStr">
        <is>
          <t>JÄMTLANDS LÄN</t>
        </is>
      </c>
      <c r="E15" t="inlineStr">
        <is>
          <t>ÖSTERSUND</t>
        </is>
      </c>
      <c r="G15" t="n">
        <v>93.3</v>
      </c>
      <c r="H15" t="n">
        <v>9</v>
      </c>
      <c r="I15" t="n">
        <v>11</v>
      </c>
      <c r="J15" t="n">
        <v>12</v>
      </c>
      <c r="K15" t="n">
        <v>3</v>
      </c>
      <c r="L15" t="n">
        <v>1</v>
      </c>
      <c r="M15" t="n">
        <v>0</v>
      </c>
      <c r="N15" t="n">
        <v>0</v>
      </c>
      <c r="O15" t="n">
        <v>16</v>
      </c>
      <c r="P15" t="n">
        <v>4</v>
      </c>
      <c r="Q15" t="n">
        <v>30</v>
      </c>
      <c r="R15" s="2" t="inlineStr">
        <is>
          <t>Blylav
Knärot
Rynkskinn
Smalskaftslav
Barrviolspindling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f>
        <v/>
      </c>
      <c r="T15">
        <f>HYPERLINK("https://klasma.github.io/Logging_OSTERSUND/kartor/A 29992-2023.png")</f>
        <v/>
      </c>
      <c r="U15">
        <f>HYPERLINK("https://klasma.github.io/Logging_OSTERSUND/knärot/A 29992-2023.png")</f>
        <v/>
      </c>
      <c r="V15">
        <f>HYPERLINK("https://klasma.github.io/Logging_OSTERSUND/klagomål/A 29992-2023.docx")</f>
        <v/>
      </c>
      <c r="W15">
        <f>HYPERLINK("https://klasma.github.io/Logging_OSTERSUND/klagomålsmail/A 29992-2023.docx")</f>
        <v/>
      </c>
      <c r="X15">
        <f>HYPERLINK("https://klasma.github.io/Logging_OSTERSUND/tillsyn/A 29992-2023.docx")</f>
        <v/>
      </c>
      <c r="Y15">
        <f>HYPERLINK("https://klasma.github.io/Logging_OSTERSUND/tillsynsmail/A 29992-2023.docx")</f>
        <v/>
      </c>
    </row>
    <row r="16" ht="15" customHeight="1">
      <c r="A16" t="inlineStr">
        <is>
          <t>A 66164-2020</t>
        </is>
      </c>
      <c r="B16" s="1" t="n">
        <v>44175</v>
      </c>
      <c r="C16" s="1" t="n">
        <v>45182</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f>
        <v/>
      </c>
      <c r="T16">
        <f>HYPERLINK("https://klasma.github.io/Logging_STROMSUND/kartor/A 66164-2020.png")</f>
        <v/>
      </c>
      <c r="V16">
        <f>HYPERLINK("https://klasma.github.io/Logging_STROMSUND/klagomål/A 66164-2020.docx")</f>
        <v/>
      </c>
      <c r="W16">
        <f>HYPERLINK("https://klasma.github.io/Logging_STROMSUND/klagomålsmail/A 66164-2020.docx")</f>
        <v/>
      </c>
      <c r="X16">
        <f>HYPERLINK("https://klasma.github.io/Logging_STROMSUND/tillsyn/A 66164-2020.docx")</f>
        <v/>
      </c>
      <c r="Y16">
        <f>HYPERLINK("https://klasma.github.io/Logging_STROMSUND/tillsynsmail/A 66164-2020.docx")</f>
        <v/>
      </c>
    </row>
    <row r="17" ht="15" customHeight="1">
      <c r="A17" t="inlineStr">
        <is>
          <t>A 33650-2019</t>
        </is>
      </c>
      <c r="B17" s="1" t="n">
        <v>43651</v>
      </c>
      <c r="C17" s="1" t="n">
        <v>45182</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f>
        <v/>
      </c>
      <c r="T17">
        <f>HYPERLINK("https://klasma.github.io/Logging_STROMSUND/kartor/A 33650-2019.png")</f>
        <v/>
      </c>
      <c r="V17">
        <f>HYPERLINK("https://klasma.github.io/Logging_STROMSUND/klagomål/A 33650-2019.docx")</f>
        <v/>
      </c>
      <c r="W17">
        <f>HYPERLINK("https://klasma.github.io/Logging_STROMSUND/klagomålsmail/A 33650-2019.docx")</f>
        <v/>
      </c>
      <c r="X17">
        <f>HYPERLINK("https://klasma.github.io/Logging_STROMSUND/tillsyn/A 33650-2019.docx")</f>
        <v/>
      </c>
      <c r="Y17">
        <f>HYPERLINK("https://klasma.github.io/Logging_STROMSUND/tillsynsmail/A 33650-2019.docx")</f>
        <v/>
      </c>
    </row>
    <row r="18" ht="15" customHeight="1">
      <c r="A18" t="inlineStr">
        <is>
          <t>A 36808-2019</t>
        </is>
      </c>
      <c r="B18" s="1" t="n">
        <v>43672</v>
      </c>
      <c r="C18" s="1" t="n">
        <v>45182</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f>
        <v/>
      </c>
      <c r="T18">
        <f>HYPERLINK("https://klasma.github.io/Logging_BERG/kartor/A 36808-2019.png")</f>
        <v/>
      </c>
      <c r="V18">
        <f>HYPERLINK("https://klasma.github.io/Logging_BERG/klagomål/A 36808-2019.docx")</f>
        <v/>
      </c>
      <c r="W18">
        <f>HYPERLINK("https://klasma.github.io/Logging_BERG/klagomålsmail/A 36808-2019.docx")</f>
        <v/>
      </c>
      <c r="X18">
        <f>HYPERLINK("https://klasma.github.io/Logging_BERG/tillsyn/A 36808-2019.docx")</f>
        <v/>
      </c>
      <c r="Y18">
        <f>HYPERLINK("https://klasma.github.io/Logging_BERG/tillsynsmail/A 36808-2019.docx")</f>
        <v/>
      </c>
    </row>
    <row r="19" ht="15" customHeight="1">
      <c r="A19" t="inlineStr">
        <is>
          <t>A 32045-2020</t>
        </is>
      </c>
      <c r="B19" s="1" t="n">
        <v>44014</v>
      </c>
      <c r="C19" s="1" t="n">
        <v>45182</v>
      </c>
      <c r="D19" t="inlineStr">
        <is>
          <t>JÄMTLANDS LÄN</t>
        </is>
      </c>
      <c r="E19" t="inlineStr">
        <is>
          <t>KROKOM</t>
        </is>
      </c>
      <c r="F19" t="inlineStr">
        <is>
          <t>Övriga Aktiebolag</t>
        </is>
      </c>
      <c r="G19" t="n">
        <v>315.8</v>
      </c>
      <c r="H19" t="n">
        <v>7</v>
      </c>
      <c r="I19" t="n">
        <v>8</v>
      </c>
      <c r="J19" t="n">
        <v>13</v>
      </c>
      <c r="K19" t="n">
        <v>3</v>
      </c>
      <c r="L19" t="n">
        <v>0</v>
      </c>
      <c r="M19" t="n">
        <v>0</v>
      </c>
      <c r="N19" t="n">
        <v>0</v>
      </c>
      <c r="O19" t="n">
        <v>16</v>
      </c>
      <c r="P19" t="n">
        <v>3</v>
      </c>
      <c r="Q19" t="n">
        <v>26</v>
      </c>
      <c r="R19"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19">
        <f>HYPERLINK("https://klasma.github.io/Logging_KROKOM/artfynd/A 32045-2020.xlsx")</f>
        <v/>
      </c>
      <c r="T19">
        <f>HYPERLINK("https://klasma.github.io/Logging_KROKOM/kartor/A 32045-2020.png")</f>
        <v/>
      </c>
      <c r="V19">
        <f>HYPERLINK("https://klasma.github.io/Logging_KROKOM/klagomål/A 32045-2020.docx")</f>
        <v/>
      </c>
      <c r="W19">
        <f>HYPERLINK("https://klasma.github.io/Logging_KROKOM/klagomålsmail/A 32045-2020.docx")</f>
        <v/>
      </c>
      <c r="X19">
        <f>HYPERLINK("https://klasma.github.io/Logging_KROKOM/tillsyn/A 32045-2020.docx")</f>
        <v/>
      </c>
      <c r="Y19">
        <f>HYPERLINK("https://klasma.github.io/Logging_KROKOM/tillsynsmail/A 32045-2020.docx")</f>
        <v/>
      </c>
    </row>
    <row r="20" ht="15" customHeight="1">
      <c r="A20" t="inlineStr">
        <is>
          <t>A 33875-2021</t>
        </is>
      </c>
      <c r="B20" s="1" t="n">
        <v>44378</v>
      </c>
      <c r="C20" s="1" t="n">
        <v>45182</v>
      </c>
      <c r="D20" t="inlineStr">
        <is>
          <t>JÄMTLANDS LÄN</t>
        </is>
      </c>
      <c r="E20" t="inlineStr">
        <is>
          <t>KROKOM</t>
        </is>
      </c>
      <c r="G20" t="n">
        <v>31.9</v>
      </c>
      <c r="H20" t="n">
        <v>1</v>
      </c>
      <c r="I20" t="n">
        <v>11</v>
      </c>
      <c r="J20" t="n">
        <v>11</v>
      </c>
      <c r="K20" t="n">
        <v>4</v>
      </c>
      <c r="L20" t="n">
        <v>0</v>
      </c>
      <c r="M20" t="n">
        <v>0</v>
      </c>
      <c r="N20" t="n">
        <v>0</v>
      </c>
      <c r="O20" t="n">
        <v>15</v>
      </c>
      <c r="P20" t="n">
        <v>4</v>
      </c>
      <c r="Q20" t="n">
        <v>26</v>
      </c>
      <c r="R20"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0">
        <f>HYPERLINK("https://klasma.github.io/Logging_KROKOM/artfynd/A 33875-2021.xlsx")</f>
        <v/>
      </c>
      <c r="T20">
        <f>HYPERLINK("https://klasma.github.io/Logging_KROKOM/kartor/A 33875-2021.png")</f>
        <v/>
      </c>
      <c r="V20">
        <f>HYPERLINK("https://klasma.github.io/Logging_KROKOM/klagomål/A 33875-2021.docx")</f>
        <v/>
      </c>
      <c r="W20">
        <f>HYPERLINK("https://klasma.github.io/Logging_KROKOM/klagomålsmail/A 33875-2021.docx")</f>
        <v/>
      </c>
      <c r="X20">
        <f>HYPERLINK("https://klasma.github.io/Logging_KROKOM/tillsyn/A 33875-2021.docx")</f>
        <v/>
      </c>
      <c r="Y20">
        <f>HYPERLINK("https://klasma.github.io/Logging_KROKOM/tillsynsmail/A 33875-2021.docx")</f>
        <v/>
      </c>
    </row>
    <row r="21" ht="15" customHeight="1">
      <c r="A21" t="inlineStr">
        <is>
          <t>A 38591-2021</t>
        </is>
      </c>
      <c r="B21" s="1" t="n">
        <v>44407</v>
      </c>
      <c r="C21" s="1" t="n">
        <v>45182</v>
      </c>
      <c r="D21" t="inlineStr">
        <is>
          <t>JÄMTLANDS LÄN</t>
        </is>
      </c>
      <c r="E21" t="inlineStr">
        <is>
          <t>HÄRJEDALEN</t>
        </is>
      </c>
      <c r="F21" t="inlineStr">
        <is>
          <t>SCA</t>
        </is>
      </c>
      <c r="G21" t="n">
        <v>46.4</v>
      </c>
      <c r="H21" t="n">
        <v>1</v>
      </c>
      <c r="I21" t="n">
        <v>3</v>
      </c>
      <c r="J21" t="n">
        <v>15</v>
      </c>
      <c r="K21" t="n">
        <v>7</v>
      </c>
      <c r="L21" t="n">
        <v>0</v>
      </c>
      <c r="M21" t="n">
        <v>0</v>
      </c>
      <c r="N21" t="n">
        <v>0</v>
      </c>
      <c r="O21" t="n">
        <v>22</v>
      </c>
      <c r="P21" t="n">
        <v>7</v>
      </c>
      <c r="Q21" t="n">
        <v>25</v>
      </c>
      <c r="R21"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1">
        <f>HYPERLINK("https://klasma.github.io/Logging_HARJEDALEN/artfynd/A 38591-2021.xlsx")</f>
        <v/>
      </c>
      <c r="T21">
        <f>HYPERLINK("https://klasma.github.io/Logging_HARJEDALEN/kartor/A 38591-2021.png")</f>
        <v/>
      </c>
      <c r="V21">
        <f>HYPERLINK("https://klasma.github.io/Logging_HARJEDALEN/klagomål/A 38591-2021.docx")</f>
        <v/>
      </c>
      <c r="W21">
        <f>HYPERLINK("https://klasma.github.io/Logging_HARJEDALEN/klagomålsmail/A 38591-2021.docx")</f>
        <v/>
      </c>
      <c r="X21">
        <f>HYPERLINK("https://klasma.github.io/Logging_HARJEDALEN/tillsyn/A 38591-2021.docx")</f>
        <v/>
      </c>
      <c r="Y21">
        <f>HYPERLINK("https://klasma.github.io/Logging_HARJEDALEN/tillsynsmail/A 38591-2021.docx")</f>
        <v/>
      </c>
    </row>
    <row r="22" ht="15" customHeight="1">
      <c r="A22" t="inlineStr">
        <is>
          <t>A 71914-2021</t>
        </is>
      </c>
      <c r="B22" s="1" t="n">
        <v>44543</v>
      </c>
      <c r="C22" s="1" t="n">
        <v>45182</v>
      </c>
      <c r="D22" t="inlineStr">
        <is>
          <t>JÄMTLANDS LÄN</t>
        </is>
      </c>
      <c r="E22" t="inlineStr">
        <is>
          <t>STRÖMSUND</t>
        </is>
      </c>
      <c r="G22" t="n">
        <v>30</v>
      </c>
      <c r="H22" t="n">
        <v>5</v>
      </c>
      <c r="I22" t="n">
        <v>9</v>
      </c>
      <c r="J22" t="n">
        <v>15</v>
      </c>
      <c r="K22" t="n">
        <v>1</v>
      </c>
      <c r="L22" t="n">
        <v>0</v>
      </c>
      <c r="M22" t="n">
        <v>0</v>
      </c>
      <c r="N22" t="n">
        <v>0</v>
      </c>
      <c r="O22" t="n">
        <v>16</v>
      </c>
      <c r="P22" t="n">
        <v>1</v>
      </c>
      <c r="Q22" t="n">
        <v>25</v>
      </c>
      <c r="R22"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2">
        <f>HYPERLINK("https://klasma.github.io/Logging_STROMSUND/artfynd/A 71914-2021.xlsx")</f>
        <v/>
      </c>
      <c r="T22">
        <f>HYPERLINK("https://klasma.github.io/Logging_STROMSUND/kartor/A 71914-2021.png")</f>
        <v/>
      </c>
      <c r="U22">
        <f>HYPERLINK("https://klasma.github.io/Logging_STROMSUND/knärot/A 71914-2021.png")</f>
        <v/>
      </c>
      <c r="V22">
        <f>HYPERLINK("https://klasma.github.io/Logging_STROMSUND/klagomål/A 71914-2021.docx")</f>
        <v/>
      </c>
      <c r="W22">
        <f>HYPERLINK("https://klasma.github.io/Logging_STROMSUND/klagomålsmail/A 71914-2021.docx")</f>
        <v/>
      </c>
      <c r="X22">
        <f>HYPERLINK("https://klasma.github.io/Logging_STROMSUND/tillsyn/A 71914-2021.docx")</f>
        <v/>
      </c>
      <c r="Y22">
        <f>HYPERLINK("https://klasma.github.io/Logging_STROMSUND/tillsynsmail/A 71914-2021.docx")</f>
        <v/>
      </c>
    </row>
    <row r="23" ht="15" customHeight="1">
      <c r="A23" t="inlineStr">
        <is>
          <t>A 73869-2021</t>
        </is>
      </c>
      <c r="B23" s="1" t="n">
        <v>44553</v>
      </c>
      <c r="C23" s="1" t="n">
        <v>45182</v>
      </c>
      <c r="D23" t="inlineStr">
        <is>
          <t>JÄMTLANDS LÄN</t>
        </is>
      </c>
      <c r="E23" t="inlineStr">
        <is>
          <t>HÄRJEDALEN</t>
        </is>
      </c>
      <c r="F23" t="inlineStr">
        <is>
          <t>Bergvik skog väst AB</t>
        </is>
      </c>
      <c r="G23" t="n">
        <v>268.1</v>
      </c>
      <c r="H23" t="n">
        <v>3</v>
      </c>
      <c r="I23" t="n">
        <v>3</v>
      </c>
      <c r="J23" t="n">
        <v>18</v>
      </c>
      <c r="K23" t="n">
        <v>4</v>
      </c>
      <c r="L23" t="n">
        <v>0</v>
      </c>
      <c r="M23" t="n">
        <v>0</v>
      </c>
      <c r="N23" t="n">
        <v>0</v>
      </c>
      <c r="O23" t="n">
        <v>22</v>
      </c>
      <c r="P23" t="n">
        <v>4</v>
      </c>
      <c r="Q23" t="n">
        <v>25</v>
      </c>
      <c r="R23"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3">
        <f>HYPERLINK("https://klasma.github.io/Logging_HARJEDALEN/artfynd/A 73869-2021.xlsx")</f>
        <v/>
      </c>
      <c r="T23">
        <f>HYPERLINK("https://klasma.github.io/Logging_HARJEDALEN/kartor/A 73869-2021.png")</f>
        <v/>
      </c>
      <c r="V23">
        <f>HYPERLINK("https://klasma.github.io/Logging_HARJEDALEN/klagomål/A 73869-2021.docx")</f>
        <v/>
      </c>
      <c r="W23">
        <f>HYPERLINK("https://klasma.github.io/Logging_HARJEDALEN/klagomålsmail/A 73869-2021.docx")</f>
        <v/>
      </c>
      <c r="X23">
        <f>HYPERLINK("https://klasma.github.io/Logging_HARJEDALEN/tillsyn/A 73869-2021.docx")</f>
        <v/>
      </c>
      <c r="Y23">
        <f>HYPERLINK("https://klasma.github.io/Logging_HARJEDALEN/tillsynsmail/A 73869-2021.docx")</f>
        <v/>
      </c>
    </row>
    <row r="24" ht="15" customHeight="1">
      <c r="A24" t="inlineStr">
        <is>
          <t>A 33058-2022</t>
        </is>
      </c>
      <c r="B24" s="1" t="n">
        <v>44785</v>
      </c>
      <c r="C24" s="1" t="n">
        <v>45182</v>
      </c>
      <c r="D24" t="inlineStr">
        <is>
          <t>JÄMTLANDS LÄN</t>
        </is>
      </c>
      <c r="E24" t="inlineStr">
        <is>
          <t>HÄRJEDALEN</t>
        </is>
      </c>
      <c r="G24" t="n">
        <v>25.3</v>
      </c>
      <c r="H24" t="n">
        <v>3</v>
      </c>
      <c r="I24" t="n">
        <v>6</v>
      </c>
      <c r="J24" t="n">
        <v>15</v>
      </c>
      <c r="K24" t="n">
        <v>4</v>
      </c>
      <c r="L24" t="n">
        <v>0</v>
      </c>
      <c r="M24" t="n">
        <v>0</v>
      </c>
      <c r="N24" t="n">
        <v>0</v>
      </c>
      <c r="O24" t="n">
        <v>19</v>
      </c>
      <c r="P24" t="n">
        <v>4</v>
      </c>
      <c r="Q24" t="n">
        <v>25</v>
      </c>
      <c r="R24"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4">
        <f>HYPERLINK("https://klasma.github.io/Logging_HARJEDALEN/artfynd/A 33058-2022.xlsx")</f>
        <v/>
      </c>
      <c r="T24">
        <f>HYPERLINK("https://klasma.github.io/Logging_HARJEDALEN/kartor/A 33058-2022.png")</f>
        <v/>
      </c>
      <c r="V24">
        <f>HYPERLINK("https://klasma.github.io/Logging_HARJEDALEN/klagomål/A 33058-2022.docx")</f>
        <v/>
      </c>
      <c r="W24">
        <f>HYPERLINK("https://klasma.github.io/Logging_HARJEDALEN/klagomålsmail/A 33058-2022.docx")</f>
        <v/>
      </c>
      <c r="X24">
        <f>HYPERLINK("https://klasma.github.io/Logging_HARJEDALEN/tillsyn/A 33058-2022.docx")</f>
        <v/>
      </c>
      <c r="Y24">
        <f>HYPERLINK("https://klasma.github.io/Logging_HARJEDALEN/tillsynsmail/A 33058-2022.docx")</f>
        <v/>
      </c>
    </row>
    <row r="25" ht="15" customHeight="1">
      <c r="A25" t="inlineStr">
        <is>
          <t>A 27529-2020</t>
        </is>
      </c>
      <c r="B25" s="1" t="n">
        <v>43993</v>
      </c>
      <c r="C25" s="1" t="n">
        <v>45182</v>
      </c>
      <c r="D25" t="inlineStr">
        <is>
          <t>JÄMTLANDS LÄN</t>
        </is>
      </c>
      <c r="E25" t="inlineStr">
        <is>
          <t>HÄRJEDALEN</t>
        </is>
      </c>
      <c r="G25" t="n">
        <v>9.9</v>
      </c>
      <c r="H25" t="n">
        <v>7</v>
      </c>
      <c r="I25" t="n">
        <v>11</v>
      </c>
      <c r="J25" t="n">
        <v>10</v>
      </c>
      <c r="K25" t="n">
        <v>2</v>
      </c>
      <c r="L25" t="n">
        <v>0</v>
      </c>
      <c r="M25" t="n">
        <v>0</v>
      </c>
      <c r="N25" t="n">
        <v>0</v>
      </c>
      <c r="O25" t="n">
        <v>12</v>
      </c>
      <c r="P25" t="n">
        <v>2</v>
      </c>
      <c r="Q25" t="n">
        <v>24</v>
      </c>
      <c r="R25"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5">
        <f>HYPERLINK("https://klasma.github.io/Logging_HARJEDALEN/artfynd/A 27529-2020.xlsx")</f>
        <v/>
      </c>
      <c r="T25">
        <f>HYPERLINK("https://klasma.github.io/Logging_HARJEDALEN/kartor/A 27529-2020.png")</f>
        <v/>
      </c>
      <c r="U25">
        <f>HYPERLINK("https://klasma.github.io/Logging_HARJEDALEN/knärot/A 27529-2020.png")</f>
        <v/>
      </c>
      <c r="V25">
        <f>HYPERLINK("https://klasma.github.io/Logging_HARJEDALEN/klagomål/A 27529-2020.docx")</f>
        <v/>
      </c>
      <c r="W25">
        <f>HYPERLINK("https://klasma.github.io/Logging_HARJEDALEN/klagomålsmail/A 27529-2020.docx")</f>
        <v/>
      </c>
      <c r="X25">
        <f>HYPERLINK("https://klasma.github.io/Logging_HARJEDALEN/tillsyn/A 27529-2020.docx")</f>
        <v/>
      </c>
      <c r="Y25">
        <f>HYPERLINK("https://klasma.github.io/Logging_HARJEDALEN/tillsynsmail/A 27529-2020.docx")</f>
        <v/>
      </c>
    </row>
    <row r="26" ht="15" customHeight="1">
      <c r="A26" t="inlineStr">
        <is>
          <t>A 34896-2022</t>
        </is>
      </c>
      <c r="B26" s="1" t="n">
        <v>44790</v>
      </c>
      <c r="C26" s="1" t="n">
        <v>45182</v>
      </c>
      <c r="D26" t="inlineStr">
        <is>
          <t>JÄMTLANDS LÄN</t>
        </is>
      </c>
      <c r="E26" t="inlineStr">
        <is>
          <t>HÄRJEDALEN</t>
        </is>
      </c>
      <c r="G26" t="n">
        <v>25.4</v>
      </c>
      <c r="H26" t="n">
        <v>4</v>
      </c>
      <c r="I26" t="n">
        <v>3</v>
      </c>
      <c r="J26" t="n">
        <v>14</v>
      </c>
      <c r="K26" t="n">
        <v>5</v>
      </c>
      <c r="L26" t="n">
        <v>1</v>
      </c>
      <c r="M26" t="n">
        <v>0</v>
      </c>
      <c r="N26" t="n">
        <v>0</v>
      </c>
      <c r="O26" t="n">
        <v>20</v>
      </c>
      <c r="P26" t="n">
        <v>6</v>
      </c>
      <c r="Q26" t="n">
        <v>24</v>
      </c>
      <c r="R26"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6">
        <f>HYPERLINK("https://klasma.github.io/Logging_HARJEDALEN/artfynd/A 34896-2022.xlsx")</f>
        <v/>
      </c>
      <c r="T26">
        <f>HYPERLINK("https://klasma.github.io/Logging_HARJEDALEN/kartor/A 34896-2022.png")</f>
        <v/>
      </c>
      <c r="V26">
        <f>HYPERLINK("https://klasma.github.io/Logging_HARJEDALEN/klagomål/A 34896-2022.docx")</f>
        <v/>
      </c>
      <c r="W26">
        <f>HYPERLINK("https://klasma.github.io/Logging_HARJEDALEN/klagomålsmail/A 34896-2022.docx")</f>
        <v/>
      </c>
      <c r="X26">
        <f>HYPERLINK("https://klasma.github.io/Logging_HARJEDALEN/tillsyn/A 34896-2022.docx")</f>
        <v/>
      </c>
      <c r="Y26">
        <f>HYPERLINK("https://klasma.github.io/Logging_HARJEDALEN/tillsynsmail/A 34896-2022.docx")</f>
        <v/>
      </c>
    </row>
    <row r="27" ht="15" customHeight="1">
      <c r="A27" t="inlineStr">
        <is>
          <t>A 51192-2019</t>
        </is>
      </c>
      <c r="B27" s="1" t="n">
        <v>43739</v>
      </c>
      <c r="C27" s="1" t="n">
        <v>45182</v>
      </c>
      <c r="D27" t="inlineStr">
        <is>
          <t>JÄMTLANDS LÄN</t>
        </is>
      </c>
      <c r="E27" t="inlineStr">
        <is>
          <t>ÖSTERSUND</t>
        </is>
      </c>
      <c r="F27" t="inlineStr">
        <is>
          <t>Kommuner</t>
        </is>
      </c>
      <c r="G27" t="n">
        <v>14.6</v>
      </c>
      <c r="H27" t="n">
        <v>11</v>
      </c>
      <c r="I27" t="n">
        <v>12</v>
      </c>
      <c r="J27" t="n">
        <v>6</v>
      </c>
      <c r="K27" t="n">
        <v>1</v>
      </c>
      <c r="L27" t="n">
        <v>0</v>
      </c>
      <c r="M27" t="n">
        <v>0</v>
      </c>
      <c r="N27" t="n">
        <v>0</v>
      </c>
      <c r="O27" t="n">
        <v>7</v>
      </c>
      <c r="P27" t="n">
        <v>1</v>
      </c>
      <c r="Q27" t="n">
        <v>23</v>
      </c>
      <c r="R27"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7">
        <f>HYPERLINK("https://klasma.github.io/Logging_OSTERSUND/artfynd/A 51192-2019.xlsx")</f>
        <v/>
      </c>
      <c r="T27">
        <f>HYPERLINK("https://klasma.github.io/Logging_OSTERSUND/kartor/A 51192-2019.png")</f>
        <v/>
      </c>
      <c r="U27">
        <f>HYPERLINK("https://klasma.github.io/Logging_OSTERSUND/knärot/A 51192-2019.png")</f>
        <v/>
      </c>
      <c r="V27">
        <f>HYPERLINK("https://klasma.github.io/Logging_OSTERSUND/klagomål/A 51192-2019.docx")</f>
        <v/>
      </c>
      <c r="W27">
        <f>HYPERLINK("https://klasma.github.io/Logging_OSTERSUND/klagomålsmail/A 51192-2019.docx")</f>
        <v/>
      </c>
      <c r="X27">
        <f>HYPERLINK("https://klasma.github.io/Logging_OSTERSUND/tillsyn/A 51192-2019.docx")</f>
        <v/>
      </c>
      <c r="Y27">
        <f>HYPERLINK("https://klasma.github.io/Logging_OSTERSUND/tillsynsmail/A 51192-2019.docx")</f>
        <v/>
      </c>
    </row>
    <row r="28" ht="15" customHeight="1">
      <c r="A28" t="inlineStr">
        <is>
          <t>A 6223-2020</t>
        </is>
      </c>
      <c r="B28" s="1" t="n">
        <v>43865</v>
      </c>
      <c r="C28" s="1" t="n">
        <v>45182</v>
      </c>
      <c r="D28" t="inlineStr">
        <is>
          <t>JÄMTLANDS LÄN</t>
        </is>
      </c>
      <c r="E28" t="inlineStr">
        <is>
          <t>RAGUNDA</t>
        </is>
      </c>
      <c r="G28" t="n">
        <v>26.2</v>
      </c>
      <c r="H28" t="n">
        <v>6</v>
      </c>
      <c r="I28" t="n">
        <v>6</v>
      </c>
      <c r="J28" t="n">
        <v>11</v>
      </c>
      <c r="K28" t="n">
        <v>4</v>
      </c>
      <c r="L28" t="n">
        <v>0</v>
      </c>
      <c r="M28" t="n">
        <v>0</v>
      </c>
      <c r="N28" t="n">
        <v>0</v>
      </c>
      <c r="O28" t="n">
        <v>15</v>
      </c>
      <c r="P28" t="n">
        <v>4</v>
      </c>
      <c r="Q28" t="n">
        <v>23</v>
      </c>
      <c r="R28"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8">
        <f>HYPERLINK("https://klasma.github.io/Logging_RAGUNDA/artfynd/A 6223-2020.xlsx")</f>
        <v/>
      </c>
      <c r="T28">
        <f>HYPERLINK("https://klasma.github.io/Logging_RAGUNDA/kartor/A 6223-2020.png")</f>
        <v/>
      </c>
      <c r="U28">
        <f>HYPERLINK("https://klasma.github.io/Logging_RAGUNDA/knärot/A 6223-2020.png")</f>
        <v/>
      </c>
      <c r="V28">
        <f>HYPERLINK("https://klasma.github.io/Logging_RAGUNDA/klagomål/A 6223-2020.docx")</f>
        <v/>
      </c>
      <c r="W28">
        <f>HYPERLINK("https://klasma.github.io/Logging_RAGUNDA/klagomålsmail/A 6223-2020.docx")</f>
        <v/>
      </c>
      <c r="X28">
        <f>HYPERLINK("https://klasma.github.io/Logging_RAGUNDA/tillsyn/A 6223-2020.docx")</f>
        <v/>
      </c>
      <c r="Y28">
        <f>HYPERLINK("https://klasma.github.io/Logging_RAGUNDA/tillsynsmail/A 6223-2020.docx")</f>
        <v/>
      </c>
    </row>
    <row r="29" ht="15" customHeight="1">
      <c r="A29" t="inlineStr">
        <is>
          <t>A 62982-2020</t>
        </is>
      </c>
      <c r="B29" s="1" t="n">
        <v>44162</v>
      </c>
      <c r="C29" s="1" t="n">
        <v>45182</v>
      </c>
      <c r="D29" t="inlineStr">
        <is>
          <t>JÄMTLANDS LÄN</t>
        </is>
      </c>
      <c r="E29" t="inlineStr">
        <is>
          <t>ÅRE</t>
        </is>
      </c>
      <c r="G29" t="n">
        <v>16</v>
      </c>
      <c r="H29" t="n">
        <v>2</v>
      </c>
      <c r="I29" t="n">
        <v>10</v>
      </c>
      <c r="J29" t="n">
        <v>12</v>
      </c>
      <c r="K29" t="n">
        <v>1</v>
      </c>
      <c r="L29" t="n">
        <v>0</v>
      </c>
      <c r="M29" t="n">
        <v>0</v>
      </c>
      <c r="N29" t="n">
        <v>0</v>
      </c>
      <c r="O29" t="n">
        <v>13</v>
      </c>
      <c r="P29" t="n">
        <v>1</v>
      </c>
      <c r="Q29" t="n">
        <v>23</v>
      </c>
      <c r="R29"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29">
        <f>HYPERLINK("https://klasma.github.io/Logging_ARE/artfynd/A 62982-2020.xlsx")</f>
        <v/>
      </c>
      <c r="T29">
        <f>HYPERLINK("https://klasma.github.io/Logging_ARE/kartor/A 62982-2020.png")</f>
        <v/>
      </c>
      <c r="V29">
        <f>HYPERLINK("https://klasma.github.io/Logging_ARE/klagomål/A 62982-2020.docx")</f>
        <v/>
      </c>
      <c r="W29">
        <f>HYPERLINK("https://klasma.github.io/Logging_ARE/klagomålsmail/A 62982-2020.docx")</f>
        <v/>
      </c>
      <c r="X29">
        <f>HYPERLINK("https://klasma.github.io/Logging_ARE/tillsyn/A 62982-2020.docx")</f>
        <v/>
      </c>
      <c r="Y29">
        <f>HYPERLINK("https://klasma.github.io/Logging_ARE/tillsynsmail/A 62982-2020.docx")</f>
        <v/>
      </c>
    </row>
    <row r="30" ht="15" customHeight="1">
      <c r="A30" t="inlineStr">
        <is>
          <t>A 32907-2021</t>
        </is>
      </c>
      <c r="B30" s="1" t="n">
        <v>44375</v>
      </c>
      <c r="C30" s="1" t="n">
        <v>45182</v>
      </c>
      <c r="D30" t="inlineStr">
        <is>
          <t>JÄMTLANDS LÄN</t>
        </is>
      </c>
      <c r="E30" t="inlineStr">
        <is>
          <t>BERG</t>
        </is>
      </c>
      <c r="G30" t="n">
        <v>50.1</v>
      </c>
      <c r="H30" t="n">
        <v>4</v>
      </c>
      <c r="I30" t="n">
        <v>3</v>
      </c>
      <c r="J30" t="n">
        <v>19</v>
      </c>
      <c r="K30" t="n">
        <v>0</v>
      </c>
      <c r="L30" t="n">
        <v>0</v>
      </c>
      <c r="M30" t="n">
        <v>0</v>
      </c>
      <c r="N30" t="n">
        <v>0</v>
      </c>
      <c r="O30" t="n">
        <v>19</v>
      </c>
      <c r="P30" t="n">
        <v>0</v>
      </c>
      <c r="Q30" t="n">
        <v>23</v>
      </c>
      <c r="R30"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0">
        <f>HYPERLINK("https://klasma.github.io/Logging_BERG/artfynd/A 32907-2021.xlsx")</f>
        <v/>
      </c>
      <c r="T30">
        <f>HYPERLINK("https://klasma.github.io/Logging_BERG/kartor/A 32907-2021.png")</f>
        <v/>
      </c>
      <c r="V30">
        <f>HYPERLINK("https://klasma.github.io/Logging_BERG/klagomål/A 32907-2021.docx")</f>
        <v/>
      </c>
      <c r="W30">
        <f>HYPERLINK("https://klasma.github.io/Logging_BERG/klagomålsmail/A 32907-2021.docx")</f>
        <v/>
      </c>
      <c r="X30">
        <f>HYPERLINK("https://klasma.github.io/Logging_BERG/tillsyn/A 32907-2021.docx")</f>
        <v/>
      </c>
      <c r="Y30">
        <f>HYPERLINK("https://klasma.github.io/Logging_BERG/tillsynsmail/A 32907-2021.docx")</f>
        <v/>
      </c>
    </row>
    <row r="31" ht="15" customHeight="1">
      <c r="A31" t="inlineStr">
        <is>
          <t>A 45429-2022</t>
        </is>
      </c>
      <c r="B31" s="1" t="n">
        <v>44844</v>
      </c>
      <c r="C31" s="1" t="n">
        <v>45182</v>
      </c>
      <c r="D31" t="inlineStr">
        <is>
          <t>JÄMTLANDS LÄN</t>
        </is>
      </c>
      <c r="E31" t="inlineStr">
        <is>
          <t>HÄRJEDALEN</t>
        </is>
      </c>
      <c r="F31" t="inlineStr">
        <is>
          <t>SCA</t>
        </is>
      </c>
      <c r="G31" t="n">
        <v>8.800000000000001</v>
      </c>
      <c r="H31" t="n">
        <v>4</v>
      </c>
      <c r="I31" t="n">
        <v>2</v>
      </c>
      <c r="J31" t="n">
        <v>15</v>
      </c>
      <c r="K31" t="n">
        <v>3</v>
      </c>
      <c r="L31" t="n">
        <v>1</v>
      </c>
      <c r="M31" t="n">
        <v>0</v>
      </c>
      <c r="N31" t="n">
        <v>0</v>
      </c>
      <c r="O31" t="n">
        <v>19</v>
      </c>
      <c r="P31" t="n">
        <v>4</v>
      </c>
      <c r="Q31" t="n">
        <v>23</v>
      </c>
      <c r="R31"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1">
        <f>HYPERLINK("https://klasma.github.io/Logging_HARJEDALEN/artfynd/A 45429-2022.xlsx")</f>
        <v/>
      </c>
      <c r="T31">
        <f>HYPERLINK("https://klasma.github.io/Logging_HARJEDALEN/kartor/A 45429-2022.png")</f>
        <v/>
      </c>
      <c r="U31">
        <f>HYPERLINK("https://klasma.github.io/Logging_HARJEDALEN/knärot/A 45429-2022.png")</f>
        <v/>
      </c>
      <c r="V31">
        <f>HYPERLINK("https://klasma.github.io/Logging_HARJEDALEN/klagomål/A 45429-2022.docx")</f>
        <v/>
      </c>
      <c r="W31">
        <f>HYPERLINK("https://klasma.github.io/Logging_HARJEDALEN/klagomålsmail/A 45429-2022.docx")</f>
        <v/>
      </c>
      <c r="X31">
        <f>HYPERLINK("https://klasma.github.io/Logging_HARJEDALEN/tillsyn/A 45429-2022.docx")</f>
        <v/>
      </c>
      <c r="Y31">
        <f>HYPERLINK("https://klasma.github.io/Logging_HARJEDALEN/tillsynsmail/A 45429-2022.docx")</f>
        <v/>
      </c>
    </row>
    <row r="32" ht="15" customHeight="1">
      <c r="A32" t="inlineStr">
        <is>
          <t>A 60950-2019</t>
        </is>
      </c>
      <c r="B32" s="1" t="n">
        <v>43782</v>
      </c>
      <c r="C32" s="1" t="n">
        <v>45182</v>
      </c>
      <c r="D32" t="inlineStr">
        <is>
          <t>JÄMTLANDS LÄN</t>
        </is>
      </c>
      <c r="E32" t="inlineStr">
        <is>
          <t>ÖSTERSUND</t>
        </is>
      </c>
      <c r="G32" t="n">
        <v>12.8</v>
      </c>
      <c r="H32" t="n">
        <v>1</v>
      </c>
      <c r="I32" t="n">
        <v>1</v>
      </c>
      <c r="J32" t="n">
        <v>10</v>
      </c>
      <c r="K32" t="n">
        <v>10</v>
      </c>
      <c r="L32" t="n">
        <v>1</v>
      </c>
      <c r="M32" t="n">
        <v>0</v>
      </c>
      <c r="N32" t="n">
        <v>0</v>
      </c>
      <c r="O32" t="n">
        <v>21</v>
      </c>
      <c r="P32" t="n">
        <v>11</v>
      </c>
      <c r="Q32" t="n">
        <v>22</v>
      </c>
      <c r="R32"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2">
        <f>HYPERLINK("https://klasma.github.io/Logging_OSTERSUND/artfynd/A 60950-2019.xlsx")</f>
        <v/>
      </c>
      <c r="T32">
        <f>HYPERLINK("https://klasma.github.io/Logging_OSTERSUND/kartor/A 60950-2019.png")</f>
        <v/>
      </c>
      <c r="V32">
        <f>HYPERLINK("https://klasma.github.io/Logging_OSTERSUND/klagomål/A 60950-2019.docx")</f>
        <v/>
      </c>
      <c r="W32">
        <f>HYPERLINK("https://klasma.github.io/Logging_OSTERSUND/klagomålsmail/A 60950-2019.docx")</f>
        <v/>
      </c>
      <c r="X32">
        <f>HYPERLINK("https://klasma.github.io/Logging_OSTERSUND/tillsyn/A 60950-2019.docx")</f>
        <v/>
      </c>
      <c r="Y32">
        <f>HYPERLINK("https://klasma.github.io/Logging_OSTERSUND/tillsynsmail/A 60950-2019.docx")</f>
        <v/>
      </c>
    </row>
    <row r="33" ht="15" customHeight="1">
      <c r="A33" t="inlineStr">
        <is>
          <t>A 173-2020</t>
        </is>
      </c>
      <c r="B33" s="1" t="n">
        <v>43833</v>
      </c>
      <c r="C33" s="1" t="n">
        <v>45182</v>
      </c>
      <c r="D33" t="inlineStr">
        <is>
          <t>JÄMTLANDS LÄN</t>
        </is>
      </c>
      <c r="E33" t="inlineStr">
        <is>
          <t>HÄRJEDALEN</t>
        </is>
      </c>
      <c r="G33" t="n">
        <v>5.5</v>
      </c>
      <c r="H33" t="n">
        <v>1</v>
      </c>
      <c r="I33" t="n">
        <v>7</v>
      </c>
      <c r="J33" t="n">
        <v>15</v>
      </c>
      <c r="K33" t="n">
        <v>0</v>
      </c>
      <c r="L33" t="n">
        <v>0</v>
      </c>
      <c r="M33" t="n">
        <v>0</v>
      </c>
      <c r="N33" t="n">
        <v>0</v>
      </c>
      <c r="O33" t="n">
        <v>15</v>
      </c>
      <c r="P33" t="n">
        <v>0</v>
      </c>
      <c r="Q33" t="n">
        <v>22</v>
      </c>
      <c r="R33"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3">
        <f>HYPERLINK("https://klasma.github.io/Logging_HARJEDALEN/artfynd/A 173-2020.xlsx")</f>
        <v/>
      </c>
      <c r="T33">
        <f>HYPERLINK("https://klasma.github.io/Logging_HARJEDALEN/kartor/A 173-2020.png")</f>
        <v/>
      </c>
      <c r="V33">
        <f>HYPERLINK("https://klasma.github.io/Logging_HARJEDALEN/klagomål/A 173-2020.docx")</f>
        <v/>
      </c>
      <c r="W33">
        <f>HYPERLINK("https://klasma.github.io/Logging_HARJEDALEN/klagomålsmail/A 173-2020.docx")</f>
        <v/>
      </c>
      <c r="X33">
        <f>HYPERLINK("https://klasma.github.io/Logging_HARJEDALEN/tillsyn/A 173-2020.docx")</f>
        <v/>
      </c>
      <c r="Y33">
        <f>HYPERLINK("https://klasma.github.io/Logging_HARJEDALEN/tillsynsmail/A 173-2020.docx")</f>
        <v/>
      </c>
    </row>
    <row r="34" ht="15" customHeight="1">
      <c r="A34" t="inlineStr">
        <is>
          <t>A 35782-2020</t>
        </is>
      </c>
      <c r="B34" s="1" t="n">
        <v>44046</v>
      </c>
      <c r="C34" s="1" t="n">
        <v>45182</v>
      </c>
      <c r="D34" t="inlineStr">
        <is>
          <t>JÄMTLANDS LÄN</t>
        </is>
      </c>
      <c r="E34" t="inlineStr">
        <is>
          <t>HÄRJEDALEN</t>
        </is>
      </c>
      <c r="G34" t="n">
        <v>19.9</v>
      </c>
      <c r="H34" t="n">
        <v>2</v>
      </c>
      <c r="I34" t="n">
        <v>6</v>
      </c>
      <c r="J34" t="n">
        <v>12</v>
      </c>
      <c r="K34" t="n">
        <v>4</v>
      </c>
      <c r="L34" t="n">
        <v>0</v>
      </c>
      <c r="M34" t="n">
        <v>0</v>
      </c>
      <c r="N34" t="n">
        <v>0</v>
      </c>
      <c r="O34" t="n">
        <v>16</v>
      </c>
      <c r="P34" t="n">
        <v>4</v>
      </c>
      <c r="Q34" t="n">
        <v>22</v>
      </c>
      <c r="R34"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4">
        <f>HYPERLINK("https://klasma.github.io/Logging_HARJEDALEN/artfynd/A 35782-2020.xlsx")</f>
        <v/>
      </c>
      <c r="T34">
        <f>HYPERLINK("https://klasma.github.io/Logging_HARJEDALEN/kartor/A 35782-2020.png")</f>
        <v/>
      </c>
      <c r="V34">
        <f>HYPERLINK("https://klasma.github.io/Logging_HARJEDALEN/klagomål/A 35782-2020.docx")</f>
        <v/>
      </c>
      <c r="W34">
        <f>HYPERLINK("https://klasma.github.io/Logging_HARJEDALEN/klagomålsmail/A 35782-2020.docx")</f>
        <v/>
      </c>
      <c r="X34">
        <f>HYPERLINK("https://klasma.github.io/Logging_HARJEDALEN/tillsyn/A 35782-2020.docx")</f>
        <v/>
      </c>
      <c r="Y34">
        <f>HYPERLINK("https://klasma.github.io/Logging_HARJEDALEN/tillsynsmail/A 35782-2020.docx")</f>
        <v/>
      </c>
    </row>
    <row r="35" ht="15" customHeight="1">
      <c r="A35" t="inlineStr">
        <is>
          <t>A 68481-2020</t>
        </is>
      </c>
      <c r="B35" s="1" t="n">
        <v>44186</v>
      </c>
      <c r="C35" s="1" t="n">
        <v>45182</v>
      </c>
      <c r="D35" t="inlineStr">
        <is>
          <t>JÄMTLANDS LÄN</t>
        </is>
      </c>
      <c r="E35" t="inlineStr">
        <is>
          <t>STRÖMSUND</t>
        </is>
      </c>
      <c r="F35" t="inlineStr">
        <is>
          <t>Holmen skog AB</t>
        </is>
      </c>
      <c r="G35" t="n">
        <v>100.6</v>
      </c>
      <c r="H35" t="n">
        <v>2</v>
      </c>
      <c r="I35" t="n">
        <v>10</v>
      </c>
      <c r="J35" t="n">
        <v>10</v>
      </c>
      <c r="K35" t="n">
        <v>2</v>
      </c>
      <c r="L35" t="n">
        <v>0</v>
      </c>
      <c r="M35" t="n">
        <v>0</v>
      </c>
      <c r="N35" t="n">
        <v>0</v>
      </c>
      <c r="O35" t="n">
        <v>12</v>
      </c>
      <c r="P35" t="n">
        <v>2</v>
      </c>
      <c r="Q35" t="n">
        <v>22</v>
      </c>
      <c r="R35"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5">
        <f>HYPERLINK("https://klasma.github.io/Logging_STROMSUND/artfynd/A 68481-2020.xlsx")</f>
        <v/>
      </c>
      <c r="T35">
        <f>HYPERLINK("https://klasma.github.io/Logging_STROMSUND/kartor/A 68481-2020.png")</f>
        <v/>
      </c>
      <c r="V35">
        <f>HYPERLINK("https://klasma.github.io/Logging_STROMSUND/klagomål/A 68481-2020.docx")</f>
        <v/>
      </c>
      <c r="W35">
        <f>HYPERLINK("https://klasma.github.io/Logging_STROMSUND/klagomålsmail/A 68481-2020.docx")</f>
        <v/>
      </c>
      <c r="X35">
        <f>HYPERLINK("https://klasma.github.io/Logging_STROMSUND/tillsyn/A 68481-2020.docx")</f>
        <v/>
      </c>
      <c r="Y35">
        <f>HYPERLINK("https://klasma.github.io/Logging_STROMSUND/tillsynsmail/A 68481-2020.docx")</f>
        <v/>
      </c>
    </row>
    <row r="36" ht="15" customHeight="1">
      <c r="A36" t="inlineStr">
        <is>
          <t>A 72189-2021</t>
        </is>
      </c>
      <c r="B36" s="1" t="n">
        <v>44543</v>
      </c>
      <c r="C36" s="1" t="n">
        <v>45182</v>
      </c>
      <c r="D36" t="inlineStr">
        <is>
          <t>JÄMTLANDS LÄN</t>
        </is>
      </c>
      <c r="E36" t="inlineStr">
        <is>
          <t>HÄRJEDALEN</t>
        </is>
      </c>
      <c r="G36" t="n">
        <v>61</v>
      </c>
      <c r="H36" t="n">
        <v>2</v>
      </c>
      <c r="I36" t="n">
        <v>1</v>
      </c>
      <c r="J36" t="n">
        <v>16</v>
      </c>
      <c r="K36" t="n">
        <v>3</v>
      </c>
      <c r="L36" t="n">
        <v>1</v>
      </c>
      <c r="M36" t="n">
        <v>1</v>
      </c>
      <c r="N36" t="n">
        <v>0</v>
      </c>
      <c r="O36" t="n">
        <v>21</v>
      </c>
      <c r="P36" t="n">
        <v>5</v>
      </c>
      <c r="Q36" t="n">
        <v>22</v>
      </c>
      <c r="R36"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6">
        <f>HYPERLINK("https://klasma.github.io/Logging_HARJEDALEN/artfynd/A 72189-2021.xlsx")</f>
        <v/>
      </c>
      <c r="T36">
        <f>HYPERLINK("https://klasma.github.io/Logging_HARJEDALEN/kartor/A 72189-2021.png")</f>
        <v/>
      </c>
      <c r="V36">
        <f>HYPERLINK("https://klasma.github.io/Logging_HARJEDALEN/klagomål/A 72189-2021.docx")</f>
        <v/>
      </c>
      <c r="W36">
        <f>HYPERLINK("https://klasma.github.io/Logging_HARJEDALEN/klagomålsmail/A 72189-2021.docx")</f>
        <v/>
      </c>
      <c r="X36">
        <f>HYPERLINK("https://klasma.github.io/Logging_HARJEDALEN/tillsyn/A 72189-2021.docx")</f>
        <v/>
      </c>
      <c r="Y36">
        <f>HYPERLINK("https://klasma.github.io/Logging_HARJEDALEN/tillsynsmail/A 72189-2021.docx")</f>
        <v/>
      </c>
    </row>
    <row r="37" ht="15" customHeight="1">
      <c r="A37" t="inlineStr">
        <is>
          <t>A 28769-2022</t>
        </is>
      </c>
      <c r="B37" s="1" t="n">
        <v>44749</v>
      </c>
      <c r="C37" s="1" t="n">
        <v>45182</v>
      </c>
      <c r="D37" t="inlineStr">
        <is>
          <t>JÄMTLANDS LÄN</t>
        </is>
      </c>
      <c r="E37" t="inlineStr">
        <is>
          <t>HÄRJEDALEN</t>
        </is>
      </c>
      <c r="G37" t="n">
        <v>9.9</v>
      </c>
      <c r="H37" t="n">
        <v>6</v>
      </c>
      <c r="I37" t="n">
        <v>8</v>
      </c>
      <c r="J37" t="n">
        <v>11</v>
      </c>
      <c r="K37" t="n">
        <v>0</v>
      </c>
      <c r="L37" t="n">
        <v>0</v>
      </c>
      <c r="M37" t="n">
        <v>0</v>
      </c>
      <c r="N37" t="n">
        <v>0</v>
      </c>
      <c r="O37" t="n">
        <v>11</v>
      </c>
      <c r="P37" t="n">
        <v>0</v>
      </c>
      <c r="Q37" t="n">
        <v>22</v>
      </c>
      <c r="R37"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7">
        <f>HYPERLINK("https://klasma.github.io/Logging_HARJEDALEN/artfynd/A 28769-2022.xlsx")</f>
        <v/>
      </c>
      <c r="T37">
        <f>HYPERLINK("https://klasma.github.io/Logging_HARJEDALEN/kartor/A 28769-2022.png")</f>
        <v/>
      </c>
      <c r="V37">
        <f>HYPERLINK("https://klasma.github.io/Logging_HARJEDALEN/klagomål/A 28769-2022.docx")</f>
        <v/>
      </c>
      <c r="W37">
        <f>HYPERLINK("https://klasma.github.io/Logging_HARJEDALEN/klagomålsmail/A 28769-2022.docx")</f>
        <v/>
      </c>
      <c r="X37">
        <f>HYPERLINK("https://klasma.github.io/Logging_HARJEDALEN/tillsyn/A 28769-2022.docx")</f>
        <v/>
      </c>
      <c r="Y37">
        <f>HYPERLINK("https://klasma.github.io/Logging_HARJEDALEN/tillsynsmail/A 28769-2022.docx")</f>
        <v/>
      </c>
    </row>
    <row r="38" ht="15" customHeight="1">
      <c r="A38" t="inlineStr">
        <is>
          <t>A 43777-2022</t>
        </is>
      </c>
      <c r="B38" s="1" t="n">
        <v>44837</v>
      </c>
      <c r="C38" s="1" t="n">
        <v>45182</v>
      </c>
      <c r="D38" t="inlineStr">
        <is>
          <t>JÄMTLANDS LÄN</t>
        </is>
      </c>
      <c r="E38" t="inlineStr">
        <is>
          <t>HÄRJEDALEN</t>
        </is>
      </c>
      <c r="F38" t="inlineStr">
        <is>
          <t>SCA</t>
        </is>
      </c>
      <c r="G38" t="n">
        <v>74.40000000000001</v>
      </c>
      <c r="H38" t="n">
        <v>4</v>
      </c>
      <c r="I38" t="n">
        <v>3</v>
      </c>
      <c r="J38" t="n">
        <v>14</v>
      </c>
      <c r="K38" t="n">
        <v>3</v>
      </c>
      <c r="L38" t="n">
        <v>2</v>
      </c>
      <c r="M38" t="n">
        <v>0</v>
      </c>
      <c r="N38" t="n">
        <v>0</v>
      </c>
      <c r="O38" t="n">
        <v>19</v>
      </c>
      <c r="P38" t="n">
        <v>5</v>
      </c>
      <c r="Q38" t="n">
        <v>22</v>
      </c>
      <c r="R38"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8">
        <f>HYPERLINK("https://klasma.github.io/Logging_HARJEDALEN/artfynd/A 43777-2022.xlsx")</f>
        <v/>
      </c>
      <c r="T38">
        <f>HYPERLINK("https://klasma.github.io/Logging_HARJEDALEN/kartor/A 43777-2022.png")</f>
        <v/>
      </c>
      <c r="U38">
        <f>HYPERLINK("https://klasma.github.io/Logging_HARJEDALEN/knärot/A 43777-2022.png")</f>
        <v/>
      </c>
      <c r="V38">
        <f>HYPERLINK("https://klasma.github.io/Logging_HARJEDALEN/klagomål/A 43777-2022.docx")</f>
        <v/>
      </c>
      <c r="W38">
        <f>HYPERLINK("https://klasma.github.io/Logging_HARJEDALEN/klagomålsmail/A 43777-2022.docx")</f>
        <v/>
      </c>
      <c r="X38">
        <f>HYPERLINK("https://klasma.github.io/Logging_HARJEDALEN/tillsyn/A 43777-2022.docx")</f>
        <v/>
      </c>
      <c r="Y38">
        <f>HYPERLINK("https://klasma.github.io/Logging_HARJEDALEN/tillsynsmail/A 43777-2022.docx")</f>
        <v/>
      </c>
    </row>
    <row r="39" ht="15" customHeight="1">
      <c r="A39" t="inlineStr">
        <is>
          <t>A 36223-2020</t>
        </is>
      </c>
      <c r="B39" s="1" t="n">
        <v>44048</v>
      </c>
      <c r="C39" s="1" t="n">
        <v>45182</v>
      </c>
      <c r="D39" t="inlineStr">
        <is>
          <t>JÄMTLANDS LÄN</t>
        </is>
      </c>
      <c r="E39" t="inlineStr">
        <is>
          <t>BRÄCKE</t>
        </is>
      </c>
      <c r="G39" t="n">
        <v>22.1</v>
      </c>
      <c r="H39" t="n">
        <v>9</v>
      </c>
      <c r="I39" t="n">
        <v>9</v>
      </c>
      <c r="J39" t="n">
        <v>6</v>
      </c>
      <c r="K39" t="n">
        <v>4</v>
      </c>
      <c r="L39" t="n">
        <v>0</v>
      </c>
      <c r="M39" t="n">
        <v>0</v>
      </c>
      <c r="N39" t="n">
        <v>0</v>
      </c>
      <c r="O39" t="n">
        <v>10</v>
      </c>
      <c r="P39" t="n">
        <v>4</v>
      </c>
      <c r="Q39" t="n">
        <v>21</v>
      </c>
      <c r="R39" s="2" t="inlineStr">
        <is>
          <t>Doftticka
Knärot
Ostticka
Rynkskinn
Lunglav
Rosenticka
Skogsfru
Talltita
Ullticka
Vedtrappmossa
Bårdlav
Guckusko
Luddlav
Skinnlav
Spindelblomster
Stuplav
Svart trolldruva
Tibast
Tvåblad
Nattviol
Blåsippa</t>
        </is>
      </c>
      <c r="S39">
        <f>HYPERLINK("https://klasma.github.io/Logging_BRACKE/artfynd/A 36223-2020.xlsx")</f>
        <v/>
      </c>
      <c r="T39">
        <f>HYPERLINK("https://klasma.github.io/Logging_BRACKE/kartor/A 36223-2020.png")</f>
        <v/>
      </c>
      <c r="U39">
        <f>HYPERLINK("https://klasma.github.io/Logging_BRACKE/knärot/A 36223-2020.png")</f>
        <v/>
      </c>
      <c r="V39">
        <f>HYPERLINK("https://klasma.github.io/Logging_BRACKE/klagomål/A 36223-2020.docx")</f>
        <v/>
      </c>
      <c r="W39">
        <f>HYPERLINK("https://klasma.github.io/Logging_BRACKE/klagomålsmail/A 36223-2020.docx")</f>
        <v/>
      </c>
      <c r="X39">
        <f>HYPERLINK("https://klasma.github.io/Logging_BRACKE/tillsyn/A 36223-2020.docx")</f>
        <v/>
      </c>
      <c r="Y39">
        <f>HYPERLINK("https://klasma.github.io/Logging_BRACKE/tillsynsmail/A 36223-2020.docx")</f>
        <v/>
      </c>
    </row>
    <row r="40" ht="15" customHeight="1">
      <c r="A40" t="inlineStr">
        <is>
          <t>A 39994-2020</t>
        </is>
      </c>
      <c r="B40" s="1" t="n">
        <v>44067</v>
      </c>
      <c r="C40" s="1" t="n">
        <v>45182</v>
      </c>
      <c r="D40" t="inlineStr">
        <is>
          <t>JÄMTLANDS LÄN</t>
        </is>
      </c>
      <c r="E40" t="inlineStr">
        <is>
          <t>STRÖMSUND</t>
        </is>
      </c>
      <c r="F40" t="inlineStr">
        <is>
          <t>Holmen skog AB</t>
        </is>
      </c>
      <c r="G40" t="n">
        <v>22</v>
      </c>
      <c r="H40" t="n">
        <v>3</v>
      </c>
      <c r="I40" t="n">
        <v>9</v>
      </c>
      <c r="J40" t="n">
        <v>10</v>
      </c>
      <c r="K40" t="n">
        <v>1</v>
      </c>
      <c r="L40" t="n">
        <v>0</v>
      </c>
      <c r="M40" t="n">
        <v>0</v>
      </c>
      <c r="N40" t="n">
        <v>0</v>
      </c>
      <c r="O40" t="n">
        <v>11</v>
      </c>
      <c r="P40" t="n">
        <v>1</v>
      </c>
      <c r="Q40" t="n">
        <v>21</v>
      </c>
      <c r="R4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0">
        <f>HYPERLINK("https://klasma.github.io/Logging_STROMSUND/artfynd/A 39994-2020.xlsx")</f>
        <v/>
      </c>
      <c r="T40">
        <f>HYPERLINK("https://klasma.github.io/Logging_STROMSUND/kartor/A 39994-2020.png")</f>
        <v/>
      </c>
      <c r="V40">
        <f>HYPERLINK("https://klasma.github.io/Logging_STROMSUND/klagomål/A 39994-2020.docx")</f>
        <v/>
      </c>
      <c r="W40">
        <f>HYPERLINK("https://klasma.github.io/Logging_STROMSUND/klagomålsmail/A 39994-2020.docx")</f>
        <v/>
      </c>
      <c r="X40">
        <f>HYPERLINK("https://klasma.github.io/Logging_STROMSUND/tillsyn/A 39994-2020.docx")</f>
        <v/>
      </c>
      <c r="Y40">
        <f>HYPERLINK("https://klasma.github.io/Logging_STROMSUND/tillsynsmail/A 39994-2020.docx")</f>
        <v/>
      </c>
    </row>
    <row r="41" ht="15" customHeight="1">
      <c r="A41" t="inlineStr">
        <is>
          <t>A 52534-2020</t>
        </is>
      </c>
      <c r="B41" s="1" t="n">
        <v>44116</v>
      </c>
      <c r="C41" s="1" t="n">
        <v>45182</v>
      </c>
      <c r="D41" t="inlineStr">
        <is>
          <t>JÄMTLANDS LÄN</t>
        </is>
      </c>
      <c r="E41" t="inlineStr">
        <is>
          <t>ÅRE</t>
        </is>
      </c>
      <c r="G41" t="n">
        <v>15</v>
      </c>
      <c r="H41" t="n">
        <v>1</v>
      </c>
      <c r="I41" t="n">
        <v>6</v>
      </c>
      <c r="J41" t="n">
        <v>13</v>
      </c>
      <c r="K41" t="n">
        <v>1</v>
      </c>
      <c r="L41" t="n">
        <v>1</v>
      </c>
      <c r="M41" t="n">
        <v>0</v>
      </c>
      <c r="N41" t="n">
        <v>0</v>
      </c>
      <c r="O41" t="n">
        <v>15</v>
      </c>
      <c r="P41" t="n">
        <v>2</v>
      </c>
      <c r="Q41" t="n">
        <v>21</v>
      </c>
      <c r="R41"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1">
        <f>HYPERLINK("https://klasma.github.io/Logging_ARE/artfynd/A 52534-2020.xlsx")</f>
        <v/>
      </c>
      <c r="T41">
        <f>HYPERLINK("https://klasma.github.io/Logging_ARE/kartor/A 52534-2020.png")</f>
        <v/>
      </c>
      <c r="V41">
        <f>HYPERLINK("https://klasma.github.io/Logging_ARE/klagomål/A 52534-2020.docx")</f>
        <v/>
      </c>
      <c r="W41">
        <f>HYPERLINK("https://klasma.github.io/Logging_ARE/klagomålsmail/A 52534-2020.docx")</f>
        <v/>
      </c>
      <c r="X41">
        <f>HYPERLINK("https://klasma.github.io/Logging_ARE/tillsyn/A 52534-2020.docx")</f>
        <v/>
      </c>
      <c r="Y41">
        <f>HYPERLINK("https://klasma.github.io/Logging_ARE/tillsynsmail/A 52534-2020.docx")</f>
        <v/>
      </c>
    </row>
    <row r="42" ht="15" customHeight="1">
      <c r="A42" t="inlineStr">
        <is>
          <t>A 67786-2020</t>
        </is>
      </c>
      <c r="B42" s="1" t="n">
        <v>44182</v>
      </c>
      <c r="C42" s="1" t="n">
        <v>45182</v>
      </c>
      <c r="D42" t="inlineStr">
        <is>
          <t>JÄMTLANDS LÄN</t>
        </is>
      </c>
      <c r="E42" t="inlineStr">
        <is>
          <t>HÄRJEDALEN</t>
        </is>
      </c>
      <c r="F42" t="inlineStr">
        <is>
          <t>Holmen skog AB</t>
        </is>
      </c>
      <c r="G42" t="n">
        <v>9.699999999999999</v>
      </c>
      <c r="H42" t="n">
        <v>3</v>
      </c>
      <c r="I42" t="n">
        <v>3</v>
      </c>
      <c r="J42" t="n">
        <v>14</v>
      </c>
      <c r="K42" t="n">
        <v>2</v>
      </c>
      <c r="L42" t="n">
        <v>1</v>
      </c>
      <c r="M42" t="n">
        <v>0</v>
      </c>
      <c r="N42" t="n">
        <v>0</v>
      </c>
      <c r="O42" t="n">
        <v>17</v>
      </c>
      <c r="P42" t="n">
        <v>3</v>
      </c>
      <c r="Q42" t="n">
        <v>21</v>
      </c>
      <c r="R42"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2">
        <f>HYPERLINK("https://klasma.github.io/Logging_HARJEDALEN/artfynd/A 67786-2020.xlsx")</f>
        <v/>
      </c>
      <c r="T42">
        <f>HYPERLINK("https://klasma.github.io/Logging_HARJEDALEN/kartor/A 67786-2020.png")</f>
        <v/>
      </c>
      <c r="U42">
        <f>HYPERLINK("https://klasma.github.io/Logging_HARJEDALEN/knärot/A 67786-2020.png")</f>
        <v/>
      </c>
      <c r="V42">
        <f>HYPERLINK("https://klasma.github.io/Logging_HARJEDALEN/klagomål/A 67786-2020.docx")</f>
        <v/>
      </c>
      <c r="W42">
        <f>HYPERLINK("https://klasma.github.io/Logging_HARJEDALEN/klagomålsmail/A 67786-2020.docx")</f>
        <v/>
      </c>
      <c r="X42">
        <f>HYPERLINK("https://klasma.github.io/Logging_HARJEDALEN/tillsyn/A 67786-2020.docx")</f>
        <v/>
      </c>
      <c r="Y42">
        <f>HYPERLINK("https://klasma.github.io/Logging_HARJEDALEN/tillsynsmail/A 67786-2020.docx")</f>
        <v/>
      </c>
    </row>
    <row r="43" ht="15" customHeight="1">
      <c r="A43" t="inlineStr">
        <is>
          <t>A 71219-2021</t>
        </is>
      </c>
      <c r="B43" s="1" t="n">
        <v>44538</v>
      </c>
      <c r="C43" s="1" t="n">
        <v>45182</v>
      </c>
      <c r="D43" t="inlineStr">
        <is>
          <t>JÄMTLANDS LÄN</t>
        </is>
      </c>
      <c r="E43" t="inlineStr">
        <is>
          <t>STRÖMSUND</t>
        </is>
      </c>
      <c r="F43" t="inlineStr">
        <is>
          <t>SCA</t>
        </is>
      </c>
      <c r="G43" t="n">
        <v>95.3</v>
      </c>
      <c r="H43" t="n">
        <v>0</v>
      </c>
      <c r="I43" t="n">
        <v>7</v>
      </c>
      <c r="J43" t="n">
        <v>10</v>
      </c>
      <c r="K43" t="n">
        <v>3</v>
      </c>
      <c r="L43" t="n">
        <v>1</v>
      </c>
      <c r="M43" t="n">
        <v>0</v>
      </c>
      <c r="N43" t="n">
        <v>0</v>
      </c>
      <c r="O43" t="n">
        <v>14</v>
      </c>
      <c r="P43" t="n">
        <v>4</v>
      </c>
      <c r="Q43" t="n">
        <v>21</v>
      </c>
      <c r="R43"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3">
        <f>HYPERLINK("https://klasma.github.io/Logging_STROMSUND/artfynd/A 71219-2021.xlsx")</f>
        <v/>
      </c>
      <c r="T43">
        <f>HYPERLINK("https://klasma.github.io/Logging_STROMSUND/kartor/A 71219-2021.png")</f>
        <v/>
      </c>
      <c r="V43">
        <f>HYPERLINK("https://klasma.github.io/Logging_STROMSUND/klagomål/A 71219-2021.docx")</f>
        <v/>
      </c>
      <c r="W43">
        <f>HYPERLINK("https://klasma.github.io/Logging_STROMSUND/klagomålsmail/A 71219-2021.docx")</f>
        <v/>
      </c>
      <c r="X43">
        <f>HYPERLINK("https://klasma.github.io/Logging_STROMSUND/tillsyn/A 71219-2021.docx")</f>
        <v/>
      </c>
      <c r="Y43">
        <f>HYPERLINK("https://klasma.github.io/Logging_STROMSUND/tillsynsmail/A 71219-2021.docx")</f>
        <v/>
      </c>
    </row>
    <row r="44" ht="15" customHeight="1">
      <c r="A44" t="inlineStr">
        <is>
          <t>A 57003-2022</t>
        </is>
      </c>
      <c r="B44" s="1" t="n">
        <v>44894</v>
      </c>
      <c r="C44" s="1" t="n">
        <v>45182</v>
      </c>
      <c r="D44" t="inlineStr">
        <is>
          <t>JÄMTLANDS LÄN</t>
        </is>
      </c>
      <c r="E44" t="inlineStr">
        <is>
          <t>RAGUNDA</t>
        </is>
      </c>
      <c r="F44" t="inlineStr">
        <is>
          <t>SCA</t>
        </is>
      </c>
      <c r="G44" t="n">
        <v>12.7</v>
      </c>
      <c r="H44" t="n">
        <v>5</v>
      </c>
      <c r="I44" t="n">
        <v>4</v>
      </c>
      <c r="J44" t="n">
        <v>11</v>
      </c>
      <c r="K44" t="n">
        <v>3</v>
      </c>
      <c r="L44" t="n">
        <v>0</v>
      </c>
      <c r="M44" t="n">
        <v>0</v>
      </c>
      <c r="N44" t="n">
        <v>0</v>
      </c>
      <c r="O44" t="n">
        <v>14</v>
      </c>
      <c r="P44" t="n">
        <v>3</v>
      </c>
      <c r="Q44" t="n">
        <v>21</v>
      </c>
      <c r="R44" s="2" t="inlineStr">
        <is>
          <t>Doftticka
Knärot
Rynkskinn
Dvärgbägarlav
Garnlav
Kolflarnlav
Lunglav
Myskmåra
Olivbrun gytterlav
Rosenticka
Skrovellav
Ullticka
Vedskivlav
Vedtrappmossa
Dropptaggsvamp
Stuplav
Svart trolldruva
Vårärt
Nattviol
Blåsippa
Revlummer</t>
        </is>
      </c>
      <c r="S44">
        <f>HYPERLINK("https://klasma.github.io/Logging_RAGUNDA/artfynd/A 57003-2022.xlsx")</f>
        <v/>
      </c>
      <c r="T44">
        <f>HYPERLINK("https://klasma.github.io/Logging_RAGUNDA/kartor/A 57003-2022.png")</f>
        <v/>
      </c>
      <c r="U44">
        <f>HYPERLINK("https://klasma.github.io/Logging_RAGUNDA/knärot/A 57003-2022.png")</f>
        <v/>
      </c>
      <c r="V44">
        <f>HYPERLINK("https://klasma.github.io/Logging_RAGUNDA/klagomål/A 57003-2022.docx")</f>
        <v/>
      </c>
      <c r="W44">
        <f>HYPERLINK("https://klasma.github.io/Logging_RAGUNDA/klagomålsmail/A 57003-2022.docx")</f>
        <v/>
      </c>
      <c r="X44">
        <f>HYPERLINK("https://klasma.github.io/Logging_RAGUNDA/tillsyn/A 57003-2022.docx")</f>
        <v/>
      </c>
      <c r="Y44">
        <f>HYPERLINK("https://klasma.github.io/Logging_RAGUNDA/tillsynsmail/A 57003-2022.docx")</f>
        <v/>
      </c>
    </row>
    <row r="45" ht="15" customHeight="1">
      <c r="A45" t="inlineStr">
        <is>
          <t>A 61937-2022</t>
        </is>
      </c>
      <c r="B45" s="1" t="n">
        <v>44917</v>
      </c>
      <c r="C45" s="1" t="n">
        <v>45182</v>
      </c>
      <c r="D45" t="inlineStr">
        <is>
          <t>JÄMTLANDS LÄN</t>
        </is>
      </c>
      <c r="E45" t="inlineStr">
        <is>
          <t>RAGUNDA</t>
        </is>
      </c>
      <c r="F45" t="inlineStr">
        <is>
          <t>SCA</t>
        </is>
      </c>
      <c r="G45" t="n">
        <v>12.4</v>
      </c>
      <c r="H45" t="n">
        <v>5</v>
      </c>
      <c r="I45" t="n">
        <v>9</v>
      </c>
      <c r="J45" t="n">
        <v>8</v>
      </c>
      <c r="K45" t="n">
        <v>3</v>
      </c>
      <c r="L45" t="n">
        <v>0</v>
      </c>
      <c r="M45" t="n">
        <v>0</v>
      </c>
      <c r="N45" t="n">
        <v>0</v>
      </c>
      <c r="O45" t="n">
        <v>11</v>
      </c>
      <c r="P45" t="n">
        <v>3</v>
      </c>
      <c r="Q45" t="n">
        <v>21</v>
      </c>
      <c r="R45" s="2" t="inlineStr">
        <is>
          <t>Knärot
Rynkskinn
Smalskaftslav
Doftskinn
Garnlav
Lunglav
Rosenticka
Tretåig hackspett
Ullticka
Vedtrappmossa
Vitgrynig nållav
Guckusko
Gytterlav
Korallblylav
Kransrams
Luddlav
Stuplav
Svavelriska
Trådticka
Tvåblad
Fläcknycklar</t>
        </is>
      </c>
      <c r="S45">
        <f>HYPERLINK("https://klasma.github.io/Logging_RAGUNDA/artfynd/A 61937-2022.xlsx")</f>
        <v/>
      </c>
      <c r="T45">
        <f>HYPERLINK("https://klasma.github.io/Logging_RAGUNDA/kartor/A 61937-2022.png")</f>
        <v/>
      </c>
      <c r="U45">
        <f>HYPERLINK("https://klasma.github.io/Logging_RAGUNDA/knärot/A 61937-2022.png")</f>
        <v/>
      </c>
      <c r="V45">
        <f>HYPERLINK("https://klasma.github.io/Logging_RAGUNDA/klagomål/A 61937-2022.docx")</f>
        <v/>
      </c>
      <c r="W45">
        <f>HYPERLINK("https://klasma.github.io/Logging_RAGUNDA/klagomålsmail/A 61937-2022.docx")</f>
        <v/>
      </c>
      <c r="X45">
        <f>HYPERLINK("https://klasma.github.io/Logging_RAGUNDA/tillsyn/A 61937-2022.docx")</f>
        <v/>
      </c>
      <c r="Y45">
        <f>HYPERLINK("https://klasma.github.io/Logging_RAGUNDA/tillsynsmail/A 61937-2022.docx")</f>
        <v/>
      </c>
    </row>
    <row r="46" ht="15" customHeight="1">
      <c r="A46" t="inlineStr">
        <is>
          <t>A 10635-2023</t>
        </is>
      </c>
      <c r="B46" s="1" t="n">
        <v>44984</v>
      </c>
      <c r="C46" s="1" t="n">
        <v>45182</v>
      </c>
      <c r="D46" t="inlineStr">
        <is>
          <t>JÄMTLANDS LÄN</t>
        </is>
      </c>
      <c r="E46" t="inlineStr">
        <is>
          <t>ÅRE</t>
        </is>
      </c>
      <c r="G46" t="n">
        <v>37.9</v>
      </c>
      <c r="H46" t="n">
        <v>2</v>
      </c>
      <c r="I46" t="n">
        <v>3</v>
      </c>
      <c r="J46" t="n">
        <v>12</v>
      </c>
      <c r="K46" t="n">
        <v>5</v>
      </c>
      <c r="L46" t="n">
        <v>1</v>
      </c>
      <c r="M46" t="n">
        <v>0</v>
      </c>
      <c r="N46" t="n">
        <v>0</v>
      </c>
      <c r="O46" t="n">
        <v>18</v>
      </c>
      <c r="P46" t="n">
        <v>6</v>
      </c>
      <c r="Q46" t="n">
        <v>21</v>
      </c>
      <c r="R46"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6">
        <f>HYPERLINK("https://klasma.github.io/Logging_ARE/artfynd/A 10635-2023.xlsx")</f>
        <v/>
      </c>
      <c r="T46">
        <f>HYPERLINK("https://klasma.github.io/Logging_ARE/kartor/A 10635-2023.png")</f>
        <v/>
      </c>
      <c r="V46">
        <f>HYPERLINK("https://klasma.github.io/Logging_ARE/klagomål/A 10635-2023.docx")</f>
        <v/>
      </c>
      <c r="W46">
        <f>HYPERLINK("https://klasma.github.io/Logging_ARE/klagomålsmail/A 10635-2023.docx")</f>
        <v/>
      </c>
      <c r="X46">
        <f>HYPERLINK("https://klasma.github.io/Logging_ARE/tillsyn/A 10635-2023.docx")</f>
        <v/>
      </c>
      <c r="Y46">
        <f>HYPERLINK("https://klasma.github.io/Logging_ARE/tillsynsmail/A 10635-2023.docx")</f>
        <v/>
      </c>
    </row>
    <row r="47" ht="15" customHeight="1">
      <c r="A47" t="inlineStr">
        <is>
          <t>A 69055-2019</t>
        </is>
      </c>
      <c r="B47" s="1" t="n">
        <v>43826</v>
      </c>
      <c r="C47" s="1" t="n">
        <v>45182</v>
      </c>
      <c r="D47" t="inlineStr">
        <is>
          <t>JÄMTLANDS LÄN</t>
        </is>
      </c>
      <c r="E47" t="inlineStr">
        <is>
          <t>HÄRJEDALEN</t>
        </is>
      </c>
      <c r="G47" t="n">
        <v>9</v>
      </c>
      <c r="H47" t="n">
        <v>2</v>
      </c>
      <c r="I47" t="n">
        <v>3</v>
      </c>
      <c r="J47" t="n">
        <v>15</v>
      </c>
      <c r="K47" t="n">
        <v>2</v>
      </c>
      <c r="L47" t="n">
        <v>0</v>
      </c>
      <c r="M47" t="n">
        <v>0</v>
      </c>
      <c r="N47" t="n">
        <v>0</v>
      </c>
      <c r="O47" t="n">
        <v>17</v>
      </c>
      <c r="P47" t="n">
        <v>2</v>
      </c>
      <c r="Q47" t="n">
        <v>20</v>
      </c>
      <c r="R47"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7">
        <f>HYPERLINK("https://klasma.github.io/Logging_HARJEDALEN/artfynd/A 69055-2019.xlsx")</f>
        <v/>
      </c>
      <c r="T47">
        <f>HYPERLINK("https://klasma.github.io/Logging_HARJEDALEN/kartor/A 69055-2019.png")</f>
        <v/>
      </c>
      <c r="V47">
        <f>HYPERLINK("https://klasma.github.io/Logging_HARJEDALEN/klagomål/A 69055-2019.docx")</f>
        <v/>
      </c>
      <c r="W47">
        <f>HYPERLINK("https://klasma.github.io/Logging_HARJEDALEN/klagomålsmail/A 69055-2019.docx")</f>
        <v/>
      </c>
      <c r="X47">
        <f>HYPERLINK("https://klasma.github.io/Logging_HARJEDALEN/tillsyn/A 69055-2019.docx")</f>
        <v/>
      </c>
      <c r="Y47">
        <f>HYPERLINK("https://klasma.github.io/Logging_HARJEDALEN/tillsynsmail/A 69055-2019.docx")</f>
        <v/>
      </c>
    </row>
    <row r="48" ht="15" customHeight="1">
      <c r="A48" t="inlineStr">
        <is>
          <t>A 34848-2020</t>
        </is>
      </c>
      <c r="B48" s="1" t="n">
        <v>44036</v>
      </c>
      <c r="C48" s="1" t="n">
        <v>45182</v>
      </c>
      <c r="D48" t="inlineStr">
        <is>
          <t>JÄMTLANDS LÄN</t>
        </is>
      </c>
      <c r="E48" t="inlineStr">
        <is>
          <t>BRÄCKE</t>
        </is>
      </c>
      <c r="F48" t="inlineStr">
        <is>
          <t>Övriga Aktiebolag</t>
        </is>
      </c>
      <c r="G48" t="n">
        <v>43.5</v>
      </c>
      <c r="H48" t="n">
        <v>6</v>
      </c>
      <c r="I48" t="n">
        <v>9</v>
      </c>
      <c r="J48" t="n">
        <v>7</v>
      </c>
      <c r="K48" t="n">
        <v>1</v>
      </c>
      <c r="L48" t="n">
        <v>0</v>
      </c>
      <c r="M48" t="n">
        <v>0</v>
      </c>
      <c r="N48" t="n">
        <v>0</v>
      </c>
      <c r="O48" t="n">
        <v>8</v>
      </c>
      <c r="P48" t="n">
        <v>1</v>
      </c>
      <c r="Q48" t="n">
        <v>20</v>
      </c>
      <c r="R48" s="2" t="inlineStr">
        <is>
          <t>Knärot
Dvärgbägarlav
Garnlav
Kolflarnlav
Lunglav
Mörk kolflarnlav
Vedflamlav
Vedskivlav
Bronshjon
Dropptaggsvamp
Gräsull
Guckusko
Kransrams
Svart trolldruva
Svavelriska
Tvåblad
Vågbandad barkbock
Brudsporre
Fläcknycklar
Ängsnycklar</t>
        </is>
      </c>
      <c r="S48">
        <f>HYPERLINK("https://klasma.github.io/Logging_BRACKE/artfynd/A 34848-2020.xlsx")</f>
        <v/>
      </c>
      <c r="T48">
        <f>HYPERLINK("https://klasma.github.io/Logging_BRACKE/kartor/A 34848-2020.png")</f>
        <v/>
      </c>
      <c r="U48">
        <f>HYPERLINK("https://klasma.github.io/Logging_BRACKE/knärot/A 34848-2020.png")</f>
        <v/>
      </c>
      <c r="V48">
        <f>HYPERLINK("https://klasma.github.io/Logging_BRACKE/klagomål/A 34848-2020.docx")</f>
        <v/>
      </c>
      <c r="W48">
        <f>HYPERLINK("https://klasma.github.io/Logging_BRACKE/klagomålsmail/A 34848-2020.docx")</f>
        <v/>
      </c>
      <c r="X48">
        <f>HYPERLINK("https://klasma.github.io/Logging_BRACKE/tillsyn/A 34848-2020.docx")</f>
        <v/>
      </c>
      <c r="Y48">
        <f>HYPERLINK("https://klasma.github.io/Logging_BRACKE/tillsynsmail/A 34848-2020.docx")</f>
        <v/>
      </c>
    </row>
    <row r="49" ht="15" customHeight="1">
      <c r="A49" t="inlineStr">
        <is>
          <t>A 41447-2020</t>
        </is>
      </c>
      <c r="B49" s="1" t="n">
        <v>44073</v>
      </c>
      <c r="C49" s="1" t="n">
        <v>45182</v>
      </c>
      <c r="D49" t="inlineStr">
        <is>
          <t>JÄMTLANDS LÄN</t>
        </is>
      </c>
      <c r="E49" t="inlineStr">
        <is>
          <t>STRÖMSUND</t>
        </is>
      </c>
      <c r="F49" t="inlineStr">
        <is>
          <t>SCA</t>
        </is>
      </c>
      <c r="G49" t="n">
        <v>15.9</v>
      </c>
      <c r="H49" t="n">
        <v>2</v>
      </c>
      <c r="I49" t="n">
        <v>5</v>
      </c>
      <c r="J49" t="n">
        <v>11</v>
      </c>
      <c r="K49" t="n">
        <v>4</v>
      </c>
      <c r="L49" t="n">
        <v>0</v>
      </c>
      <c r="M49" t="n">
        <v>0</v>
      </c>
      <c r="N49" t="n">
        <v>0</v>
      </c>
      <c r="O49" t="n">
        <v>15</v>
      </c>
      <c r="P49" t="n">
        <v>4</v>
      </c>
      <c r="Q49" t="n">
        <v>20</v>
      </c>
      <c r="R49"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49">
        <f>HYPERLINK("https://klasma.github.io/Logging_STROMSUND/artfynd/A 41447-2020.xlsx")</f>
        <v/>
      </c>
      <c r="T49">
        <f>HYPERLINK("https://klasma.github.io/Logging_STROMSUND/kartor/A 41447-2020.png")</f>
        <v/>
      </c>
      <c r="U49">
        <f>HYPERLINK("https://klasma.github.io/Logging_STROMSUND/knärot/A 41447-2020.png")</f>
        <v/>
      </c>
      <c r="V49">
        <f>HYPERLINK("https://klasma.github.io/Logging_STROMSUND/klagomål/A 41447-2020.docx")</f>
        <v/>
      </c>
      <c r="W49">
        <f>HYPERLINK("https://klasma.github.io/Logging_STROMSUND/klagomålsmail/A 41447-2020.docx")</f>
        <v/>
      </c>
      <c r="X49">
        <f>HYPERLINK("https://klasma.github.io/Logging_STROMSUND/tillsyn/A 41447-2020.docx")</f>
        <v/>
      </c>
      <c r="Y49">
        <f>HYPERLINK("https://klasma.github.io/Logging_STROMSUND/tillsynsmail/A 41447-2020.docx")</f>
        <v/>
      </c>
    </row>
    <row r="50" ht="15" customHeight="1">
      <c r="A50" t="inlineStr">
        <is>
          <t>A 55937-2020</t>
        </is>
      </c>
      <c r="B50" s="1" t="n">
        <v>44133</v>
      </c>
      <c r="C50" s="1" t="n">
        <v>45182</v>
      </c>
      <c r="D50" t="inlineStr">
        <is>
          <t>JÄMTLANDS LÄN</t>
        </is>
      </c>
      <c r="E50" t="inlineStr">
        <is>
          <t>STRÖMSUND</t>
        </is>
      </c>
      <c r="F50" t="inlineStr">
        <is>
          <t>Holmen skog AB</t>
        </is>
      </c>
      <c r="G50" t="n">
        <v>25.9</v>
      </c>
      <c r="H50" t="n">
        <v>2</v>
      </c>
      <c r="I50" t="n">
        <v>9</v>
      </c>
      <c r="J50" t="n">
        <v>9</v>
      </c>
      <c r="K50" t="n">
        <v>2</v>
      </c>
      <c r="L50" t="n">
        <v>0</v>
      </c>
      <c r="M50" t="n">
        <v>0</v>
      </c>
      <c r="N50" t="n">
        <v>0</v>
      </c>
      <c r="O50" t="n">
        <v>11</v>
      </c>
      <c r="P50" t="n">
        <v>2</v>
      </c>
      <c r="Q50" t="n">
        <v>20</v>
      </c>
      <c r="R50" s="2" t="inlineStr">
        <is>
          <t>Knärot
Lappticka
Doftskinn
Garnlav
Granticka
Gränsticka
Lunglav
Rosenticka
Skrovellav
Ullticka
Vitgrynig nållav
Bårdlav
Granriska
Kornig nållav
Luddlav
Skinnlav
Spindelblomster
Stuplav
Trådticka
Ögonpyrola</t>
        </is>
      </c>
      <c r="S50">
        <f>HYPERLINK("https://klasma.github.io/Logging_STROMSUND/artfynd/A 55937-2020.xlsx")</f>
        <v/>
      </c>
      <c r="T50">
        <f>HYPERLINK("https://klasma.github.io/Logging_STROMSUND/kartor/A 55937-2020.png")</f>
        <v/>
      </c>
      <c r="U50">
        <f>HYPERLINK("https://klasma.github.io/Logging_STROMSUND/knärot/A 55937-2020.png")</f>
        <v/>
      </c>
      <c r="V50">
        <f>HYPERLINK("https://klasma.github.io/Logging_STROMSUND/klagomål/A 55937-2020.docx")</f>
        <v/>
      </c>
      <c r="W50">
        <f>HYPERLINK("https://klasma.github.io/Logging_STROMSUND/klagomålsmail/A 55937-2020.docx")</f>
        <v/>
      </c>
      <c r="X50">
        <f>HYPERLINK("https://klasma.github.io/Logging_STROMSUND/tillsyn/A 55937-2020.docx")</f>
        <v/>
      </c>
      <c r="Y50">
        <f>HYPERLINK("https://klasma.github.io/Logging_STROMSUND/tillsynsmail/A 55937-2020.docx")</f>
        <v/>
      </c>
    </row>
    <row r="51" ht="15" customHeight="1">
      <c r="A51" t="inlineStr">
        <is>
          <t>A 62085-2020</t>
        </is>
      </c>
      <c r="B51" s="1" t="n">
        <v>44158</v>
      </c>
      <c r="C51" s="1" t="n">
        <v>45182</v>
      </c>
      <c r="D51" t="inlineStr">
        <is>
          <t>JÄMTLANDS LÄN</t>
        </is>
      </c>
      <c r="E51" t="inlineStr">
        <is>
          <t>STRÖMSUND</t>
        </is>
      </c>
      <c r="G51" t="n">
        <v>73.2</v>
      </c>
      <c r="H51" t="n">
        <v>1</v>
      </c>
      <c r="I51" t="n">
        <v>7</v>
      </c>
      <c r="J51" t="n">
        <v>7</v>
      </c>
      <c r="K51" t="n">
        <v>4</v>
      </c>
      <c r="L51" t="n">
        <v>1</v>
      </c>
      <c r="M51" t="n">
        <v>0</v>
      </c>
      <c r="N51" t="n">
        <v>0</v>
      </c>
      <c r="O51" t="n">
        <v>12</v>
      </c>
      <c r="P51" t="n">
        <v>5</v>
      </c>
      <c r="Q51" t="n">
        <v>20</v>
      </c>
      <c r="R51" s="2" t="inlineStr">
        <is>
          <t>Skrovellavsknapp
Liten sotlav
Norsk näverlav
Rynkskinn
Smalskaftslav
Garnlav
Harticka
Kavernularia
Lunglav
Rödbrun blekspik
Skrovellav
Stjärntagging
Gytterlav
Korallblylav
Kransrams
Luddlav
Mörk husmossa
Stuplav
Vedticka
Lopplummer</t>
        </is>
      </c>
      <c r="S51">
        <f>HYPERLINK("https://klasma.github.io/Logging_STROMSUND/artfynd/A 62085-2020.xlsx")</f>
        <v/>
      </c>
      <c r="T51">
        <f>HYPERLINK("https://klasma.github.io/Logging_STROMSUND/kartor/A 62085-2020.png")</f>
        <v/>
      </c>
      <c r="V51">
        <f>HYPERLINK("https://klasma.github.io/Logging_STROMSUND/klagomål/A 62085-2020.docx")</f>
        <v/>
      </c>
      <c r="W51">
        <f>HYPERLINK("https://klasma.github.io/Logging_STROMSUND/klagomålsmail/A 62085-2020.docx")</f>
        <v/>
      </c>
      <c r="X51">
        <f>HYPERLINK("https://klasma.github.io/Logging_STROMSUND/tillsyn/A 62085-2020.docx")</f>
        <v/>
      </c>
      <c r="Y51">
        <f>HYPERLINK("https://klasma.github.io/Logging_STROMSUND/tillsynsmail/A 62085-2020.docx")</f>
        <v/>
      </c>
    </row>
    <row r="52" ht="15" customHeight="1">
      <c r="A52" t="inlineStr">
        <is>
          <t>A 66153-2020</t>
        </is>
      </c>
      <c r="B52" s="1" t="n">
        <v>44175</v>
      </c>
      <c r="C52" s="1" t="n">
        <v>45182</v>
      </c>
      <c r="D52" t="inlineStr">
        <is>
          <t>JÄMTLANDS LÄN</t>
        </is>
      </c>
      <c r="E52" t="inlineStr">
        <is>
          <t>STRÖMSUND</t>
        </is>
      </c>
      <c r="F52" t="inlineStr">
        <is>
          <t>Holmen skog AB</t>
        </is>
      </c>
      <c r="G52" t="n">
        <v>17.3</v>
      </c>
      <c r="H52" t="n">
        <v>2</v>
      </c>
      <c r="I52" t="n">
        <v>10</v>
      </c>
      <c r="J52" t="n">
        <v>9</v>
      </c>
      <c r="K52" t="n">
        <v>1</v>
      </c>
      <c r="L52" t="n">
        <v>0</v>
      </c>
      <c r="M52" t="n">
        <v>0</v>
      </c>
      <c r="N52" t="n">
        <v>0</v>
      </c>
      <c r="O52" t="n">
        <v>10</v>
      </c>
      <c r="P52" t="n">
        <v>1</v>
      </c>
      <c r="Q52" t="n">
        <v>20</v>
      </c>
      <c r="R52" s="2" t="inlineStr">
        <is>
          <t>Norsk näverlav
Garnlav
Granticka
Järpe
Liten svartspik
Luddfingersvamp
Lunglav
Rödbrun blekspik
Skrovellav
Vitgrynig nållav
Bårdlav
Gulnål
Gytterlav
Luddlav
Mörk husmossa
Skuggblåslav
Spindelblomster
Stuplav
Vedticka
Ögonpyrola</t>
        </is>
      </c>
      <c r="S52">
        <f>HYPERLINK("https://klasma.github.io/Logging_STROMSUND/artfynd/A 66153-2020.xlsx")</f>
        <v/>
      </c>
      <c r="T52">
        <f>HYPERLINK("https://klasma.github.io/Logging_STROMSUND/kartor/A 66153-2020.png")</f>
        <v/>
      </c>
      <c r="V52">
        <f>HYPERLINK("https://klasma.github.io/Logging_STROMSUND/klagomål/A 66153-2020.docx")</f>
        <v/>
      </c>
      <c r="W52">
        <f>HYPERLINK("https://klasma.github.io/Logging_STROMSUND/klagomålsmail/A 66153-2020.docx")</f>
        <v/>
      </c>
      <c r="X52">
        <f>HYPERLINK("https://klasma.github.io/Logging_STROMSUND/tillsyn/A 66153-2020.docx")</f>
        <v/>
      </c>
      <c r="Y52">
        <f>HYPERLINK("https://klasma.github.io/Logging_STROMSUND/tillsynsmail/A 66153-2020.docx")</f>
        <v/>
      </c>
    </row>
    <row r="53" ht="15" customHeight="1">
      <c r="A53" t="inlineStr">
        <is>
          <t>A 49105-2019</t>
        </is>
      </c>
      <c r="B53" s="1" t="n">
        <v>43731</v>
      </c>
      <c r="C53" s="1" t="n">
        <v>45182</v>
      </c>
      <c r="D53" t="inlineStr">
        <is>
          <t>JÄMTLANDS LÄN</t>
        </is>
      </c>
      <c r="E53" t="inlineStr">
        <is>
          <t>KROKOM</t>
        </is>
      </c>
      <c r="G53" t="n">
        <v>27.8</v>
      </c>
      <c r="H53" t="n">
        <v>1</v>
      </c>
      <c r="I53" t="n">
        <v>8</v>
      </c>
      <c r="J53" t="n">
        <v>9</v>
      </c>
      <c r="K53" t="n">
        <v>1</v>
      </c>
      <c r="L53" t="n">
        <v>0</v>
      </c>
      <c r="M53" t="n">
        <v>0</v>
      </c>
      <c r="N53" t="n">
        <v>0</v>
      </c>
      <c r="O53" t="n">
        <v>10</v>
      </c>
      <c r="P53" t="n">
        <v>1</v>
      </c>
      <c r="Q53" t="n">
        <v>19</v>
      </c>
      <c r="R53" s="2" t="inlineStr">
        <is>
          <t>Rynkskinn
Brunpudrad nållav
Doftskinn
Gammelgransskål
Garnlav
Granticka
Gränsticka
Rödbrun blekspik
Skrovellav
Ullticka
Bårdlav
Granriska
Gulnål
Luddlav
Mörk husmossa
Norrlandslav
Stuplav
Svavelriska
Revlummer</t>
        </is>
      </c>
      <c r="S53">
        <f>HYPERLINK("https://klasma.github.io/Logging_KROKOM/artfynd/A 49105-2019.xlsx")</f>
        <v/>
      </c>
      <c r="T53">
        <f>HYPERLINK("https://klasma.github.io/Logging_KROKOM/kartor/A 49105-2019.png")</f>
        <v/>
      </c>
      <c r="V53">
        <f>HYPERLINK("https://klasma.github.io/Logging_KROKOM/klagomål/A 49105-2019.docx")</f>
        <v/>
      </c>
      <c r="W53">
        <f>HYPERLINK("https://klasma.github.io/Logging_KROKOM/klagomålsmail/A 49105-2019.docx")</f>
        <v/>
      </c>
      <c r="X53">
        <f>HYPERLINK("https://klasma.github.io/Logging_KROKOM/tillsyn/A 49105-2019.docx")</f>
        <v/>
      </c>
      <c r="Y53">
        <f>HYPERLINK("https://klasma.github.io/Logging_KROKOM/tillsynsmail/A 49105-2019.docx")</f>
        <v/>
      </c>
    </row>
    <row r="54" ht="15" customHeight="1">
      <c r="A54" t="inlineStr">
        <is>
          <t>A 6222-2020</t>
        </is>
      </c>
      <c r="B54" s="1" t="n">
        <v>43865</v>
      </c>
      <c r="C54" s="1" t="n">
        <v>45182</v>
      </c>
      <c r="D54" t="inlineStr">
        <is>
          <t>JÄMTLANDS LÄN</t>
        </is>
      </c>
      <c r="E54" t="inlineStr">
        <is>
          <t>RAGUNDA</t>
        </is>
      </c>
      <c r="G54" t="n">
        <v>20.7</v>
      </c>
      <c r="H54" t="n">
        <v>3</v>
      </c>
      <c r="I54" t="n">
        <v>3</v>
      </c>
      <c r="J54" t="n">
        <v>14</v>
      </c>
      <c r="K54" t="n">
        <v>2</v>
      </c>
      <c r="L54" t="n">
        <v>0</v>
      </c>
      <c r="M54" t="n">
        <v>0</v>
      </c>
      <c r="N54" t="n">
        <v>0</v>
      </c>
      <c r="O54" t="n">
        <v>16</v>
      </c>
      <c r="P54" t="n">
        <v>2</v>
      </c>
      <c r="Q54" t="n">
        <v>19</v>
      </c>
      <c r="R54" s="2" t="inlineStr">
        <is>
          <t>Gräddporing
Knärot
Dvärgbägarlav
Gammelgransskål
Garnlav
Kolflarnlav
Lunglav
Mörk kolflarnlav
Nordtagging
Rosenticka
Spillkråka
Talltita
Ullticka
Vedflamlav
Vedskivlav
Vedtrappmossa
Dropptaggsvamp
Nästlav
Stuplav</t>
        </is>
      </c>
      <c r="S54">
        <f>HYPERLINK("https://klasma.github.io/Logging_RAGUNDA/artfynd/A 6222-2020.xlsx")</f>
        <v/>
      </c>
      <c r="T54">
        <f>HYPERLINK("https://klasma.github.io/Logging_RAGUNDA/kartor/A 6222-2020.png")</f>
        <v/>
      </c>
      <c r="U54">
        <f>HYPERLINK("https://klasma.github.io/Logging_RAGUNDA/knärot/A 6222-2020.png")</f>
        <v/>
      </c>
      <c r="V54">
        <f>HYPERLINK("https://klasma.github.io/Logging_RAGUNDA/klagomål/A 6222-2020.docx")</f>
        <v/>
      </c>
      <c r="W54">
        <f>HYPERLINK("https://klasma.github.io/Logging_RAGUNDA/klagomålsmail/A 6222-2020.docx")</f>
        <v/>
      </c>
      <c r="X54">
        <f>HYPERLINK("https://klasma.github.io/Logging_RAGUNDA/tillsyn/A 6222-2020.docx")</f>
        <v/>
      </c>
      <c r="Y54">
        <f>HYPERLINK("https://klasma.github.io/Logging_RAGUNDA/tillsynsmail/A 6222-2020.docx")</f>
        <v/>
      </c>
    </row>
    <row r="55" ht="15" customHeight="1">
      <c r="A55" t="inlineStr">
        <is>
          <t>A 13787-2020</t>
        </is>
      </c>
      <c r="B55" s="1" t="n">
        <v>43903</v>
      </c>
      <c r="C55" s="1" t="n">
        <v>45182</v>
      </c>
      <c r="D55" t="inlineStr">
        <is>
          <t>JÄMTLANDS LÄN</t>
        </is>
      </c>
      <c r="E55" t="inlineStr">
        <is>
          <t>STRÖMSUND</t>
        </is>
      </c>
      <c r="F55" t="inlineStr">
        <is>
          <t>SCA</t>
        </is>
      </c>
      <c r="G55" t="n">
        <v>10.2</v>
      </c>
      <c r="H55" t="n">
        <v>2</v>
      </c>
      <c r="I55" t="n">
        <v>4</v>
      </c>
      <c r="J55" t="n">
        <v>12</v>
      </c>
      <c r="K55" t="n">
        <v>3</v>
      </c>
      <c r="L55" t="n">
        <v>0</v>
      </c>
      <c r="M55" t="n">
        <v>0</v>
      </c>
      <c r="N55" t="n">
        <v>0</v>
      </c>
      <c r="O55" t="n">
        <v>15</v>
      </c>
      <c r="P55" t="n">
        <v>3</v>
      </c>
      <c r="Q55" t="n">
        <v>19</v>
      </c>
      <c r="R55"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5">
        <f>HYPERLINK("https://klasma.github.io/Logging_STROMSUND/artfynd/A 13787-2020.xlsx")</f>
        <v/>
      </c>
      <c r="T55">
        <f>HYPERLINK("https://klasma.github.io/Logging_STROMSUND/kartor/A 13787-2020.png")</f>
        <v/>
      </c>
      <c r="V55">
        <f>HYPERLINK("https://klasma.github.io/Logging_STROMSUND/klagomål/A 13787-2020.docx")</f>
        <v/>
      </c>
      <c r="W55">
        <f>HYPERLINK("https://klasma.github.io/Logging_STROMSUND/klagomålsmail/A 13787-2020.docx")</f>
        <v/>
      </c>
      <c r="X55">
        <f>HYPERLINK("https://klasma.github.io/Logging_STROMSUND/tillsyn/A 13787-2020.docx")</f>
        <v/>
      </c>
      <c r="Y55">
        <f>HYPERLINK("https://klasma.github.io/Logging_STROMSUND/tillsynsmail/A 13787-2020.docx")</f>
        <v/>
      </c>
    </row>
    <row r="56" ht="15" customHeight="1">
      <c r="A56" t="inlineStr">
        <is>
          <t>A 18320-2021</t>
        </is>
      </c>
      <c r="B56" s="1" t="n">
        <v>44305</v>
      </c>
      <c r="C56" s="1" t="n">
        <v>45182</v>
      </c>
      <c r="D56" t="inlineStr">
        <is>
          <t>JÄMTLANDS LÄN</t>
        </is>
      </c>
      <c r="E56" t="inlineStr">
        <is>
          <t>STRÖMSUND</t>
        </is>
      </c>
      <c r="G56" t="n">
        <v>11.9</v>
      </c>
      <c r="H56" t="n">
        <v>4</v>
      </c>
      <c r="I56" t="n">
        <v>11</v>
      </c>
      <c r="J56" t="n">
        <v>5</v>
      </c>
      <c r="K56" t="n">
        <v>0</v>
      </c>
      <c r="L56" t="n">
        <v>1</v>
      </c>
      <c r="M56" t="n">
        <v>0</v>
      </c>
      <c r="N56" t="n">
        <v>0</v>
      </c>
      <c r="O56" t="n">
        <v>6</v>
      </c>
      <c r="P56" t="n">
        <v>1</v>
      </c>
      <c r="Q56" t="n">
        <v>19</v>
      </c>
      <c r="R56" s="2" t="inlineStr">
        <is>
          <t>Trolldruvemätare
Blå taggsvamp
Garnlav
Harticka
Lunglav
Orange taggsvamp
Fjällig taggsvamp s.str.
Granriska
Grönkulla
Kransrams
Luddlav
Strimspindling
Svart trolldruva
Svavelriska
Tvåblad
Underviol
Ögonpyrola
Blåsippa
Revlummer</t>
        </is>
      </c>
      <c r="S56">
        <f>HYPERLINK("https://klasma.github.io/Logging_STROMSUND/artfynd/A 18320-2021.xlsx")</f>
        <v/>
      </c>
      <c r="T56">
        <f>HYPERLINK("https://klasma.github.io/Logging_STROMSUND/kartor/A 18320-2021.png")</f>
        <v/>
      </c>
      <c r="V56">
        <f>HYPERLINK("https://klasma.github.io/Logging_STROMSUND/klagomål/A 18320-2021.docx")</f>
        <v/>
      </c>
      <c r="W56">
        <f>HYPERLINK("https://klasma.github.io/Logging_STROMSUND/klagomålsmail/A 18320-2021.docx")</f>
        <v/>
      </c>
      <c r="X56">
        <f>HYPERLINK("https://klasma.github.io/Logging_STROMSUND/tillsyn/A 18320-2021.docx")</f>
        <v/>
      </c>
      <c r="Y56">
        <f>HYPERLINK("https://klasma.github.io/Logging_STROMSUND/tillsynsmail/A 18320-2021.docx")</f>
        <v/>
      </c>
    </row>
    <row r="57" ht="15" customHeight="1">
      <c r="A57" t="inlineStr">
        <is>
          <t>A 33846-2023</t>
        </is>
      </c>
      <c r="B57" s="1" t="n">
        <v>45121</v>
      </c>
      <c r="C57" s="1" t="n">
        <v>45182</v>
      </c>
      <c r="D57" t="inlineStr">
        <is>
          <t>JÄMTLANDS LÄN</t>
        </is>
      </c>
      <c r="E57" t="inlineStr">
        <is>
          <t>KROKOM</t>
        </is>
      </c>
      <c r="G57" t="n">
        <v>9.300000000000001</v>
      </c>
      <c r="H57" t="n">
        <v>1</v>
      </c>
      <c r="I57" t="n">
        <v>8</v>
      </c>
      <c r="J57" t="n">
        <v>10</v>
      </c>
      <c r="K57" t="n">
        <v>1</v>
      </c>
      <c r="L57" t="n">
        <v>0</v>
      </c>
      <c r="M57" t="n">
        <v>0</v>
      </c>
      <c r="N57" t="n">
        <v>0</v>
      </c>
      <c r="O57" t="n">
        <v>11</v>
      </c>
      <c r="P57" t="n">
        <v>1</v>
      </c>
      <c r="Q57" t="n">
        <v>19</v>
      </c>
      <c r="R57" s="2" t="inlineStr">
        <is>
          <t>Liten sotlav
Brunpudrad nållav
Doftskinn
Gammelgransskål
Garnlav
Granticka
Gränsticka
Lunglav
Skrovellav
Stjärntagging
Vitgrynig nållav
Bårdlav
Gytterlav
Kransrams
Luddlav
Mörk husmossa
Spindelblomster
Stuplav
Trådticka</t>
        </is>
      </c>
      <c r="S57">
        <f>HYPERLINK("https://klasma.github.io/Logging_KROKOM/artfynd/A 33846-2023.xlsx")</f>
        <v/>
      </c>
      <c r="T57">
        <f>HYPERLINK("https://klasma.github.io/Logging_KROKOM/kartor/A 33846-2023.png")</f>
        <v/>
      </c>
      <c r="V57">
        <f>HYPERLINK("https://klasma.github.io/Logging_KROKOM/klagomål/A 33846-2023.docx")</f>
        <v/>
      </c>
      <c r="W57">
        <f>HYPERLINK("https://klasma.github.io/Logging_KROKOM/klagomålsmail/A 33846-2023.docx")</f>
        <v/>
      </c>
      <c r="X57">
        <f>HYPERLINK("https://klasma.github.io/Logging_KROKOM/tillsyn/A 33846-2023.docx")</f>
        <v/>
      </c>
      <c r="Y57">
        <f>HYPERLINK("https://klasma.github.io/Logging_KROKOM/tillsynsmail/A 33846-2023.docx")</f>
        <v/>
      </c>
    </row>
    <row r="58" ht="15" customHeight="1">
      <c r="A58" t="inlineStr">
        <is>
          <t>A 54553-2018</t>
        </is>
      </c>
      <c r="B58" s="1" t="n">
        <v>43395</v>
      </c>
      <c r="C58" s="1" t="n">
        <v>45182</v>
      </c>
      <c r="D58" t="inlineStr">
        <is>
          <t>JÄMTLANDS LÄN</t>
        </is>
      </c>
      <c r="E58" t="inlineStr">
        <is>
          <t>BERG</t>
        </is>
      </c>
      <c r="G58" t="n">
        <v>21</v>
      </c>
      <c r="H58" t="n">
        <v>2</v>
      </c>
      <c r="I58" t="n">
        <v>5</v>
      </c>
      <c r="J58" t="n">
        <v>13</v>
      </c>
      <c r="K58" t="n">
        <v>0</v>
      </c>
      <c r="L58" t="n">
        <v>0</v>
      </c>
      <c r="M58" t="n">
        <v>0</v>
      </c>
      <c r="N58" t="n">
        <v>0</v>
      </c>
      <c r="O58" t="n">
        <v>13</v>
      </c>
      <c r="P58" t="n">
        <v>0</v>
      </c>
      <c r="Q58" t="n">
        <v>18</v>
      </c>
      <c r="R58" s="2" t="inlineStr">
        <is>
          <t>Blanksvart spiklav
Gammelgransskål
Garnlav
Gränsticka
Harticka
Rosenticka
Rödbrun blekspik
Skrovellav
Stjärntagging
Tretåig hackspett
Ullticka
Vedskivlav
Vitgrynig nållav
Kornig nållav
Luddlav
Spindelblomster
Stuplav
Ögonpyrola</t>
        </is>
      </c>
      <c r="S58">
        <f>HYPERLINK("https://klasma.github.io/Logging_BERG/artfynd/A 54553-2018.xlsx")</f>
        <v/>
      </c>
      <c r="T58">
        <f>HYPERLINK("https://klasma.github.io/Logging_BERG/kartor/A 54553-2018.png")</f>
        <v/>
      </c>
      <c r="V58">
        <f>HYPERLINK("https://klasma.github.io/Logging_BERG/klagomål/A 54553-2018.docx")</f>
        <v/>
      </c>
      <c r="W58">
        <f>HYPERLINK("https://klasma.github.io/Logging_BERG/klagomålsmail/A 54553-2018.docx")</f>
        <v/>
      </c>
      <c r="X58">
        <f>HYPERLINK("https://klasma.github.io/Logging_BERG/tillsyn/A 54553-2018.docx")</f>
        <v/>
      </c>
      <c r="Y58">
        <f>HYPERLINK("https://klasma.github.io/Logging_BERG/tillsynsmail/A 54553-2018.docx")</f>
        <v/>
      </c>
    </row>
    <row r="59" ht="15" customHeight="1">
      <c r="A59" t="inlineStr">
        <is>
          <t>A 66496-2019</t>
        </is>
      </c>
      <c r="B59" s="1" t="n">
        <v>43809</v>
      </c>
      <c r="C59" s="1" t="n">
        <v>45182</v>
      </c>
      <c r="D59" t="inlineStr">
        <is>
          <t>JÄMTLANDS LÄN</t>
        </is>
      </c>
      <c r="E59" t="inlineStr">
        <is>
          <t>BERG</t>
        </is>
      </c>
      <c r="G59" t="n">
        <v>16.6</v>
      </c>
      <c r="H59" t="n">
        <v>2</v>
      </c>
      <c r="I59" t="n">
        <v>5</v>
      </c>
      <c r="J59" t="n">
        <v>11</v>
      </c>
      <c r="K59" t="n">
        <v>2</v>
      </c>
      <c r="L59" t="n">
        <v>0</v>
      </c>
      <c r="M59" t="n">
        <v>0</v>
      </c>
      <c r="N59" t="n">
        <v>0</v>
      </c>
      <c r="O59" t="n">
        <v>13</v>
      </c>
      <c r="P59" t="n">
        <v>2</v>
      </c>
      <c r="Q59" t="n">
        <v>18</v>
      </c>
      <c r="R59" s="2" t="inlineStr">
        <is>
          <t>Liten sotlav
Rynkskinn
Doftskinn
Gammelgransskål
Garnlav
Granticka
Gränsticka
Harticka
Knottrig blåslav
Rödbrun blekspik
Tretåig hackspett
Ullticka
Vitgrynig nållav
Luddlav
Skinnlav
Spindelblomster
Vedticka
Ögonpyrola</t>
        </is>
      </c>
      <c r="S59">
        <f>HYPERLINK("https://klasma.github.io/Logging_BERG/artfynd/A 66496-2019.xlsx")</f>
        <v/>
      </c>
      <c r="T59">
        <f>HYPERLINK("https://klasma.github.io/Logging_BERG/kartor/A 66496-2019.png")</f>
        <v/>
      </c>
      <c r="V59">
        <f>HYPERLINK("https://klasma.github.io/Logging_BERG/klagomål/A 66496-2019.docx")</f>
        <v/>
      </c>
      <c r="W59">
        <f>HYPERLINK("https://klasma.github.io/Logging_BERG/klagomålsmail/A 66496-2019.docx")</f>
        <v/>
      </c>
      <c r="X59">
        <f>HYPERLINK("https://klasma.github.io/Logging_BERG/tillsyn/A 66496-2019.docx")</f>
        <v/>
      </c>
      <c r="Y59">
        <f>HYPERLINK("https://klasma.github.io/Logging_BERG/tillsynsmail/A 66496-2019.docx")</f>
        <v/>
      </c>
    </row>
    <row r="60" ht="15" customHeight="1">
      <c r="A60" t="inlineStr">
        <is>
          <t>A 63628-2020</t>
        </is>
      </c>
      <c r="B60" s="1" t="n">
        <v>44165</v>
      </c>
      <c r="C60" s="1" t="n">
        <v>45182</v>
      </c>
      <c r="D60" t="inlineStr">
        <is>
          <t>JÄMTLANDS LÄN</t>
        </is>
      </c>
      <c r="E60" t="inlineStr">
        <is>
          <t>KROKOM</t>
        </is>
      </c>
      <c r="G60" t="n">
        <v>8.300000000000001</v>
      </c>
      <c r="H60" t="n">
        <v>3</v>
      </c>
      <c r="I60" t="n">
        <v>5</v>
      </c>
      <c r="J60" t="n">
        <v>12</v>
      </c>
      <c r="K60" t="n">
        <v>0</v>
      </c>
      <c r="L60" t="n">
        <v>0</v>
      </c>
      <c r="M60" t="n">
        <v>0</v>
      </c>
      <c r="N60" t="n">
        <v>0</v>
      </c>
      <c r="O60" t="n">
        <v>12</v>
      </c>
      <c r="P60" t="n">
        <v>0</v>
      </c>
      <c r="Q60" t="n">
        <v>18</v>
      </c>
      <c r="R60" s="2" t="inlineStr">
        <is>
          <t>Gammelgransskål
Garnlav
Granticka
Kavernularia
Liten svartspik
Lunglav
Skrovellav
Småflikig brosklav
Spillkråka
Stjärntagging
Ullticka
Vitgrynig nållav
Korallblylav
Luddlav
Skinnlav
Spindelblomster
Ögonpyrola
Blåsippa</t>
        </is>
      </c>
      <c r="S60">
        <f>HYPERLINK("https://klasma.github.io/Logging_KROKOM/artfynd/A 63628-2020.xlsx")</f>
        <v/>
      </c>
      <c r="T60">
        <f>HYPERLINK("https://klasma.github.io/Logging_KROKOM/kartor/A 63628-2020.png")</f>
        <v/>
      </c>
      <c r="V60">
        <f>HYPERLINK("https://klasma.github.io/Logging_KROKOM/klagomål/A 63628-2020.docx")</f>
        <v/>
      </c>
      <c r="W60">
        <f>HYPERLINK("https://klasma.github.io/Logging_KROKOM/klagomålsmail/A 63628-2020.docx")</f>
        <v/>
      </c>
      <c r="X60">
        <f>HYPERLINK("https://klasma.github.io/Logging_KROKOM/tillsyn/A 63628-2020.docx")</f>
        <v/>
      </c>
      <c r="Y60">
        <f>HYPERLINK("https://klasma.github.io/Logging_KROKOM/tillsynsmail/A 63628-2020.docx")</f>
        <v/>
      </c>
    </row>
    <row r="61" ht="15" customHeight="1">
      <c r="A61" t="inlineStr">
        <is>
          <t>A 8327-2021</t>
        </is>
      </c>
      <c r="B61" s="1" t="n">
        <v>44244</v>
      </c>
      <c r="C61" s="1" t="n">
        <v>45182</v>
      </c>
      <c r="D61" t="inlineStr">
        <is>
          <t>JÄMTLANDS LÄN</t>
        </is>
      </c>
      <c r="E61" t="inlineStr">
        <is>
          <t>ÅRE</t>
        </is>
      </c>
      <c r="G61" t="n">
        <v>16.4</v>
      </c>
      <c r="H61" t="n">
        <v>0</v>
      </c>
      <c r="I61" t="n">
        <v>6</v>
      </c>
      <c r="J61" t="n">
        <v>10</v>
      </c>
      <c r="K61" t="n">
        <v>2</v>
      </c>
      <c r="L61" t="n">
        <v>0</v>
      </c>
      <c r="M61" t="n">
        <v>0</v>
      </c>
      <c r="N61" t="n">
        <v>0</v>
      </c>
      <c r="O61" t="n">
        <v>12</v>
      </c>
      <c r="P61" t="n">
        <v>2</v>
      </c>
      <c r="Q61" t="n">
        <v>18</v>
      </c>
      <c r="R61" s="2" t="inlineStr">
        <is>
          <t>Amerikansk sönderfallslav
Norsk näverlav
Garnlav
Granticka
Gränsticka
Kavernularia
Liten svartspik
Rödbrun blekspik
Skorpgelélav
Skrovellav
Ullticka
Vitgrynig nållav
Bårdlav
Kambräken
Korallblylav
Rostfläck
Stuplav
Västlig hakmossa</t>
        </is>
      </c>
      <c r="S61">
        <f>HYPERLINK("https://klasma.github.io/Logging_ARE/artfynd/A 8327-2021.xlsx")</f>
        <v/>
      </c>
      <c r="T61">
        <f>HYPERLINK("https://klasma.github.io/Logging_ARE/kartor/A 8327-2021.png")</f>
        <v/>
      </c>
      <c r="V61">
        <f>HYPERLINK("https://klasma.github.io/Logging_ARE/klagomål/A 8327-2021.docx")</f>
        <v/>
      </c>
      <c r="W61">
        <f>HYPERLINK("https://klasma.github.io/Logging_ARE/klagomålsmail/A 8327-2021.docx")</f>
        <v/>
      </c>
      <c r="X61">
        <f>HYPERLINK("https://klasma.github.io/Logging_ARE/tillsyn/A 8327-2021.docx")</f>
        <v/>
      </c>
      <c r="Y61">
        <f>HYPERLINK("https://klasma.github.io/Logging_ARE/tillsynsmail/A 8327-2021.docx")</f>
        <v/>
      </c>
    </row>
    <row r="62" ht="15" customHeight="1">
      <c r="A62" t="inlineStr">
        <is>
          <t>A 17879-2021</t>
        </is>
      </c>
      <c r="B62" s="1" t="n">
        <v>44301</v>
      </c>
      <c r="C62" s="1" t="n">
        <v>45182</v>
      </c>
      <c r="D62" t="inlineStr">
        <is>
          <t>JÄMTLANDS LÄN</t>
        </is>
      </c>
      <c r="E62" t="inlineStr">
        <is>
          <t>ÅRE</t>
        </is>
      </c>
      <c r="F62" t="inlineStr">
        <is>
          <t>Övriga Aktiebolag</t>
        </is>
      </c>
      <c r="G62" t="n">
        <v>43.4</v>
      </c>
      <c r="H62" t="n">
        <v>2</v>
      </c>
      <c r="I62" t="n">
        <v>5</v>
      </c>
      <c r="J62" t="n">
        <v>11</v>
      </c>
      <c r="K62" t="n">
        <v>2</v>
      </c>
      <c r="L62" t="n">
        <v>0</v>
      </c>
      <c r="M62" t="n">
        <v>0</v>
      </c>
      <c r="N62" t="n">
        <v>0</v>
      </c>
      <c r="O62" t="n">
        <v>13</v>
      </c>
      <c r="P62" t="n">
        <v>2</v>
      </c>
      <c r="Q62" t="n">
        <v>18</v>
      </c>
      <c r="R62" s="2" t="inlineStr">
        <is>
          <t>Norsk näverlav
Smalskaftslav
Doftskinn
Garnlav
Granticka
Gränsticka
Ladlav
Lunglav
Rosenticka
Skrovellav
Talltita
Tretåig hackspett
Ullticka
Bårdlav
Kambräken
Korallblylav
Sotlav
Stuplav</t>
        </is>
      </c>
      <c r="S62">
        <f>HYPERLINK("https://klasma.github.io/Logging_ARE/artfynd/A 17879-2021.xlsx")</f>
        <v/>
      </c>
      <c r="T62">
        <f>HYPERLINK("https://klasma.github.io/Logging_ARE/kartor/A 17879-2021.png")</f>
        <v/>
      </c>
      <c r="V62">
        <f>HYPERLINK("https://klasma.github.io/Logging_ARE/klagomål/A 17879-2021.docx")</f>
        <v/>
      </c>
      <c r="W62">
        <f>HYPERLINK("https://klasma.github.io/Logging_ARE/klagomålsmail/A 17879-2021.docx")</f>
        <v/>
      </c>
      <c r="X62">
        <f>HYPERLINK("https://klasma.github.io/Logging_ARE/tillsyn/A 17879-2021.docx")</f>
        <v/>
      </c>
      <c r="Y62">
        <f>HYPERLINK("https://klasma.github.io/Logging_ARE/tillsynsmail/A 17879-2021.docx")</f>
        <v/>
      </c>
    </row>
    <row r="63" ht="15" customHeight="1">
      <c r="A63" t="inlineStr">
        <is>
          <t>A 62949-2021</t>
        </is>
      </c>
      <c r="B63" s="1" t="n">
        <v>44504</v>
      </c>
      <c r="C63" s="1" t="n">
        <v>45182</v>
      </c>
      <c r="D63" t="inlineStr">
        <is>
          <t>JÄMTLANDS LÄN</t>
        </is>
      </c>
      <c r="E63" t="inlineStr">
        <is>
          <t>RAGUNDA</t>
        </is>
      </c>
      <c r="F63" t="inlineStr">
        <is>
          <t>SCA</t>
        </is>
      </c>
      <c r="G63" t="n">
        <v>32.7</v>
      </c>
      <c r="H63" t="n">
        <v>2</v>
      </c>
      <c r="I63" t="n">
        <v>7</v>
      </c>
      <c r="J63" t="n">
        <v>9</v>
      </c>
      <c r="K63" t="n">
        <v>2</v>
      </c>
      <c r="L63" t="n">
        <v>0</v>
      </c>
      <c r="M63" t="n">
        <v>0</v>
      </c>
      <c r="N63" t="n">
        <v>0</v>
      </c>
      <c r="O63" t="n">
        <v>11</v>
      </c>
      <c r="P63" t="n">
        <v>2</v>
      </c>
      <c r="Q63" t="n">
        <v>18</v>
      </c>
      <c r="R63"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3">
        <f>HYPERLINK("https://klasma.github.io/Logging_RAGUNDA/artfynd/A 62949-2021.xlsx")</f>
        <v/>
      </c>
      <c r="T63">
        <f>HYPERLINK("https://klasma.github.io/Logging_RAGUNDA/kartor/A 62949-2021.png")</f>
        <v/>
      </c>
      <c r="U63">
        <f>HYPERLINK("https://klasma.github.io/Logging_RAGUNDA/knärot/A 62949-2021.png")</f>
        <v/>
      </c>
      <c r="V63">
        <f>HYPERLINK("https://klasma.github.io/Logging_RAGUNDA/klagomål/A 62949-2021.docx")</f>
        <v/>
      </c>
      <c r="W63">
        <f>HYPERLINK("https://klasma.github.io/Logging_RAGUNDA/klagomålsmail/A 62949-2021.docx")</f>
        <v/>
      </c>
      <c r="X63">
        <f>HYPERLINK("https://klasma.github.io/Logging_RAGUNDA/tillsyn/A 62949-2021.docx")</f>
        <v/>
      </c>
      <c r="Y63">
        <f>HYPERLINK("https://klasma.github.io/Logging_RAGUNDA/tillsynsmail/A 62949-2021.docx")</f>
        <v/>
      </c>
    </row>
    <row r="64" ht="15" customHeight="1">
      <c r="A64" t="inlineStr">
        <is>
          <t>A 68643-2021</t>
        </is>
      </c>
      <c r="B64" s="1" t="n">
        <v>44529</v>
      </c>
      <c r="C64" s="1" t="n">
        <v>45182</v>
      </c>
      <c r="D64" t="inlineStr">
        <is>
          <t>JÄMTLANDS LÄN</t>
        </is>
      </c>
      <c r="E64" t="inlineStr">
        <is>
          <t>STRÖMSUND</t>
        </is>
      </c>
      <c r="G64" t="n">
        <v>40.8</v>
      </c>
      <c r="H64" t="n">
        <v>4</v>
      </c>
      <c r="I64" t="n">
        <v>6</v>
      </c>
      <c r="J64" t="n">
        <v>11</v>
      </c>
      <c r="K64" t="n">
        <v>1</v>
      </c>
      <c r="L64" t="n">
        <v>0</v>
      </c>
      <c r="M64" t="n">
        <v>0</v>
      </c>
      <c r="N64" t="n">
        <v>0</v>
      </c>
      <c r="O64" t="n">
        <v>12</v>
      </c>
      <c r="P64" t="n">
        <v>1</v>
      </c>
      <c r="Q64" t="n">
        <v>18</v>
      </c>
      <c r="R64" s="2" t="inlineStr">
        <is>
          <t>Knärot
Blanksvart spiklav
Blågrå svartspik
Brunpudrad nållav
Dvärgbägarlav
Garnlav
Kolflarnlav
Lunglav
Skrovellav
Tretåig hackspett
Vedskivlav
Vitplätt
Dropptaggsvamp
Plattlummer
Skinnlav
Skuggblåslav
Spindelblomster
Stuplav</t>
        </is>
      </c>
      <c r="S64">
        <f>HYPERLINK("https://klasma.github.io/Logging_STROMSUND/artfynd/A 68643-2021.xlsx")</f>
        <v/>
      </c>
      <c r="T64">
        <f>HYPERLINK("https://klasma.github.io/Logging_STROMSUND/kartor/A 68643-2021.png")</f>
        <v/>
      </c>
      <c r="U64">
        <f>HYPERLINK("https://klasma.github.io/Logging_STROMSUND/knärot/A 68643-2021.png")</f>
        <v/>
      </c>
      <c r="V64">
        <f>HYPERLINK("https://klasma.github.io/Logging_STROMSUND/klagomål/A 68643-2021.docx")</f>
        <v/>
      </c>
      <c r="W64">
        <f>HYPERLINK("https://klasma.github.io/Logging_STROMSUND/klagomålsmail/A 68643-2021.docx")</f>
        <v/>
      </c>
      <c r="X64">
        <f>HYPERLINK("https://klasma.github.io/Logging_STROMSUND/tillsyn/A 68643-2021.docx")</f>
        <v/>
      </c>
      <c r="Y64">
        <f>HYPERLINK("https://klasma.github.io/Logging_STROMSUND/tillsynsmail/A 68643-2021.docx")</f>
        <v/>
      </c>
    </row>
    <row r="65" ht="15" customHeight="1">
      <c r="A65" t="inlineStr">
        <is>
          <t>A 42342-2022</t>
        </is>
      </c>
      <c r="B65" s="1" t="n">
        <v>44831</v>
      </c>
      <c r="C65" s="1" t="n">
        <v>45182</v>
      </c>
      <c r="D65" t="inlineStr">
        <is>
          <t>JÄMTLANDS LÄN</t>
        </is>
      </c>
      <c r="E65" t="inlineStr">
        <is>
          <t>HÄRJEDALEN</t>
        </is>
      </c>
      <c r="G65" t="n">
        <v>18.3</v>
      </c>
      <c r="H65" t="n">
        <v>1</v>
      </c>
      <c r="I65" t="n">
        <v>1</v>
      </c>
      <c r="J65" t="n">
        <v>15</v>
      </c>
      <c r="K65" t="n">
        <v>2</v>
      </c>
      <c r="L65" t="n">
        <v>0</v>
      </c>
      <c r="M65" t="n">
        <v>0</v>
      </c>
      <c r="N65" t="n">
        <v>0</v>
      </c>
      <c r="O65" t="n">
        <v>17</v>
      </c>
      <c r="P65" t="n">
        <v>2</v>
      </c>
      <c r="Q65" t="n">
        <v>18</v>
      </c>
      <c r="R65" s="2" t="inlineStr">
        <is>
          <t>Gräddporing
Knärot
Blanksvart spiklav
Blågrå svartspik
Dvärgbägarlav
Garnlav
Gränsticka
Knottrig blåslav
Kolflarnlav
Kortskaftad ärgspik
Ladlav
Lunglav
Mörk kolflarnlav
Nordtagging
Vaddporing
Vedflamlav
Vedskivlav
Vedticka</t>
        </is>
      </c>
      <c r="S65">
        <f>HYPERLINK("https://klasma.github.io/Logging_HARJEDALEN/artfynd/A 42342-2022.xlsx")</f>
        <v/>
      </c>
      <c r="T65">
        <f>HYPERLINK("https://klasma.github.io/Logging_HARJEDALEN/kartor/A 42342-2022.png")</f>
        <v/>
      </c>
      <c r="U65">
        <f>HYPERLINK("https://klasma.github.io/Logging_HARJEDALEN/knärot/A 42342-2022.png")</f>
        <v/>
      </c>
      <c r="V65">
        <f>HYPERLINK("https://klasma.github.io/Logging_HARJEDALEN/klagomål/A 42342-2022.docx")</f>
        <v/>
      </c>
      <c r="W65">
        <f>HYPERLINK("https://klasma.github.io/Logging_HARJEDALEN/klagomålsmail/A 42342-2022.docx")</f>
        <v/>
      </c>
      <c r="X65">
        <f>HYPERLINK("https://klasma.github.io/Logging_HARJEDALEN/tillsyn/A 42342-2022.docx")</f>
        <v/>
      </c>
      <c r="Y65">
        <f>HYPERLINK("https://klasma.github.io/Logging_HARJEDALEN/tillsynsmail/A 42342-2022.docx")</f>
        <v/>
      </c>
    </row>
    <row r="66" ht="15" customHeight="1">
      <c r="A66" t="inlineStr">
        <is>
          <t>A 13031-2023</t>
        </is>
      </c>
      <c r="B66" s="1" t="n">
        <v>44998</v>
      </c>
      <c r="C66" s="1" t="n">
        <v>45182</v>
      </c>
      <c r="D66" t="inlineStr">
        <is>
          <t>JÄMTLANDS LÄN</t>
        </is>
      </c>
      <c r="E66" t="inlineStr">
        <is>
          <t>ÅRE</t>
        </is>
      </c>
      <c r="G66" t="n">
        <v>91.3</v>
      </c>
      <c r="H66" t="n">
        <v>3</v>
      </c>
      <c r="I66" t="n">
        <v>3</v>
      </c>
      <c r="J66" t="n">
        <v>11</v>
      </c>
      <c r="K66" t="n">
        <v>2</v>
      </c>
      <c r="L66" t="n">
        <v>1</v>
      </c>
      <c r="M66" t="n">
        <v>0</v>
      </c>
      <c r="N66" t="n">
        <v>0</v>
      </c>
      <c r="O66" t="n">
        <v>15</v>
      </c>
      <c r="P66" t="n">
        <v>3</v>
      </c>
      <c r="Q66" t="n">
        <v>18</v>
      </c>
      <c r="R66" s="2" t="inlineStr">
        <is>
          <t>Grönfink
Kristallticka
Norsk näverlav
Gammelgransskål
Garnlav
Granticka
Gränsticka
Kavernularia
Knottrig blåslav
Skrovellav
Talltita
Tretåig hackspett
Violettgrå tagellav
Vitgrynig nållav
Tyllskinn
Korallblylav
Stuplav
Vedticka</t>
        </is>
      </c>
      <c r="S66">
        <f>HYPERLINK("https://klasma.github.io/Logging_ARE/artfynd/A 13031-2023.xlsx")</f>
        <v/>
      </c>
      <c r="T66">
        <f>HYPERLINK("https://klasma.github.io/Logging_ARE/kartor/A 13031-2023.png")</f>
        <v/>
      </c>
      <c r="V66">
        <f>HYPERLINK("https://klasma.github.io/Logging_ARE/klagomål/A 13031-2023.docx")</f>
        <v/>
      </c>
      <c r="W66">
        <f>HYPERLINK("https://klasma.github.io/Logging_ARE/klagomålsmail/A 13031-2023.docx")</f>
        <v/>
      </c>
      <c r="X66">
        <f>HYPERLINK("https://klasma.github.io/Logging_ARE/tillsyn/A 13031-2023.docx")</f>
        <v/>
      </c>
      <c r="Y66">
        <f>HYPERLINK("https://klasma.github.io/Logging_ARE/tillsynsmail/A 13031-2023.docx")</f>
        <v/>
      </c>
    </row>
    <row r="67" ht="15" customHeight="1">
      <c r="A67" t="inlineStr">
        <is>
          <t>A 37770-2018</t>
        </is>
      </c>
      <c r="B67" s="1" t="n">
        <v>43335</v>
      </c>
      <c r="C67" s="1" t="n">
        <v>45182</v>
      </c>
      <c r="D67" t="inlineStr">
        <is>
          <t>JÄMTLANDS LÄN</t>
        </is>
      </c>
      <c r="E67" t="inlineStr">
        <is>
          <t>STRÖMSUND</t>
        </is>
      </c>
      <c r="G67" t="n">
        <v>23</v>
      </c>
      <c r="H67" t="n">
        <v>2</v>
      </c>
      <c r="I67" t="n">
        <v>3</v>
      </c>
      <c r="J67" t="n">
        <v>13</v>
      </c>
      <c r="K67" t="n">
        <v>1</v>
      </c>
      <c r="L67" t="n">
        <v>0</v>
      </c>
      <c r="M67" t="n">
        <v>0</v>
      </c>
      <c r="N67" t="n">
        <v>0</v>
      </c>
      <c r="O67" t="n">
        <v>14</v>
      </c>
      <c r="P67" t="n">
        <v>1</v>
      </c>
      <c r="Q67" t="n">
        <v>17</v>
      </c>
      <c r="R67" s="2" t="inlineStr">
        <is>
          <t>Fläckporing
Blågrå svartspik
Dvärgbägarlav
Garnlav
Kolflarnlav
Kortskaftad ärgspik
Lunglav
Mörk kolflarnlav
Talltita
Tretåig hackspett
Vaddporing
Vedflamlav
Vedskivlav
Vitgrynig nållav
Barkkornlav
Blå slemspindling
Dropptaggsvamp</t>
        </is>
      </c>
      <c r="S67">
        <f>HYPERLINK("https://klasma.github.io/Logging_STROMSUND/artfynd/A 37770-2018.xlsx")</f>
        <v/>
      </c>
      <c r="T67">
        <f>HYPERLINK("https://klasma.github.io/Logging_STROMSUND/kartor/A 37770-2018.png")</f>
        <v/>
      </c>
      <c r="V67">
        <f>HYPERLINK("https://klasma.github.io/Logging_STROMSUND/klagomål/A 37770-2018.docx")</f>
        <v/>
      </c>
      <c r="W67">
        <f>HYPERLINK("https://klasma.github.io/Logging_STROMSUND/klagomålsmail/A 37770-2018.docx")</f>
        <v/>
      </c>
      <c r="X67">
        <f>HYPERLINK("https://klasma.github.io/Logging_STROMSUND/tillsyn/A 37770-2018.docx")</f>
        <v/>
      </c>
      <c r="Y67">
        <f>HYPERLINK("https://klasma.github.io/Logging_STROMSUND/tillsynsmail/A 37770-2018.docx")</f>
        <v/>
      </c>
    </row>
    <row r="68" ht="15" customHeight="1">
      <c r="A68" t="inlineStr">
        <is>
          <t>A 8265-2019</t>
        </is>
      </c>
      <c r="B68" s="1" t="n">
        <v>43501</v>
      </c>
      <c r="C68" s="1" t="n">
        <v>45182</v>
      </c>
      <c r="D68" t="inlineStr">
        <is>
          <t>JÄMTLANDS LÄN</t>
        </is>
      </c>
      <c r="E68" t="inlineStr">
        <is>
          <t>STRÖMSUND</t>
        </is>
      </c>
      <c r="G68" t="n">
        <v>40.5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8265-2019.xlsx")</f>
        <v/>
      </c>
      <c r="T68">
        <f>HYPERLINK("https://klasma.github.io/Logging_STROMSUND/kartor/A 8265-2019.png")</f>
        <v/>
      </c>
      <c r="V68">
        <f>HYPERLINK("https://klasma.github.io/Logging_STROMSUND/klagomål/A 8265-2019.docx")</f>
        <v/>
      </c>
      <c r="W68">
        <f>HYPERLINK("https://klasma.github.io/Logging_STROMSUND/klagomålsmail/A 8265-2019.docx")</f>
        <v/>
      </c>
      <c r="X68">
        <f>HYPERLINK("https://klasma.github.io/Logging_STROMSUND/tillsyn/A 8265-2019.docx")</f>
        <v/>
      </c>
      <c r="Y68">
        <f>HYPERLINK("https://klasma.github.io/Logging_STROMSUND/tillsynsmail/A 8265-2019.docx")</f>
        <v/>
      </c>
    </row>
    <row r="69" ht="15" customHeight="1">
      <c r="A69" t="inlineStr">
        <is>
          <t>A 15884-2019</t>
        </is>
      </c>
      <c r="B69" s="1" t="n">
        <v>43543</v>
      </c>
      <c r="C69" s="1" t="n">
        <v>45182</v>
      </c>
      <c r="D69" t="inlineStr">
        <is>
          <t>JÄMTLANDS LÄN</t>
        </is>
      </c>
      <c r="E69" t="inlineStr">
        <is>
          <t>STRÖMSUND</t>
        </is>
      </c>
      <c r="G69" t="n">
        <v>39.5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HYPERLINK("https://klasma.github.io/Logging_STROMSUND/artfynd/A 15884-2019.xlsx")</f>
        <v/>
      </c>
      <c r="T69">
        <f>HYPERLINK("https://klasma.github.io/Logging_STROMSUND/kartor/A 15884-2019.png")</f>
        <v/>
      </c>
      <c r="V69">
        <f>HYPERLINK("https://klasma.github.io/Logging_STROMSUND/klagomål/A 15884-2019.docx")</f>
        <v/>
      </c>
      <c r="W69">
        <f>HYPERLINK("https://klasma.github.io/Logging_STROMSUND/klagomålsmail/A 15884-2019.docx")</f>
        <v/>
      </c>
      <c r="X69">
        <f>HYPERLINK("https://klasma.github.io/Logging_STROMSUND/tillsyn/A 15884-2019.docx")</f>
        <v/>
      </c>
      <c r="Y69">
        <f>HYPERLINK("https://klasma.github.io/Logging_STROMSUND/tillsynsmail/A 15884-2019.docx")</f>
        <v/>
      </c>
    </row>
    <row r="70" ht="15" customHeight="1">
      <c r="A70" t="inlineStr">
        <is>
          <t>A 15587-2019</t>
        </is>
      </c>
      <c r="B70" s="1" t="n">
        <v>43543</v>
      </c>
      <c r="C70" s="1" t="n">
        <v>45182</v>
      </c>
      <c r="D70" t="inlineStr">
        <is>
          <t>JÄMTLANDS LÄN</t>
        </is>
      </c>
      <c r="E70" t="inlineStr">
        <is>
          <t>ÅRE</t>
        </is>
      </c>
      <c r="F70" t="inlineStr">
        <is>
          <t>Övriga Aktiebolag</t>
        </is>
      </c>
      <c r="G70" t="n">
        <v>26.9</v>
      </c>
      <c r="H70" t="n">
        <v>2</v>
      </c>
      <c r="I70" t="n">
        <v>3</v>
      </c>
      <c r="J70" t="n">
        <v>12</v>
      </c>
      <c r="K70" t="n">
        <v>2</v>
      </c>
      <c r="L70" t="n">
        <v>0</v>
      </c>
      <c r="M70" t="n">
        <v>0</v>
      </c>
      <c r="N70" t="n">
        <v>0</v>
      </c>
      <c r="O70" t="n">
        <v>14</v>
      </c>
      <c r="P70" t="n">
        <v>2</v>
      </c>
      <c r="Q70" t="n">
        <v>17</v>
      </c>
      <c r="R70" s="2" t="inlineStr">
        <is>
          <t>Fläckporing
Gräddporing
Blanksvart spiklav
Brunpudrad nållav
Dvärgbägarlav
Gammelgransskål
Garnlav
Gränsticka
Järpe
Skrovellav
Tretåig hackspett
Vedflamlav
Vedskivlav
Vitgrynig nållav
Sotlav
Stor aspticka
Vedticka</t>
        </is>
      </c>
      <c r="S70">
        <f>HYPERLINK("https://klasma.github.io/Logging_ARE/artfynd/A 15587-2019.xlsx")</f>
        <v/>
      </c>
      <c r="T70">
        <f>HYPERLINK("https://klasma.github.io/Logging_ARE/kartor/A 15587-2019.png")</f>
        <v/>
      </c>
      <c r="V70">
        <f>HYPERLINK("https://klasma.github.io/Logging_ARE/klagomål/A 15587-2019.docx")</f>
        <v/>
      </c>
      <c r="W70">
        <f>HYPERLINK("https://klasma.github.io/Logging_ARE/klagomålsmail/A 15587-2019.docx")</f>
        <v/>
      </c>
      <c r="X70">
        <f>HYPERLINK("https://klasma.github.io/Logging_ARE/tillsyn/A 15587-2019.docx")</f>
        <v/>
      </c>
      <c r="Y70">
        <f>HYPERLINK("https://klasma.github.io/Logging_ARE/tillsynsmail/A 15587-2019.docx")</f>
        <v/>
      </c>
    </row>
    <row r="71" ht="15" customHeight="1">
      <c r="A71" t="inlineStr">
        <is>
          <t>A 52254-2019</t>
        </is>
      </c>
      <c r="B71" s="1" t="n">
        <v>43742</v>
      </c>
      <c r="C71" s="1" t="n">
        <v>45182</v>
      </c>
      <c r="D71" t="inlineStr">
        <is>
          <t>JÄMTLANDS LÄN</t>
        </is>
      </c>
      <c r="E71" t="inlineStr">
        <is>
          <t>BERG</t>
        </is>
      </c>
      <c r="F71" t="inlineStr">
        <is>
          <t>SCA</t>
        </is>
      </c>
      <c r="G71" t="n">
        <v>8.300000000000001</v>
      </c>
      <c r="H71" t="n">
        <v>5</v>
      </c>
      <c r="I71" t="n">
        <v>8</v>
      </c>
      <c r="J71" t="n">
        <v>8</v>
      </c>
      <c r="K71" t="n">
        <v>0</v>
      </c>
      <c r="L71" t="n">
        <v>0</v>
      </c>
      <c r="M71" t="n">
        <v>0</v>
      </c>
      <c r="N71" t="n">
        <v>0</v>
      </c>
      <c r="O71" t="n">
        <v>8</v>
      </c>
      <c r="P71" t="n">
        <v>0</v>
      </c>
      <c r="Q71" t="n">
        <v>17</v>
      </c>
      <c r="R71" s="2" t="inlineStr">
        <is>
          <t>Garnlav
Granticka
Järpe
Lunglav
Tretåig hackspett
Ullticka
Vedtrappmossa
Vitgrynig nållav
Dvärgtufs
Grönkulla
Gulnål
Kransrams
Skinnlav
Skogshakmossa
Spindelblomster
Stuplav
Nattviol</t>
        </is>
      </c>
      <c r="S71">
        <f>HYPERLINK("https://klasma.github.io/Logging_BERG/artfynd/A 52254-2019.xlsx")</f>
        <v/>
      </c>
      <c r="T71">
        <f>HYPERLINK("https://klasma.github.io/Logging_BERG/kartor/A 52254-2019.png")</f>
        <v/>
      </c>
      <c r="V71">
        <f>HYPERLINK("https://klasma.github.io/Logging_BERG/klagomål/A 52254-2019.docx")</f>
        <v/>
      </c>
      <c r="W71">
        <f>HYPERLINK("https://klasma.github.io/Logging_BERG/klagomålsmail/A 52254-2019.docx")</f>
        <v/>
      </c>
      <c r="X71">
        <f>HYPERLINK("https://klasma.github.io/Logging_BERG/tillsyn/A 52254-2019.docx")</f>
        <v/>
      </c>
      <c r="Y71">
        <f>HYPERLINK("https://klasma.github.io/Logging_BERG/tillsynsmail/A 52254-2019.docx")</f>
        <v/>
      </c>
    </row>
    <row r="72" ht="15" customHeight="1">
      <c r="A72" t="inlineStr">
        <is>
          <t>A 44952-2020</t>
        </is>
      </c>
      <c r="B72" s="1" t="n">
        <v>44083</v>
      </c>
      <c r="C72" s="1" t="n">
        <v>45182</v>
      </c>
      <c r="D72" t="inlineStr">
        <is>
          <t>JÄMTLANDS LÄN</t>
        </is>
      </c>
      <c r="E72" t="inlineStr">
        <is>
          <t>STRÖMSUND</t>
        </is>
      </c>
      <c r="G72" t="n">
        <v>19.5</v>
      </c>
      <c r="H72" t="n">
        <v>1</v>
      </c>
      <c r="I72" t="n">
        <v>8</v>
      </c>
      <c r="J72" t="n">
        <v>8</v>
      </c>
      <c r="K72" t="n">
        <v>1</v>
      </c>
      <c r="L72" t="n">
        <v>0</v>
      </c>
      <c r="M72" t="n">
        <v>0</v>
      </c>
      <c r="N72" t="n">
        <v>0</v>
      </c>
      <c r="O72" t="n">
        <v>9</v>
      </c>
      <c r="P72" t="n">
        <v>1</v>
      </c>
      <c r="Q72" t="n">
        <v>17</v>
      </c>
      <c r="R72" s="2" t="inlineStr">
        <is>
          <t>Norsk näverlav
Brunpudrad nållav
Gammelgransskål
Garnlav
Granticka
Rödbrun blekspik
Skorpgelélav
Skrovellav
Tretåig hackspett
Bårdlav
Granriska
Gulnål
Gytterlav
Kärrkammossa
Luddlav
Stuplav
Svavelriska</t>
        </is>
      </c>
      <c r="S72">
        <f>HYPERLINK("https://klasma.github.io/Logging_STROMSUND/artfynd/A 44952-2020.xlsx")</f>
        <v/>
      </c>
      <c r="T72">
        <f>HYPERLINK("https://klasma.github.io/Logging_STROMSUND/kartor/A 44952-2020.png")</f>
        <v/>
      </c>
      <c r="V72">
        <f>HYPERLINK("https://klasma.github.io/Logging_STROMSUND/klagomål/A 44952-2020.docx")</f>
        <v/>
      </c>
      <c r="W72">
        <f>HYPERLINK("https://klasma.github.io/Logging_STROMSUND/klagomålsmail/A 44952-2020.docx")</f>
        <v/>
      </c>
      <c r="X72">
        <f>HYPERLINK("https://klasma.github.io/Logging_STROMSUND/tillsyn/A 44952-2020.docx")</f>
        <v/>
      </c>
      <c r="Y72">
        <f>HYPERLINK("https://klasma.github.io/Logging_STROMSUND/tillsynsmail/A 44952-2020.docx")</f>
        <v/>
      </c>
    </row>
    <row r="73" ht="15" customHeight="1">
      <c r="A73" t="inlineStr">
        <is>
          <t>A 63015-2020</t>
        </is>
      </c>
      <c r="B73" s="1" t="n">
        <v>44162</v>
      </c>
      <c r="C73" s="1" t="n">
        <v>45182</v>
      </c>
      <c r="D73" t="inlineStr">
        <is>
          <t>JÄMTLANDS LÄN</t>
        </is>
      </c>
      <c r="E73" t="inlineStr">
        <is>
          <t>ÅRE</t>
        </is>
      </c>
      <c r="F73" t="inlineStr">
        <is>
          <t>Övriga Aktiebolag</t>
        </is>
      </c>
      <c r="G73" t="n">
        <v>9.4</v>
      </c>
      <c r="H73" t="n">
        <v>1</v>
      </c>
      <c r="I73" t="n">
        <v>7</v>
      </c>
      <c r="J73" t="n">
        <v>9</v>
      </c>
      <c r="K73" t="n">
        <v>1</v>
      </c>
      <c r="L73" t="n">
        <v>0</v>
      </c>
      <c r="M73" t="n">
        <v>0</v>
      </c>
      <c r="N73" t="n">
        <v>0</v>
      </c>
      <c r="O73" t="n">
        <v>10</v>
      </c>
      <c r="P73" t="n">
        <v>1</v>
      </c>
      <c r="Q73" t="n">
        <v>17</v>
      </c>
      <c r="R73" s="2" t="inlineStr">
        <is>
          <t>Norsk näverlav
Brunpudrad nållav
Gammelgransskål
Garnlav
Granticka
Gränsticka
Harticka
Lunglav
Skrovellav
Spillkråka
Bårdlav
Dvärgtufs
Gytterlav
Korallblylav
Sotlav
Stuplav
Vedticka</t>
        </is>
      </c>
      <c r="S73">
        <f>HYPERLINK("https://klasma.github.io/Logging_ARE/artfynd/A 63015-2020.xlsx")</f>
        <v/>
      </c>
      <c r="T73">
        <f>HYPERLINK("https://klasma.github.io/Logging_ARE/kartor/A 63015-2020.png")</f>
        <v/>
      </c>
      <c r="V73">
        <f>HYPERLINK("https://klasma.github.io/Logging_ARE/klagomål/A 63015-2020.docx")</f>
        <v/>
      </c>
      <c r="W73">
        <f>HYPERLINK("https://klasma.github.io/Logging_ARE/klagomålsmail/A 63015-2020.docx")</f>
        <v/>
      </c>
      <c r="X73">
        <f>HYPERLINK("https://klasma.github.io/Logging_ARE/tillsyn/A 63015-2020.docx")</f>
        <v/>
      </c>
      <c r="Y73">
        <f>HYPERLINK("https://klasma.github.io/Logging_ARE/tillsynsmail/A 63015-2020.docx")</f>
        <v/>
      </c>
    </row>
    <row r="74" ht="15" customHeight="1">
      <c r="A74" t="inlineStr">
        <is>
          <t>A 65822-2020</t>
        </is>
      </c>
      <c r="B74" s="1" t="n">
        <v>44174</v>
      </c>
      <c r="C74" s="1" t="n">
        <v>45182</v>
      </c>
      <c r="D74" t="inlineStr">
        <is>
          <t>JÄMTLANDS LÄN</t>
        </is>
      </c>
      <c r="E74" t="inlineStr">
        <is>
          <t>STRÖMSUND</t>
        </is>
      </c>
      <c r="F74" t="inlineStr">
        <is>
          <t>Holmen skog AB</t>
        </is>
      </c>
      <c r="G74" t="n">
        <v>19.3</v>
      </c>
      <c r="H74" t="n">
        <v>4</v>
      </c>
      <c r="I74" t="n">
        <v>8</v>
      </c>
      <c r="J74" t="n">
        <v>7</v>
      </c>
      <c r="K74" t="n">
        <v>1</v>
      </c>
      <c r="L74" t="n">
        <v>0</v>
      </c>
      <c r="M74" t="n">
        <v>0</v>
      </c>
      <c r="N74" t="n">
        <v>0</v>
      </c>
      <c r="O74" t="n">
        <v>8</v>
      </c>
      <c r="P74" t="n">
        <v>1</v>
      </c>
      <c r="Q74" t="n">
        <v>17</v>
      </c>
      <c r="R74" s="2" t="inlineStr">
        <is>
          <t>Norsk näverlav
Brunpudrad nållav
Gammelgransskål
Garnlav
Granticka
Rödbrun blekspik
Skrovellav
Tretåig hackspett
Barkkornlav
Gytterlav
Luddlav
Mörk husmossa
Spindelblomster
Stuplav
Tvåblad
Ögonpyrola
Fläcknycklar</t>
        </is>
      </c>
      <c r="S74">
        <f>HYPERLINK("https://klasma.github.io/Logging_STROMSUND/artfynd/A 65822-2020.xlsx")</f>
        <v/>
      </c>
      <c r="T74">
        <f>HYPERLINK("https://klasma.github.io/Logging_STROMSUND/kartor/A 65822-2020.png")</f>
        <v/>
      </c>
      <c r="V74">
        <f>HYPERLINK("https://klasma.github.io/Logging_STROMSUND/klagomål/A 65822-2020.docx")</f>
        <v/>
      </c>
      <c r="W74">
        <f>HYPERLINK("https://klasma.github.io/Logging_STROMSUND/klagomålsmail/A 65822-2020.docx")</f>
        <v/>
      </c>
      <c r="X74">
        <f>HYPERLINK("https://klasma.github.io/Logging_STROMSUND/tillsyn/A 65822-2020.docx")</f>
        <v/>
      </c>
      <c r="Y74">
        <f>HYPERLINK("https://klasma.github.io/Logging_STROMSUND/tillsynsmail/A 65822-2020.docx")</f>
        <v/>
      </c>
    </row>
    <row r="75" ht="15" customHeight="1">
      <c r="A75" t="inlineStr">
        <is>
          <t>A 14183-2021</t>
        </is>
      </c>
      <c r="B75" s="1" t="n">
        <v>44278</v>
      </c>
      <c r="C75" s="1" t="n">
        <v>45182</v>
      </c>
      <c r="D75" t="inlineStr">
        <is>
          <t>JÄMTLANDS LÄN</t>
        </is>
      </c>
      <c r="E75" t="inlineStr">
        <is>
          <t>ÅRE</t>
        </is>
      </c>
      <c r="G75" t="n">
        <v>26.1</v>
      </c>
      <c r="H75" t="n">
        <v>2</v>
      </c>
      <c r="I75" t="n">
        <v>5</v>
      </c>
      <c r="J75" t="n">
        <v>12</v>
      </c>
      <c r="K75" t="n">
        <v>0</v>
      </c>
      <c r="L75" t="n">
        <v>0</v>
      </c>
      <c r="M75" t="n">
        <v>0</v>
      </c>
      <c r="N75" t="n">
        <v>0</v>
      </c>
      <c r="O75" t="n">
        <v>12</v>
      </c>
      <c r="P75" t="n">
        <v>0</v>
      </c>
      <c r="Q75" t="n">
        <v>17</v>
      </c>
      <c r="R75" s="2" t="inlineStr">
        <is>
          <t>Gammelgransskål
Garnlav
Granticka
Harticka
Leptoporus mollis
Nordtagging
Rödbrun blekspik
Skrovellav
Talltita
Tretåig hackspett
Ullticka
Vedtrappmossa
Bårdlav
Gytterlav
Skinnlav
Stuplav
Vedticka</t>
        </is>
      </c>
      <c r="S75">
        <f>HYPERLINK("https://klasma.github.io/Logging_ARE/artfynd/A 14183-2021.xlsx")</f>
        <v/>
      </c>
      <c r="T75">
        <f>HYPERLINK("https://klasma.github.io/Logging_ARE/kartor/A 14183-2021.png")</f>
        <v/>
      </c>
      <c r="V75">
        <f>HYPERLINK("https://klasma.github.io/Logging_ARE/klagomål/A 14183-2021.docx")</f>
        <v/>
      </c>
      <c r="W75">
        <f>HYPERLINK("https://klasma.github.io/Logging_ARE/klagomålsmail/A 14183-2021.docx")</f>
        <v/>
      </c>
      <c r="X75">
        <f>HYPERLINK("https://klasma.github.io/Logging_ARE/tillsyn/A 14183-2021.docx")</f>
        <v/>
      </c>
      <c r="Y75">
        <f>HYPERLINK("https://klasma.github.io/Logging_ARE/tillsynsmail/A 14183-2021.docx")</f>
        <v/>
      </c>
    </row>
    <row r="76" ht="15" customHeight="1">
      <c r="A76" t="inlineStr">
        <is>
          <t>A 26155-2021</t>
        </is>
      </c>
      <c r="B76" s="1" t="n">
        <v>44344</v>
      </c>
      <c r="C76" s="1" t="n">
        <v>45182</v>
      </c>
      <c r="D76" t="inlineStr">
        <is>
          <t>JÄMTLANDS LÄN</t>
        </is>
      </c>
      <c r="E76" t="inlineStr">
        <is>
          <t>ÖSTERSUND</t>
        </is>
      </c>
      <c r="G76" t="n">
        <v>20.4</v>
      </c>
      <c r="H76" t="n">
        <v>6</v>
      </c>
      <c r="I76" t="n">
        <v>5</v>
      </c>
      <c r="J76" t="n">
        <v>9</v>
      </c>
      <c r="K76" t="n">
        <v>2</v>
      </c>
      <c r="L76" t="n">
        <v>0</v>
      </c>
      <c r="M76" t="n">
        <v>0</v>
      </c>
      <c r="N76" t="n">
        <v>0</v>
      </c>
      <c r="O76" t="n">
        <v>11</v>
      </c>
      <c r="P76" t="n">
        <v>2</v>
      </c>
      <c r="Q76" t="n">
        <v>17</v>
      </c>
      <c r="R76" s="2" t="inlineStr">
        <is>
          <t>Knärot
Rynkskinn
Garnlav
Granticka
Gultoppig fingersvamp
Lunglav
Rosenticka
Skrovellav
Tretåig hackspett
Ullticka
Vedtrappmossa
Korallrot
Luddlav
Spindelblomster
Stuplav
Tvåblad
Fläcknycklar</t>
        </is>
      </c>
      <c r="S76">
        <f>HYPERLINK("https://klasma.github.io/Logging_OSTERSUND/artfynd/A 26155-2021.xlsx")</f>
        <v/>
      </c>
      <c r="T76">
        <f>HYPERLINK("https://klasma.github.io/Logging_OSTERSUND/kartor/A 26155-2021.png")</f>
        <v/>
      </c>
      <c r="U76">
        <f>HYPERLINK("https://klasma.github.io/Logging_OSTERSUND/knärot/A 26155-2021.png")</f>
        <v/>
      </c>
      <c r="V76">
        <f>HYPERLINK("https://klasma.github.io/Logging_OSTERSUND/klagomål/A 26155-2021.docx")</f>
        <v/>
      </c>
      <c r="W76">
        <f>HYPERLINK("https://klasma.github.io/Logging_OSTERSUND/klagomålsmail/A 26155-2021.docx")</f>
        <v/>
      </c>
      <c r="X76">
        <f>HYPERLINK("https://klasma.github.io/Logging_OSTERSUND/tillsyn/A 26155-2021.docx")</f>
        <v/>
      </c>
      <c r="Y76">
        <f>HYPERLINK("https://klasma.github.io/Logging_OSTERSUND/tillsynsmail/A 26155-2021.docx")</f>
        <v/>
      </c>
    </row>
    <row r="77" ht="15" customHeight="1">
      <c r="A77" t="inlineStr">
        <is>
          <t>A 38362-2021</t>
        </is>
      </c>
      <c r="B77" s="1" t="n">
        <v>44406</v>
      </c>
      <c r="C77" s="1" t="n">
        <v>45182</v>
      </c>
      <c r="D77" t="inlineStr">
        <is>
          <t>JÄMTLANDS LÄN</t>
        </is>
      </c>
      <c r="E77" t="inlineStr">
        <is>
          <t>HÄRJEDALEN</t>
        </is>
      </c>
      <c r="G77" t="n">
        <v>88</v>
      </c>
      <c r="H77" t="n">
        <v>2</v>
      </c>
      <c r="I77" t="n">
        <v>3</v>
      </c>
      <c r="J77" t="n">
        <v>13</v>
      </c>
      <c r="K77" t="n">
        <v>1</v>
      </c>
      <c r="L77" t="n">
        <v>0</v>
      </c>
      <c r="M77" t="n">
        <v>0</v>
      </c>
      <c r="N77" t="n">
        <v>0</v>
      </c>
      <c r="O77" t="n">
        <v>14</v>
      </c>
      <c r="P77" t="n">
        <v>1</v>
      </c>
      <c r="Q77" t="n">
        <v>17</v>
      </c>
      <c r="R77" s="2" t="inlineStr">
        <is>
          <t>Knärot
Blanksvart spiklav
Blågrå svartspik
Dvärgbägarlav
Garnlav
Knottrig blåslav
Kolflarnlav
Lunglav
Motaggsvamp
Mörk kolflarnlav
Skrovellav
Talltita
Vedflamlav
Vedskivlav
Bollvitmossa
Dropptaggsvamp
Stor aspticka</t>
        </is>
      </c>
      <c r="S77">
        <f>HYPERLINK("https://klasma.github.io/Logging_HARJEDALEN/artfynd/A 38362-2021.xlsx")</f>
        <v/>
      </c>
      <c r="T77">
        <f>HYPERLINK("https://klasma.github.io/Logging_HARJEDALEN/kartor/A 38362-2021.png")</f>
        <v/>
      </c>
      <c r="U77">
        <f>HYPERLINK("https://klasma.github.io/Logging_HARJEDALEN/knärot/A 38362-2021.png")</f>
        <v/>
      </c>
      <c r="V77">
        <f>HYPERLINK("https://klasma.github.io/Logging_HARJEDALEN/klagomål/A 38362-2021.docx")</f>
        <v/>
      </c>
      <c r="W77">
        <f>HYPERLINK("https://klasma.github.io/Logging_HARJEDALEN/klagomålsmail/A 38362-2021.docx")</f>
        <v/>
      </c>
      <c r="X77">
        <f>HYPERLINK("https://klasma.github.io/Logging_HARJEDALEN/tillsyn/A 38362-2021.docx")</f>
        <v/>
      </c>
      <c r="Y77">
        <f>HYPERLINK("https://klasma.github.io/Logging_HARJEDALEN/tillsynsmail/A 38362-2021.docx")</f>
        <v/>
      </c>
    </row>
    <row r="78" ht="15" customHeight="1">
      <c r="A78" t="inlineStr">
        <is>
          <t>A 68593-2021</t>
        </is>
      </c>
      <c r="B78" s="1" t="n">
        <v>44529</v>
      </c>
      <c r="C78" s="1" t="n">
        <v>45182</v>
      </c>
      <c r="D78" t="inlineStr">
        <is>
          <t>JÄMTLANDS LÄN</t>
        </is>
      </c>
      <c r="E78" t="inlineStr">
        <is>
          <t>STRÖMSUND</t>
        </is>
      </c>
      <c r="G78" t="n">
        <v>20.7</v>
      </c>
      <c r="H78" t="n">
        <v>2</v>
      </c>
      <c r="I78" t="n">
        <v>5</v>
      </c>
      <c r="J78" t="n">
        <v>10</v>
      </c>
      <c r="K78" t="n">
        <v>2</v>
      </c>
      <c r="L78" t="n">
        <v>0</v>
      </c>
      <c r="M78" t="n">
        <v>0</v>
      </c>
      <c r="N78" t="n">
        <v>0</v>
      </c>
      <c r="O78" t="n">
        <v>12</v>
      </c>
      <c r="P78" t="n">
        <v>2</v>
      </c>
      <c r="Q78" t="n">
        <v>17</v>
      </c>
      <c r="R78" s="2" t="inlineStr">
        <is>
          <t>Gräddporing
Rynkskinn
Blanksvart spiklav
Brunpudrad nållav
Dvärgbägarlav
Garnlav
Granticka
Kolflarnlav
Lunglav
Skrovellav
Vedskivlav
Vitgrynig nållav
Bårdlav
Plattlummer
Skinnlav
Spindelblomster
Stuplav</t>
        </is>
      </c>
      <c r="S78">
        <f>HYPERLINK("https://klasma.github.io/Logging_STROMSUND/artfynd/A 68593-2021.xlsx")</f>
        <v/>
      </c>
      <c r="T78">
        <f>HYPERLINK("https://klasma.github.io/Logging_STROMSUND/kartor/A 68593-2021.png")</f>
        <v/>
      </c>
      <c r="V78">
        <f>HYPERLINK("https://klasma.github.io/Logging_STROMSUND/klagomål/A 68593-2021.docx")</f>
        <v/>
      </c>
      <c r="W78">
        <f>HYPERLINK("https://klasma.github.io/Logging_STROMSUND/klagomålsmail/A 68593-2021.docx")</f>
        <v/>
      </c>
      <c r="X78">
        <f>HYPERLINK("https://klasma.github.io/Logging_STROMSUND/tillsyn/A 68593-2021.docx")</f>
        <v/>
      </c>
      <c r="Y78">
        <f>HYPERLINK("https://klasma.github.io/Logging_STROMSUND/tillsynsmail/A 68593-2021.docx")</f>
        <v/>
      </c>
    </row>
    <row r="79" ht="15" customHeight="1">
      <c r="A79" t="inlineStr">
        <is>
          <t>A 13305-2022</t>
        </is>
      </c>
      <c r="B79" s="1" t="n">
        <v>44644</v>
      </c>
      <c r="C79" s="1" t="n">
        <v>45182</v>
      </c>
      <c r="D79" t="inlineStr">
        <is>
          <t>JÄMTLANDS LÄN</t>
        </is>
      </c>
      <c r="E79" t="inlineStr">
        <is>
          <t>RAGUNDA</t>
        </is>
      </c>
      <c r="F79" t="inlineStr">
        <is>
          <t>SCA</t>
        </is>
      </c>
      <c r="G79" t="n">
        <v>6</v>
      </c>
      <c r="H79" t="n">
        <v>3</v>
      </c>
      <c r="I79" t="n">
        <v>8</v>
      </c>
      <c r="J79" t="n">
        <v>7</v>
      </c>
      <c r="K79" t="n">
        <v>1</v>
      </c>
      <c r="L79" t="n">
        <v>0</v>
      </c>
      <c r="M79" t="n">
        <v>0</v>
      </c>
      <c r="N79" t="n">
        <v>0</v>
      </c>
      <c r="O79" t="n">
        <v>8</v>
      </c>
      <c r="P79" t="n">
        <v>1</v>
      </c>
      <c r="Q79" t="n">
        <v>17</v>
      </c>
      <c r="R79" s="2" t="inlineStr">
        <is>
          <t>Liten hornflikmossa
Garnlav
Kolflarnlav
Lunglav
Skrovellav
Ullticka
Vedflikmossa
Vitgrynig nållav
Bårdlav
Dropptaggsvamp
Korallblylav
Kransrams
Plattlummer
Spindelblomster
Stuplav
Vedticka
Fläcknycklar</t>
        </is>
      </c>
      <c r="S79">
        <f>HYPERLINK("https://klasma.github.io/Logging_RAGUNDA/artfynd/A 13305-2022.xlsx")</f>
        <v/>
      </c>
      <c r="T79">
        <f>HYPERLINK("https://klasma.github.io/Logging_RAGUNDA/kartor/A 13305-2022.png")</f>
        <v/>
      </c>
      <c r="V79">
        <f>HYPERLINK("https://klasma.github.io/Logging_RAGUNDA/klagomål/A 13305-2022.docx")</f>
        <v/>
      </c>
      <c r="W79">
        <f>HYPERLINK("https://klasma.github.io/Logging_RAGUNDA/klagomålsmail/A 13305-2022.docx")</f>
        <v/>
      </c>
      <c r="X79">
        <f>HYPERLINK("https://klasma.github.io/Logging_RAGUNDA/tillsyn/A 13305-2022.docx")</f>
        <v/>
      </c>
      <c r="Y79">
        <f>HYPERLINK("https://klasma.github.io/Logging_RAGUNDA/tillsynsmail/A 13305-2022.docx")</f>
        <v/>
      </c>
    </row>
    <row r="80" ht="15" customHeight="1">
      <c r="A80" t="inlineStr">
        <is>
          <t>A 13974-2022</t>
        </is>
      </c>
      <c r="B80" s="1" t="n">
        <v>44650</v>
      </c>
      <c r="C80" s="1" t="n">
        <v>45182</v>
      </c>
      <c r="D80" t="inlineStr">
        <is>
          <t>JÄMTLANDS LÄN</t>
        </is>
      </c>
      <c r="E80" t="inlineStr">
        <is>
          <t>HÄRJEDALEN</t>
        </is>
      </c>
      <c r="F80" t="inlineStr">
        <is>
          <t>Holmen skog AB</t>
        </is>
      </c>
      <c r="G80" t="n">
        <v>10.8</v>
      </c>
      <c r="H80" t="n">
        <v>1</v>
      </c>
      <c r="I80" t="n">
        <v>1</v>
      </c>
      <c r="J80" t="n">
        <v>13</v>
      </c>
      <c r="K80" t="n">
        <v>3</v>
      </c>
      <c r="L80" t="n">
        <v>0</v>
      </c>
      <c r="M80" t="n">
        <v>0</v>
      </c>
      <c r="N80" t="n">
        <v>0</v>
      </c>
      <c r="O80" t="n">
        <v>16</v>
      </c>
      <c r="P80" t="n">
        <v>3</v>
      </c>
      <c r="Q80" t="n">
        <v>17</v>
      </c>
      <c r="R80" s="2" t="inlineStr">
        <is>
          <t>Fläckporing
Gräddporing
Smalfotad taggsvamp
Blanksvart spiklav
Blågrå svartspik
Dvärgbägarlav
Garnlav
Kolflarnlav
Mörk kolflarnlav
Tallticka
Tretåig hackspett
Ullticka
Vedflamlav
Vedskivlav
Vedtrappmossa
Vitgrynig nållav
Dropptaggsvamp</t>
        </is>
      </c>
      <c r="S80">
        <f>HYPERLINK("https://klasma.github.io/Logging_HARJEDALEN/artfynd/A 13974-2022.xlsx")</f>
        <v/>
      </c>
      <c r="T80">
        <f>HYPERLINK("https://klasma.github.io/Logging_HARJEDALEN/kartor/A 13974-2022.png")</f>
        <v/>
      </c>
      <c r="V80">
        <f>HYPERLINK("https://klasma.github.io/Logging_HARJEDALEN/klagomål/A 13974-2022.docx")</f>
        <v/>
      </c>
      <c r="W80">
        <f>HYPERLINK("https://klasma.github.io/Logging_HARJEDALEN/klagomålsmail/A 13974-2022.docx")</f>
        <v/>
      </c>
      <c r="X80">
        <f>HYPERLINK("https://klasma.github.io/Logging_HARJEDALEN/tillsyn/A 13974-2022.docx")</f>
        <v/>
      </c>
      <c r="Y80">
        <f>HYPERLINK("https://klasma.github.io/Logging_HARJEDALEN/tillsynsmail/A 13974-2022.docx")</f>
        <v/>
      </c>
    </row>
    <row r="81" ht="15" customHeight="1">
      <c r="A81" t="inlineStr">
        <is>
          <t>A 48260-2022</t>
        </is>
      </c>
      <c r="B81" s="1" t="n">
        <v>44853</v>
      </c>
      <c r="C81" s="1" t="n">
        <v>45182</v>
      </c>
      <c r="D81" t="inlineStr">
        <is>
          <t>JÄMTLANDS LÄN</t>
        </is>
      </c>
      <c r="E81" t="inlineStr">
        <is>
          <t>BERG</t>
        </is>
      </c>
      <c r="G81" t="n">
        <v>10.8</v>
      </c>
      <c r="H81" t="n">
        <v>2</v>
      </c>
      <c r="I81" t="n">
        <v>2</v>
      </c>
      <c r="J81" t="n">
        <v>11</v>
      </c>
      <c r="K81" t="n">
        <v>3</v>
      </c>
      <c r="L81" t="n">
        <v>0</v>
      </c>
      <c r="M81" t="n">
        <v>0</v>
      </c>
      <c r="N81" t="n">
        <v>0</v>
      </c>
      <c r="O81" t="n">
        <v>14</v>
      </c>
      <c r="P81" t="n">
        <v>3</v>
      </c>
      <c r="Q81" t="n">
        <v>17</v>
      </c>
      <c r="R81" s="2" t="inlineStr">
        <is>
          <t>Grantickeporing
Rynkskinn
Skuggnål
Brunpudrad nållav
Gammelgransskål
Garnlav
Granticka
Knottrig blåslav
Rödbrun blekspik
Skrovellav
Tretåig hackspett
Ullticka
Vitgrynig nållav
Vitskaftad svartspik
Kornig nållav
Skinnlav
Fläcknycklar</t>
        </is>
      </c>
      <c r="S81">
        <f>HYPERLINK("https://klasma.github.io/Logging_BERG/artfynd/A 48260-2022.xlsx")</f>
        <v/>
      </c>
      <c r="T81">
        <f>HYPERLINK("https://klasma.github.io/Logging_BERG/kartor/A 48260-2022.png")</f>
        <v/>
      </c>
      <c r="V81">
        <f>HYPERLINK("https://klasma.github.io/Logging_BERG/klagomål/A 48260-2022.docx")</f>
        <v/>
      </c>
      <c r="W81">
        <f>HYPERLINK("https://klasma.github.io/Logging_BERG/klagomålsmail/A 48260-2022.docx")</f>
        <v/>
      </c>
      <c r="X81">
        <f>HYPERLINK("https://klasma.github.io/Logging_BERG/tillsyn/A 48260-2022.docx")</f>
        <v/>
      </c>
      <c r="Y81">
        <f>HYPERLINK("https://klasma.github.io/Logging_BERG/tillsynsmail/A 48260-2022.docx")</f>
        <v/>
      </c>
    </row>
    <row r="82" ht="15" customHeight="1">
      <c r="A82" t="inlineStr">
        <is>
          <t>A 59449-2019</t>
        </is>
      </c>
      <c r="B82" s="1" t="n">
        <v>43776</v>
      </c>
      <c r="C82" s="1" t="n">
        <v>45182</v>
      </c>
      <c r="D82" t="inlineStr">
        <is>
          <t>JÄMTLANDS LÄN</t>
        </is>
      </c>
      <c r="E82" t="inlineStr">
        <is>
          <t>HÄRJEDALEN</t>
        </is>
      </c>
      <c r="G82" t="n">
        <v>141.2</v>
      </c>
      <c r="H82" t="n">
        <v>1</v>
      </c>
      <c r="I82" t="n">
        <v>4</v>
      </c>
      <c r="J82" t="n">
        <v>12</v>
      </c>
      <c r="K82" t="n">
        <v>0</v>
      </c>
      <c r="L82" t="n">
        <v>0</v>
      </c>
      <c r="M82" t="n">
        <v>0</v>
      </c>
      <c r="N82" t="n">
        <v>0</v>
      </c>
      <c r="O82" t="n">
        <v>12</v>
      </c>
      <c r="P82" t="n">
        <v>0</v>
      </c>
      <c r="Q82" t="n">
        <v>16</v>
      </c>
      <c r="R82" s="2" t="inlineStr">
        <is>
          <t>Blanksvart spiklav
Gammelgransskål
Garnlav
Granticka
Gränsticka
Knottrig blåslav
Kolflarnlav
Skrovellav
Talltita
Ullticka
Vedflamlav
Vedskivlav
Grönpyrola
Stuplav
Trådticka
Vedticka</t>
        </is>
      </c>
      <c r="S82">
        <f>HYPERLINK("https://klasma.github.io/Logging_HARJEDALEN/artfynd/A 59449-2019.xlsx")</f>
        <v/>
      </c>
      <c r="T82">
        <f>HYPERLINK("https://klasma.github.io/Logging_HARJEDALEN/kartor/A 59449-2019.png")</f>
        <v/>
      </c>
      <c r="V82">
        <f>HYPERLINK("https://klasma.github.io/Logging_HARJEDALEN/klagomål/A 59449-2019.docx")</f>
        <v/>
      </c>
      <c r="W82">
        <f>HYPERLINK("https://klasma.github.io/Logging_HARJEDALEN/klagomålsmail/A 59449-2019.docx")</f>
        <v/>
      </c>
      <c r="X82">
        <f>HYPERLINK("https://klasma.github.io/Logging_HARJEDALEN/tillsyn/A 59449-2019.docx")</f>
        <v/>
      </c>
      <c r="Y82">
        <f>HYPERLINK("https://klasma.github.io/Logging_HARJEDALEN/tillsynsmail/A 59449-2019.docx")</f>
        <v/>
      </c>
    </row>
    <row r="83" ht="15" customHeight="1">
      <c r="A83" t="inlineStr">
        <is>
          <t>A 67457-2019</t>
        </is>
      </c>
      <c r="B83" s="1" t="n">
        <v>43813</v>
      </c>
      <c r="C83" s="1" t="n">
        <v>45182</v>
      </c>
      <c r="D83" t="inlineStr">
        <is>
          <t>JÄMTLANDS LÄN</t>
        </is>
      </c>
      <c r="E83" t="inlineStr">
        <is>
          <t>ÖSTERSUND</t>
        </is>
      </c>
      <c r="G83" t="n">
        <v>8.300000000000001</v>
      </c>
      <c r="H83" t="n">
        <v>4</v>
      </c>
      <c r="I83" t="n">
        <v>6</v>
      </c>
      <c r="J83" t="n">
        <v>7</v>
      </c>
      <c r="K83" t="n">
        <v>2</v>
      </c>
      <c r="L83" t="n">
        <v>0</v>
      </c>
      <c r="M83" t="n">
        <v>0</v>
      </c>
      <c r="N83" t="n">
        <v>0</v>
      </c>
      <c r="O83" t="n">
        <v>9</v>
      </c>
      <c r="P83" t="n">
        <v>2</v>
      </c>
      <c r="Q83" t="n">
        <v>16</v>
      </c>
      <c r="R83" s="2" t="inlineStr">
        <is>
          <t>Bitter taggsvamp
Rynkskinn
Grantaggsvamp
Harticka
Lunglav
Rödbrun klubbdyna
Svartvit taggsvamp
Tallriska
Talltita
Dropptaggsvamp
Finbräken
Grönpyrola
Guckusko
Skarp dropptaggsvamp
Tvåblad
Fläcknycklar</t>
        </is>
      </c>
      <c r="S83">
        <f>HYPERLINK("https://klasma.github.io/Logging_OSTERSUND/artfynd/A 67457-2019.xlsx")</f>
        <v/>
      </c>
      <c r="T83">
        <f>HYPERLINK("https://klasma.github.io/Logging_OSTERSUND/kartor/A 67457-2019.png")</f>
        <v/>
      </c>
      <c r="V83">
        <f>HYPERLINK("https://klasma.github.io/Logging_OSTERSUND/klagomål/A 67457-2019.docx")</f>
        <v/>
      </c>
      <c r="W83">
        <f>HYPERLINK("https://klasma.github.io/Logging_OSTERSUND/klagomålsmail/A 67457-2019.docx")</f>
        <v/>
      </c>
      <c r="X83">
        <f>HYPERLINK("https://klasma.github.io/Logging_OSTERSUND/tillsyn/A 67457-2019.docx")</f>
        <v/>
      </c>
      <c r="Y83">
        <f>HYPERLINK("https://klasma.github.io/Logging_OSTERSUND/tillsynsmail/A 67457-2019.docx")</f>
        <v/>
      </c>
    </row>
    <row r="84" ht="15" customHeight="1">
      <c r="A84" t="inlineStr">
        <is>
          <t>A 6501-2020</t>
        </is>
      </c>
      <c r="B84" s="1" t="n">
        <v>43866</v>
      </c>
      <c r="C84" s="1" t="n">
        <v>45182</v>
      </c>
      <c r="D84" t="inlineStr">
        <is>
          <t>JÄMTLANDS LÄN</t>
        </is>
      </c>
      <c r="E84" t="inlineStr">
        <is>
          <t>RAGUNDA</t>
        </is>
      </c>
      <c r="G84" t="n">
        <v>19.2</v>
      </c>
      <c r="H84" t="n">
        <v>4</v>
      </c>
      <c r="I84" t="n">
        <v>6</v>
      </c>
      <c r="J84" t="n">
        <v>6</v>
      </c>
      <c r="K84" t="n">
        <v>3</v>
      </c>
      <c r="L84" t="n">
        <v>0</v>
      </c>
      <c r="M84" t="n">
        <v>0</v>
      </c>
      <c r="N84" t="n">
        <v>0</v>
      </c>
      <c r="O84" t="n">
        <v>9</v>
      </c>
      <c r="P84" t="n">
        <v>3</v>
      </c>
      <c r="Q84" t="n">
        <v>16</v>
      </c>
      <c r="R84" s="2" t="inlineStr">
        <is>
          <t>Blackticka
Knärot
Rynkskinn
Garnlav
Lunglav
Rosenticka
Spillkråka
Tretåig hackspett
Ullticka
Bårdlav
Stor aspticka
Stuplav
Svart trolldruva
Trådticka
Vedticka
Revlummer</t>
        </is>
      </c>
      <c r="S84">
        <f>HYPERLINK("https://klasma.github.io/Logging_RAGUNDA/artfynd/A 6501-2020.xlsx")</f>
        <v/>
      </c>
      <c r="T84">
        <f>HYPERLINK("https://klasma.github.io/Logging_RAGUNDA/kartor/A 6501-2020.png")</f>
        <v/>
      </c>
      <c r="U84">
        <f>HYPERLINK("https://klasma.github.io/Logging_RAGUNDA/knärot/A 6501-2020.png")</f>
        <v/>
      </c>
      <c r="V84">
        <f>HYPERLINK("https://klasma.github.io/Logging_RAGUNDA/klagomål/A 6501-2020.docx")</f>
        <v/>
      </c>
      <c r="W84">
        <f>HYPERLINK("https://klasma.github.io/Logging_RAGUNDA/klagomålsmail/A 6501-2020.docx")</f>
        <v/>
      </c>
      <c r="X84">
        <f>HYPERLINK("https://klasma.github.io/Logging_RAGUNDA/tillsyn/A 6501-2020.docx")</f>
        <v/>
      </c>
      <c r="Y84">
        <f>HYPERLINK("https://klasma.github.io/Logging_RAGUNDA/tillsynsmail/A 6501-2020.docx")</f>
        <v/>
      </c>
    </row>
    <row r="85" ht="15" customHeight="1">
      <c r="A85" t="inlineStr">
        <is>
          <t>A 44956-2020</t>
        </is>
      </c>
      <c r="B85" s="1" t="n">
        <v>44083</v>
      </c>
      <c r="C85" s="1" t="n">
        <v>45182</v>
      </c>
      <c r="D85" t="inlineStr">
        <is>
          <t>JÄMTLANDS LÄN</t>
        </is>
      </c>
      <c r="E85" t="inlineStr">
        <is>
          <t>STRÖMSUND</t>
        </is>
      </c>
      <c r="G85" t="n">
        <v>19.8</v>
      </c>
      <c r="H85" t="n">
        <v>3</v>
      </c>
      <c r="I85" t="n">
        <v>6</v>
      </c>
      <c r="J85" t="n">
        <v>9</v>
      </c>
      <c r="K85" t="n">
        <v>0</v>
      </c>
      <c r="L85" t="n">
        <v>0</v>
      </c>
      <c r="M85" t="n">
        <v>0</v>
      </c>
      <c r="N85" t="n">
        <v>0</v>
      </c>
      <c r="O85" t="n">
        <v>9</v>
      </c>
      <c r="P85" t="n">
        <v>0</v>
      </c>
      <c r="Q85" t="n">
        <v>16</v>
      </c>
      <c r="R85" s="2" t="inlineStr">
        <is>
          <t>Brunpudrad nållav
Garnlav
Granticka
Lunglav
Rödbrun blekspik
Skorpgelélav
Skrovellav
Talltita
Tretåig hackspett
Bårdlav
Gulnål
Gytterlav
Kambräken
Luddlav
Stuplav
Revlummer</t>
        </is>
      </c>
      <c r="S85">
        <f>HYPERLINK("https://klasma.github.io/Logging_STROMSUND/artfynd/A 44956-2020.xlsx")</f>
        <v/>
      </c>
      <c r="T85">
        <f>HYPERLINK("https://klasma.github.io/Logging_STROMSUND/kartor/A 44956-2020.png")</f>
        <v/>
      </c>
      <c r="V85">
        <f>HYPERLINK("https://klasma.github.io/Logging_STROMSUND/klagomål/A 44956-2020.docx")</f>
        <v/>
      </c>
      <c r="W85">
        <f>HYPERLINK("https://klasma.github.io/Logging_STROMSUND/klagomålsmail/A 44956-2020.docx")</f>
        <v/>
      </c>
      <c r="X85">
        <f>HYPERLINK("https://klasma.github.io/Logging_STROMSUND/tillsyn/A 44956-2020.docx")</f>
        <v/>
      </c>
      <c r="Y85">
        <f>HYPERLINK("https://klasma.github.io/Logging_STROMSUND/tillsynsmail/A 44956-2020.docx")</f>
        <v/>
      </c>
    </row>
    <row r="86" ht="15" customHeight="1">
      <c r="A86" t="inlineStr">
        <is>
          <t>A 62950-2021</t>
        </is>
      </c>
      <c r="B86" s="1" t="n">
        <v>44504</v>
      </c>
      <c r="C86" s="1" t="n">
        <v>45182</v>
      </c>
      <c r="D86" t="inlineStr">
        <is>
          <t>JÄMTLANDS LÄN</t>
        </is>
      </c>
      <c r="E86" t="inlineStr">
        <is>
          <t>RAGUNDA</t>
        </is>
      </c>
      <c r="F86" t="inlineStr">
        <is>
          <t>SCA</t>
        </is>
      </c>
      <c r="G86" t="n">
        <v>21.5</v>
      </c>
      <c r="H86" t="n">
        <v>1</v>
      </c>
      <c r="I86" t="n">
        <v>6</v>
      </c>
      <c r="J86" t="n">
        <v>5</v>
      </c>
      <c r="K86" t="n">
        <v>4</v>
      </c>
      <c r="L86" t="n">
        <v>1</v>
      </c>
      <c r="M86" t="n">
        <v>0</v>
      </c>
      <c r="N86" t="n">
        <v>0</v>
      </c>
      <c r="O86" t="n">
        <v>10</v>
      </c>
      <c r="P86" t="n">
        <v>5</v>
      </c>
      <c r="Q86" t="n">
        <v>16</v>
      </c>
      <c r="R86" s="2" t="inlineStr">
        <is>
          <t>Blekskaftad nållav
Gyllenspindling
Knärot
Kopparspindling
Tvillingspindling
Garnlav
Lunglav
Parknål
Persiljespindling
Skrovellav
Bårdlav
Gulnål
Korallblylav
Skuggblåslav
Stuplav
Ögonpyrola</t>
        </is>
      </c>
      <c r="S86">
        <f>HYPERLINK("https://klasma.github.io/Logging_RAGUNDA/artfynd/A 62950-2021.xlsx")</f>
        <v/>
      </c>
      <c r="T86">
        <f>HYPERLINK("https://klasma.github.io/Logging_RAGUNDA/kartor/A 62950-2021.png")</f>
        <v/>
      </c>
      <c r="U86">
        <f>HYPERLINK("https://klasma.github.io/Logging_RAGUNDA/knärot/A 62950-2021.png")</f>
        <v/>
      </c>
      <c r="V86">
        <f>HYPERLINK("https://klasma.github.io/Logging_RAGUNDA/klagomål/A 62950-2021.docx")</f>
        <v/>
      </c>
      <c r="W86">
        <f>HYPERLINK("https://klasma.github.io/Logging_RAGUNDA/klagomålsmail/A 62950-2021.docx")</f>
        <v/>
      </c>
      <c r="X86">
        <f>HYPERLINK("https://klasma.github.io/Logging_RAGUNDA/tillsyn/A 62950-2021.docx")</f>
        <v/>
      </c>
      <c r="Y86">
        <f>HYPERLINK("https://klasma.github.io/Logging_RAGUNDA/tillsynsmail/A 62950-2021.docx")</f>
        <v/>
      </c>
    </row>
    <row r="87" ht="15" customHeight="1">
      <c r="A87" t="inlineStr">
        <is>
          <t>A 35860-2022</t>
        </is>
      </c>
      <c r="B87" s="1" t="n">
        <v>44798</v>
      </c>
      <c r="C87" s="1" t="n">
        <v>45182</v>
      </c>
      <c r="D87" t="inlineStr">
        <is>
          <t>JÄMTLANDS LÄN</t>
        </is>
      </c>
      <c r="E87" t="inlineStr">
        <is>
          <t>KROKOM</t>
        </is>
      </c>
      <c r="G87" t="n">
        <v>3.4</v>
      </c>
      <c r="H87" t="n">
        <v>0</v>
      </c>
      <c r="I87" t="n">
        <v>6</v>
      </c>
      <c r="J87" t="n">
        <v>10</v>
      </c>
      <c r="K87" t="n">
        <v>0</v>
      </c>
      <c r="L87" t="n">
        <v>0</v>
      </c>
      <c r="M87" t="n">
        <v>0</v>
      </c>
      <c r="N87" t="n">
        <v>0</v>
      </c>
      <c r="O87" t="n">
        <v>10</v>
      </c>
      <c r="P87" t="n">
        <v>0</v>
      </c>
      <c r="Q87" t="n">
        <v>16</v>
      </c>
      <c r="R87" s="2" t="inlineStr">
        <is>
          <t>Gammelgransskål
Garnlav
Granticka
Gränsticka
Leptoporus mollis
Liten svartspik
Lunglav
Skrovellav
Ullticka
Vitgrynig nållav
Gulnål
Gytterlav
Luddlav
Stuplav
Svavelriska
Vedticka</t>
        </is>
      </c>
      <c r="S87">
        <f>HYPERLINK("https://klasma.github.io/Logging_KROKOM/artfynd/A 35860-2022.xlsx")</f>
        <v/>
      </c>
      <c r="T87">
        <f>HYPERLINK("https://klasma.github.io/Logging_KROKOM/kartor/A 35860-2022.png")</f>
        <v/>
      </c>
      <c r="V87">
        <f>HYPERLINK("https://klasma.github.io/Logging_KROKOM/klagomål/A 35860-2022.docx")</f>
        <v/>
      </c>
      <c r="W87">
        <f>HYPERLINK("https://klasma.github.io/Logging_KROKOM/klagomålsmail/A 35860-2022.docx")</f>
        <v/>
      </c>
      <c r="X87">
        <f>HYPERLINK("https://klasma.github.io/Logging_KROKOM/tillsyn/A 35860-2022.docx")</f>
        <v/>
      </c>
      <c r="Y87">
        <f>HYPERLINK("https://klasma.github.io/Logging_KROKOM/tillsynsmail/A 35860-2022.docx")</f>
        <v/>
      </c>
    </row>
    <row r="88" ht="15" customHeight="1">
      <c r="A88" t="inlineStr">
        <is>
          <t>A 18570-2023</t>
        </is>
      </c>
      <c r="B88" s="1" t="n">
        <v>45041</v>
      </c>
      <c r="C88" s="1" t="n">
        <v>45182</v>
      </c>
      <c r="D88" t="inlineStr">
        <is>
          <t>JÄMTLANDS LÄN</t>
        </is>
      </c>
      <c r="E88" t="inlineStr">
        <is>
          <t>KROKOM</t>
        </is>
      </c>
      <c r="G88" t="n">
        <v>20.4</v>
      </c>
      <c r="H88" t="n">
        <v>3</v>
      </c>
      <c r="I88" t="n">
        <v>6</v>
      </c>
      <c r="J88" t="n">
        <v>9</v>
      </c>
      <c r="K88" t="n">
        <v>1</v>
      </c>
      <c r="L88" t="n">
        <v>0</v>
      </c>
      <c r="M88" t="n">
        <v>0</v>
      </c>
      <c r="N88" t="n">
        <v>0</v>
      </c>
      <c r="O88" t="n">
        <v>10</v>
      </c>
      <c r="P88" t="n">
        <v>1</v>
      </c>
      <c r="Q88" t="n">
        <v>16</v>
      </c>
      <c r="R88" s="2" t="inlineStr">
        <is>
          <t>Doftticka
Brunpudrad nållav
Garnlav
Granticka
Harticka
Rödbrun blekspik
Skrovellav
Spillkråka
Tretåig hackspett
Ullticka
Granriska
Gulnål
Gytterlav
Stuplav
Trådticka
Vedticka</t>
        </is>
      </c>
      <c r="S88">
        <f>HYPERLINK("https://klasma.github.io/Logging_KROKOM/artfynd/A 18570-2023.xlsx")</f>
        <v/>
      </c>
      <c r="T88">
        <f>HYPERLINK("https://klasma.github.io/Logging_KROKOM/kartor/A 18570-2023.png")</f>
        <v/>
      </c>
      <c r="V88">
        <f>HYPERLINK("https://klasma.github.io/Logging_KROKOM/klagomål/A 18570-2023.docx")</f>
        <v/>
      </c>
      <c r="W88">
        <f>HYPERLINK("https://klasma.github.io/Logging_KROKOM/klagomålsmail/A 18570-2023.docx")</f>
        <v/>
      </c>
      <c r="X88">
        <f>HYPERLINK("https://klasma.github.io/Logging_KROKOM/tillsyn/A 18570-2023.docx")</f>
        <v/>
      </c>
      <c r="Y88">
        <f>HYPERLINK("https://klasma.github.io/Logging_KROKOM/tillsynsmail/A 18570-2023.docx")</f>
        <v/>
      </c>
    </row>
    <row r="89" ht="15" customHeight="1">
      <c r="A89" t="inlineStr">
        <is>
          <t>A 63293-2019</t>
        </is>
      </c>
      <c r="B89" s="1" t="n">
        <v>43794</v>
      </c>
      <c r="C89" s="1" t="n">
        <v>45182</v>
      </c>
      <c r="D89" t="inlineStr">
        <is>
          <t>JÄMTLANDS LÄN</t>
        </is>
      </c>
      <c r="E89" t="inlineStr">
        <is>
          <t>ÅRE</t>
        </is>
      </c>
      <c r="F89" t="inlineStr">
        <is>
          <t>Övriga Aktiebolag</t>
        </is>
      </c>
      <c r="G89" t="n">
        <v>55.3</v>
      </c>
      <c r="H89" t="n">
        <v>2</v>
      </c>
      <c r="I89" t="n">
        <v>3</v>
      </c>
      <c r="J89" t="n">
        <v>11</v>
      </c>
      <c r="K89" t="n">
        <v>1</v>
      </c>
      <c r="L89" t="n">
        <v>0</v>
      </c>
      <c r="M89" t="n">
        <v>0</v>
      </c>
      <c r="N89" t="n">
        <v>0</v>
      </c>
      <c r="O89" t="n">
        <v>12</v>
      </c>
      <c r="P89" t="n">
        <v>1</v>
      </c>
      <c r="Q89" t="n">
        <v>15</v>
      </c>
      <c r="R89" s="2" t="inlineStr">
        <is>
          <t>Grantickeporing
Doftskinn
Gammelgransskål
Granticka
Gränsticka
Järpe
Knottrig blåslav
Lunglav
Skrovellav
Tretåig hackspett
Ullticka
Vitgrynig nållav
Stuplav
Svavelriska
Trådticka</t>
        </is>
      </c>
      <c r="S89">
        <f>HYPERLINK("https://klasma.github.io/Logging_ARE/artfynd/A 63293-2019.xlsx")</f>
        <v/>
      </c>
      <c r="T89">
        <f>HYPERLINK("https://klasma.github.io/Logging_ARE/kartor/A 63293-2019.png")</f>
        <v/>
      </c>
      <c r="V89">
        <f>HYPERLINK("https://klasma.github.io/Logging_ARE/klagomål/A 63293-2019.docx")</f>
        <v/>
      </c>
      <c r="W89">
        <f>HYPERLINK("https://klasma.github.io/Logging_ARE/klagomålsmail/A 63293-2019.docx")</f>
        <v/>
      </c>
      <c r="X89">
        <f>HYPERLINK("https://klasma.github.io/Logging_ARE/tillsyn/A 63293-2019.docx")</f>
        <v/>
      </c>
      <c r="Y89">
        <f>HYPERLINK("https://klasma.github.io/Logging_ARE/tillsynsmail/A 63293-2019.docx")</f>
        <v/>
      </c>
    </row>
    <row r="90" ht="15" customHeight="1">
      <c r="A90" t="inlineStr">
        <is>
          <t>A 68077-2019</t>
        </is>
      </c>
      <c r="B90" s="1" t="n">
        <v>43816</v>
      </c>
      <c r="C90" s="1" t="n">
        <v>45182</v>
      </c>
      <c r="D90" t="inlineStr">
        <is>
          <t>JÄMTLANDS LÄN</t>
        </is>
      </c>
      <c r="E90" t="inlineStr">
        <is>
          <t>KROKOM</t>
        </is>
      </c>
      <c r="F90" t="inlineStr">
        <is>
          <t>SCA</t>
        </is>
      </c>
      <c r="G90" t="n">
        <v>3.8</v>
      </c>
      <c r="H90" t="n">
        <v>2</v>
      </c>
      <c r="I90" t="n">
        <v>7</v>
      </c>
      <c r="J90" t="n">
        <v>6</v>
      </c>
      <c r="K90" t="n">
        <v>1</v>
      </c>
      <c r="L90" t="n">
        <v>0</v>
      </c>
      <c r="M90" t="n">
        <v>0</v>
      </c>
      <c r="N90" t="n">
        <v>0</v>
      </c>
      <c r="O90" t="n">
        <v>7</v>
      </c>
      <c r="P90" t="n">
        <v>1</v>
      </c>
      <c r="Q90" t="n">
        <v>15</v>
      </c>
      <c r="R90" s="2" t="inlineStr">
        <is>
          <t>Doftticka
Garnlav
Kolflarnlav
Lunglav
Skrovellav
Vedflamlav
Vedskivlav
Bårdlav
Dvärgtufs
Gulnål
Gytterlav
Korallblylav
Slanklav
Stuplav
Revlummer</t>
        </is>
      </c>
      <c r="S90">
        <f>HYPERLINK("https://klasma.github.io/Logging_KROKOM/artfynd/A 68077-2019.xlsx")</f>
        <v/>
      </c>
      <c r="T90">
        <f>HYPERLINK("https://klasma.github.io/Logging_KROKOM/kartor/A 68077-2019.png")</f>
        <v/>
      </c>
      <c r="V90">
        <f>HYPERLINK("https://klasma.github.io/Logging_KROKOM/klagomål/A 68077-2019.docx")</f>
        <v/>
      </c>
      <c r="W90">
        <f>HYPERLINK("https://klasma.github.io/Logging_KROKOM/klagomålsmail/A 68077-2019.docx")</f>
        <v/>
      </c>
      <c r="X90">
        <f>HYPERLINK("https://klasma.github.io/Logging_KROKOM/tillsyn/A 68077-2019.docx")</f>
        <v/>
      </c>
      <c r="Y90">
        <f>HYPERLINK("https://klasma.github.io/Logging_KROKOM/tillsynsmail/A 68077-2019.docx")</f>
        <v/>
      </c>
    </row>
    <row r="91" ht="15" customHeight="1">
      <c r="A91" t="inlineStr">
        <is>
          <t>A 31548-2020</t>
        </is>
      </c>
      <c r="B91" s="1" t="n">
        <v>44013</v>
      </c>
      <c r="C91" s="1" t="n">
        <v>45182</v>
      </c>
      <c r="D91" t="inlineStr">
        <is>
          <t>JÄMTLANDS LÄN</t>
        </is>
      </c>
      <c r="E91" t="inlineStr">
        <is>
          <t>KROKOM</t>
        </is>
      </c>
      <c r="G91" t="n">
        <v>9.4</v>
      </c>
      <c r="H91" t="n">
        <v>8</v>
      </c>
      <c r="I91" t="n">
        <v>4</v>
      </c>
      <c r="J91" t="n">
        <v>7</v>
      </c>
      <c r="K91" t="n">
        <v>2</v>
      </c>
      <c r="L91" t="n">
        <v>0</v>
      </c>
      <c r="M91" t="n">
        <v>0</v>
      </c>
      <c r="N91" t="n">
        <v>0</v>
      </c>
      <c r="O91" t="n">
        <v>9</v>
      </c>
      <c r="P91" t="n">
        <v>2</v>
      </c>
      <c r="Q91" t="n">
        <v>15</v>
      </c>
      <c r="R91" s="2" t="inlineStr">
        <is>
          <t>Knärot
Rynkskinn
Garnlav
Granticka
Rosenticka
Spillkråka
Tallticka
Tretåig hackspett
Ullticka
Korallrot
Spindelblomster
Tvåblad
Ögonpyrola
Brudsporre
Fläcknycklar</t>
        </is>
      </c>
      <c r="S91">
        <f>HYPERLINK("https://klasma.github.io/Logging_KROKOM/artfynd/A 31548-2020.xlsx")</f>
        <v/>
      </c>
      <c r="T91">
        <f>HYPERLINK("https://klasma.github.io/Logging_KROKOM/kartor/A 31548-2020.png")</f>
        <v/>
      </c>
      <c r="U91">
        <f>HYPERLINK("https://klasma.github.io/Logging_KROKOM/knärot/A 31548-2020.png")</f>
        <v/>
      </c>
      <c r="V91">
        <f>HYPERLINK("https://klasma.github.io/Logging_KROKOM/klagomål/A 31548-2020.docx")</f>
        <v/>
      </c>
      <c r="W91">
        <f>HYPERLINK("https://klasma.github.io/Logging_KROKOM/klagomålsmail/A 31548-2020.docx")</f>
        <v/>
      </c>
      <c r="X91">
        <f>HYPERLINK("https://klasma.github.io/Logging_KROKOM/tillsyn/A 31548-2020.docx")</f>
        <v/>
      </c>
      <c r="Y91">
        <f>HYPERLINK("https://klasma.github.io/Logging_KROKOM/tillsynsmail/A 31548-2020.docx")</f>
        <v/>
      </c>
    </row>
    <row r="92" ht="15" customHeight="1">
      <c r="A92" t="inlineStr">
        <is>
          <t>A 47280-2020</t>
        </is>
      </c>
      <c r="B92" s="1" t="n">
        <v>44097</v>
      </c>
      <c r="C92" s="1" t="n">
        <v>45182</v>
      </c>
      <c r="D92" t="inlineStr">
        <is>
          <t>JÄMTLANDS LÄN</t>
        </is>
      </c>
      <c r="E92" t="inlineStr">
        <is>
          <t>ÖSTERSUND</t>
        </is>
      </c>
      <c r="G92" t="n">
        <v>22.4</v>
      </c>
      <c r="H92" t="n">
        <v>2</v>
      </c>
      <c r="I92" t="n">
        <v>4</v>
      </c>
      <c r="J92" t="n">
        <v>3</v>
      </c>
      <c r="K92" t="n">
        <v>6</v>
      </c>
      <c r="L92" t="n">
        <v>0</v>
      </c>
      <c r="M92" t="n">
        <v>0</v>
      </c>
      <c r="N92" t="n">
        <v>0</v>
      </c>
      <c r="O92" t="n">
        <v>9</v>
      </c>
      <c r="P92" t="n">
        <v>6</v>
      </c>
      <c r="Q92" t="n">
        <v>15</v>
      </c>
      <c r="R92"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2">
        <f>HYPERLINK("https://klasma.github.io/Logging_OSTERSUND/artfynd/A 47280-2020.xlsx")</f>
        <v/>
      </c>
      <c r="T92">
        <f>HYPERLINK("https://klasma.github.io/Logging_OSTERSUND/kartor/A 47280-2020.png")</f>
        <v/>
      </c>
      <c r="V92">
        <f>HYPERLINK("https://klasma.github.io/Logging_OSTERSUND/klagomål/A 47280-2020.docx")</f>
        <v/>
      </c>
      <c r="W92">
        <f>HYPERLINK("https://klasma.github.io/Logging_OSTERSUND/klagomålsmail/A 47280-2020.docx")</f>
        <v/>
      </c>
      <c r="X92">
        <f>HYPERLINK("https://klasma.github.io/Logging_OSTERSUND/tillsyn/A 47280-2020.docx")</f>
        <v/>
      </c>
      <c r="Y92">
        <f>HYPERLINK("https://klasma.github.io/Logging_OSTERSUND/tillsynsmail/A 47280-2020.docx")</f>
        <v/>
      </c>
    </row>
    <row r="93" ht="15" customHeight="1">
      <c r="A93" t="inlineStr">
        <is>
          <t>A 69366-2020</t>
        </is>
      </c>
      <c r="B93" s="1" t="n">
        <v>44193</v>
      </c>
      <c r="C93" s="1" t="n">
        <v>45182</v>
      </c>
      <c r="D93" t="inlineStr">
        <is>
          <t>JÄMTLANDS LÄN</t>
        </is>
      </c>
      <c r="E93" t="inlineStr">
        <is>
          <t>HÄRJEDALEN</t>
        </is>
      </c>
      <c r="G93" t="n">
        <v>19.2</v>
      </c>
      <c r="H93" t="n">
        <v>2</v>
      </c>
      <c r="I93" t="n">
        <v>4</v>
      </c>
      <c r="J93" t="n">
        <v>11</v>
      </c>
      <c r="K93" t="n">
        <v>0</v>
      </c>
      <c r="L93" t="n">
        <v>0</v>
      </c>
      <c r="M93" t="n">
        <v>0</v>
      </c>
      <c r="N93" t="n">
        <v>0</v>
      </c>
      <c r="O93" t="n">
        <v>11</v>
      </c>
      <c r="P93" t="n">
        <v>0</v>
      </c>
      <c r="Q93" t="n">
        <v>15</v>
      </c>
      <c r="R93" s="2" t="inlineStr">
        <is>
          <t>Gammelgransskål
Garnlav
Granticka
Gränsticka
Knottrig blåslav
Rödbrun blekspik
Skrovellav
Talltita
Tretåig hackspett
Vedskivlav
Vitgrynig nållav
Bårdlav
Grönpyrola
Stuplav
Ögonpyrola</t>
        </is>
      </c>
      <c r="S93">
        <f>HYPERLINK("https://klasma.github.io/Logging_HARJEDALEN/artfynd/A 69366-2020.xlsx")</f>
        <v/>
      </c>
      <c r="T93">
        <f>HYPERLINK("https://klasma.github.io/Logging_HARJEDALEN/kartor/A 69366-2020.png")</f>
        <v/>
      </c>
      <c r="V93">
        <f>HYPERLINK("https://klasma.github.io/Logging_HARJEDALEN/klagomål/A 69366-2020.docx")</f>
        <v/>
      </c>
      <c r="W93">
        <f>HYPERLINK("https://klasma.github.io/Logging_HARJEDALEN/klagomålsmail/A 69366-2020.docx")</f>
        <v/>
      </c>
      <c r="X93">
        <f>HYPERLINK("https://klasma.github.io/Logging_HARJEDALEN/tillsyn/A 69366-2020.docx")</f>
        <v/>
      </c>
      <c r="Y93">
        <f>HYPERLINK("https://klasma.github.io/Logging_HARJEDALEN/tillsynsmail/A 69366-2020.docx")</f>
        <v/>
      </c>
    </row>
    <row r="94" ht="15" customHeight="1">
      <c r="A94" t="inlineStr">
        <is>
          <t>A 30411-2022</t>
        </is>
      </c>
      <c r="B94" s="1" t="n">
        <v>44761</v>
      </c>
      <c r="C94" s="1" t="n">
        <v>45182</v>
      </c>
      <c r="D94" t="inlineStr">
        <is>
          <t>JÄMTLANDS LÄN</t>
        </is>
      </c>
      <c r="E94" t="inlineStr">
        <is>
          <t>ÅRE</t>
        </is>
      </c>
      <c r="G94" t="n">
        <v>12.7</v>
      </c>
      <c r="H94" t="n">
        <v>6</v>
      </c>
      <c r="I94" t="n">
        <v>9</v>
      </c>
      <c r="J94" t="n">
        <v>4</v>
      </c>
      <c r="K94" t="n">
        <v>1</v>
      </c>
      <c r="L94" t="n">
        <v>0</v>
      </c>
      <c r="M94" t="n">
        <v>0</v>
      </c>
      <c r="N94" t="n">
        <v>0</v>
      </c>
      <c r="O94" t="n">
        <v>5</v>
      </c>
      <c r="P94" t="n">
        <v>1</v>
      </c>
      <c r="Q94" t="n">
        <v>15</v>
      </c>
      <c r="R94" s="2" t="inlineStr">
        <is>
          <t>Knärot
Granticka
Lunglav
Rosenticka
Skrovellav
Finbräken
Grönkulla
Guckusko
Korallrot
Kransrams
Spindelblomster
Svart trolldruva
Tibast
Ögonpyrola
Blåsippa</t>
        </is>
      </c>
      <c r="S94">
        <f>HYPERLINK("https://klasma.github.io/Logging_ARE/artfynd/A 30411-2022.xlsx")</f>
        <v/>
      </c>
      <c r="T94">
        <f>HYPERLINK("https://klasma.github.io/Logging_ARE/kartor/A 30411-2022.png")</f>
        <v/>
      </c>
      <c r="U94">
        <f>HYPERLINK("https://klasma.github.io/Logging_ARE/knärot/A 30411-2022.png")</f>
        <v/>
      </c>
      <c r="V94">
        <f>HYPERLINK("https://klasma.github.io/Logging_ARE/klagomål/A 30411-2022.docx")</f>
        <v/>
      </c>
      <c r="W94">
        <f>HYPERLINK("https://klasma.github.io/Logging_ARE/klagomålsmail/A 30411-2022.docx")</f>
        <v/>
      </c>
      <c r="X94">
        <f>HYPERLINK("https://klasma.github.io/Logging_ARE/tillsyn/A 30411-2022.docx")</f>
        <v/>
      </c>
      <c r="Y94">
        <f>HYPERLINK("https://klasma.github.io/Logging_ARE/tillsynsmail/A 30411-2022.docx")</f>
        <v/>
      </c>
    </row>
    <row r="95" ht="15" customHeight="1">
      <c r="A95" t="inlineStr">
        <is>
          <t>A 10723-2023</t>
        </is>
      </c>
      <c r="B95" s="1" t="n">
        <v>44984</v>
      </c>
      <c r="C95" s="1" t="n">
        <v>45182</v>
      </c>
      <c r="D95" t="inlineStr">
        <is>
          <t>JÄMTLANDS LÄN</t>
        </is>
      </c>
      <c r="E95" t="inlineStr">
        <is>
          <t>ÅRE</t>
        </is>
      </c>
      <c r="G95" t="n">
        <v>67.5</v>
      </c>
      <c r="H95" t="n">
        <v>3</v>
      </c>
      <c r="I95" t="n">
        <v>3</v>
      </c>
      <c r="J95" t="n">
        <v>11</v>
      </c>
      <c r="K95" t="n">
        <v>1</v>
      </c>
      <c r="L95" t="n">
        <v>0</v>
      </c>
      <c r="M95" t="n">
        <v>0</v>
      </c>
      <c r="N95" t="n">
        <v>0</v>
      </c>
      <c r="O95" t="n">
        <v>12</v>
      </c>
      <c r="P95" t="n">
        <v>1</v>
      </c>
      <c r="Q95" t="n">
        <v>15</v>
      </c>
      <c r="R95" s="2" t="inlineStr">
        <is>
          <t>Läderlappslav
Gammelgransskål
Garnlav
Granticka
Kavernularia
Knottrig blåslav
Liten svartspik
Skrovellav
Talltita
Tretåig hackspett
Vedflamlav
Vitgrynig nållav
Bårdlav
Spindelblomster
Vedticka</t>
        </is>
      </c>
      <c r="S95">
        <f>HYPERLINK("https://klasma.github.io/Logging_ARE/artfynd/A 10723-2023.xlsx")</f>
        <v/>
      </c>
      <c r="T95">
        <f>HYPERLINK("https://klasma.github.io/Logging_ARE/kartor/A 10723-2023.png")</f>
        <v/>
      </c>
      <c r="V95">
        <f>HYPERLINK("https://klasma.github.io/Logging_ARE/klagomål/A 10723-2023.docx")</f>
        <v/>
      </c>
      <c r="W95">
        <f>HYPERLINK("https://klasma.github.io/Logging_ARE/klagomålsmail/A 10723-2023.docx")</f>
        <v/>
      </c>
      <c r="X95">
        <f>HYPERLINK("https://klasma.github.io/Logging_ARE/tillsyn/A 10723-2023.docx")</f>
        <v/>
      </c>
      <c r="Y95">
        <f>HYPERLINK("https://klasma.github.io/Logging_ARE/tillsynsmail/A 10723-2023.docx")</f>
        <v/>
      </c>
    </row>
    <row r="96" ht="15" customHeight="1">
      <c r="A96" t="inlineStr">
        <is>
          <t>A 21351-2023</t>
        </is>
      </c>
      <c r="B96" s="1" t="n">
        <v>45062</v>
      </c>
      <c r="C96" s="1" t="n">
        <v>45182</v>
      </c>
      <c r="D96" t="inlineStr">
        <is>
          <t>JÄMTLANDS LÄN</t>
        </is>
      </c>
      <c r="E96" t="inlineStr">
        <is>
          <t>BERG</t>
        </is>
      </c>
      <c r="F96" t="inlineStr">
        <is>
          <t>SCA</t>
        </is>
      </c>
      <c r="G96" t="n">
        <v>26.3</v>
      </c>
      <c r="H96" t="n">
        <v>4</v>
      </c>
      <c r="I96" t="n">
        <v>4</v>
      </c>
      <c r="J96" t="n">
        <v>9</v>
      </c>
      <c r="K96" t="n">
        <v>2</v>
      </c>
      <c r="L96" t="n">
        <v>0</v>
      </c>
      <c r="M96" t="n">
        <v>0</v>
      </c>
      <c r="N96" t="n">
        <v>0</v>
      </c>
      <c r="O96" t="n">
        <v>11</v>
      </c>
      <c r="P96" t="n">
        <v>2</v>
      </c>
      <c r="Q96" t="n">
        <v>15</v>
      </c>
      <c r="R96" s="2" t="inlineStr">
        <is>
          <t>Doftticka
Knärot
Blanksvart spiklav
Dvärgbägarlav
Kolflarnlav
Lunglav
Mörk kolflarnlav
Skrovellav
Tretåig hackspett
Vedflamlav
Vedskivlav
Bårdlav
Dropptaggsvamp
Spindelblomster
Stuplav</t>
        </is>
      </c>
      <c r="S96">
        <f>HYPERLINK("https://klasma.github.io/Logging_BERG/artfynd/A 21351-2023.xlsx")</f>
        <v/>
      </c>
      <c r="T96">
        <f>HYPERLINK("https://klasma.github.io/Logging_BERG/kartor/A 21351-2023.png")</f>
        <v/>
      </c>
      <c r="U96">
        <f>HYPERLINK("https://klasma.github.io/Logging_BERG/knärot/A 21351-2023.png")</f>
        <v/>
      </c>
      <c r="V96">
        <f>HYPERLINK("https://klasma.github.io/Logging_BERG/klagomål/A 21351-2023.docx")</f>
        <v/>
      </c>
      <c r="W96">
        <f>HYPERLINK("https://klasma.github.io/Logging_BERG/klagomålsmail/A 21351-2023.docx")</f>
        <v/>
      </c>
      <c r="X96">
        <f>HYPERLINK("https://klasma.github.io/Logging_BERG/tillsyn/A 21351-2023.docx")</f>
        <v/>
      </c>
      <c r="Y96">
        <f>HYPERLINK("https://klasma.github.io/Logging_BERG/tillsynsmail/A 21351-2023.docx")</f>
        <v/>
      </c>
    </row>
    <row r="97" ht="15" customHeight="1">
      <c r="A97" t="inlineStr">
        <is>
          <t>A 30683-2023</t>
        </is>
      </c>
      <c r="B97" s="1" t="n">
        <v>45112</v>
      </c>
      <c r="C97" s="1" t="n">
        <v>45182</v>
      </c>
      <c r="D97" t="inlineStr">
        <is>
          <t>JÄMTLANDS LÄN</t>
        </is>
      </c>
      <c r="E97" t="inlineStr">
        <is>
          <t>ÖSTERSUND</t>
        </is>
      </c>
      <c r="G97" t="n">
        <v>3.2</v>
      </c>
      <c r="H97" t="n">
        <v>3</v>
      </c>
      <c r="I97" t="n">
        <v>2</v>
      </c>
      <c r="J97" t="n">
        <v>8</v>
      </c>
      <c r="K97" t="n">
        <v>4</v>
      </c>
      <c r="L97" t="n">
        <v>0</v>
      </c>
      <c r="M97" t="n">
        <v>0</v>
      </c>
      <c r="N97" t="n">
        <v>0</v>
      </c>
      <c r="O97" t="n">
        <v>12</v>
      </c>
      <c r="P97" t="n">
        <v>4</v>
      </c>
      <c r="Q97" t="n">
        <v>15</v>
      </c>
      <c r="R97" s="2" t="inlineStr">
        <is>
          <t>Bitter taggsvamp
Doftticka
Läderdoftande fingersvamp
Taggfingersvamp
Druvfingersvamp
Grantaggsvamp
Grynig filtlav
Gultoppig fingersvamp
Lunglav
Orange taggsvamp
Skogsfru
Slåtterfibbla
Kryddspindling
Vårärt
Skogsrör</t>
        </is>
      </c>
      <c r="S97">
        <f>HYPERLINK("https://klasma.github.io/Logging_OSTERSUND/artfynd/A 30683-2023.xlsx")</f>
        <v/>
      </c>
      <c r="T97">
        <f>HYPERLINK("https://klasma.github.io/Logging_OSTERSUND/kartor/A 30683-2023.png")</f>
        <v/>
      </c>
      <c r="V97">
        <f>HYPERLINK("https://klasma.github.io/Logging_OSTERSUND/klagomål/A 30683-2023.docx")</f>
        <v/>
      </c>
      <c r="W97">
        <f>HYPERLINK("https://klasma.github.io/Logging_OSTERSUND/klagomålsmail/A 30683-2023.docx")</f>
        <v/>
      </c>
      <c r="X97">
        <f>HYPERLINK("https://klasma.github.io/Logging_OSTERSUND/tillsyn/A 30683-2023.docx")</f>
        <v/>
      </c>
      <c r="Y97">
        <f>HYPERLINK("https://klasma.github.io/Logging_OSTERSUND/tillsynsmail/A 30683-2023.docx")</f>
        <v/>
      </c>
    </row>
    <row r="98" ht="15" customHeight="1">
      <c r="A98" t="inlineStr">
        <is>
          <t>A 32152-2020</t>
        </is>
      </c>
      <c r="B98" s="1" t="n">
        <v>44015</v>
      </c>
      <c r="C98" s="1" t="n">
        <v>45182</v>
      </c>
      <c r="D98" t="inlineStr">
        <is>
          <t>JÄMTLANDS LÄN</t>
        </is>
      </c>
      <c r="E98" t="inlineStr">
        <is>
          <t>STRÖMSUND</t>
        </is>
      </c>
      <c r="F98" t="inlineStr">
        <is>
          <t>Holmen skog AB</t>
        </is>
      </c>
      <c r="G98" t="n">
        <v>3.1</v>
      </c>
      <c r="H98" t="n">
        <v>2</v>
      </c>
      <c r="I98" t="n">
        <v>2</v>
      </c>
      <c r="J98" t="n">
        <v>8</v>
      </c>
      <c r="K98" t="n">
        <v>3</v>
      </c>
      <c r="L98" t="n">
        <v>1</v>
      </c>
      <c r="M98" t="n">
        <v>0</v>
      </c>
      <c r="N98" t="n">
        <v>0</v>
      </c>
      <c r="O98" t="n">
        <v>12</v>
      </c>
      <c r="P98" t="n">
        <v>4</v>
      </c>
      <c r="Q98" t="n">
        <v>14</v>
      </c>
      <c r="R98"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98">
        <f>HYPERLINK("https://klasma.github.io/Logging_STROMSUND/artfynd/A 32152-2020.xlsx")</f>
        <v/>
      </c>
      <c r="T98">
        <f>HYPERLINK("https://klasma.github.io/Logging_STROMSUND/kartor/A 32152-2020.png")</f>
        <v/>
      </c>
      <c r="V98">
        <f>HYPERLINK("https://klasma.github.io/Logging_STROMSUND/klagomål/A 32152-2020.docx")</f>
        <v/>
      </c>
      <c r="W98">
        <f>HYPERLINK("https://klasma.github.io/Logging_STROMSUND/klagomålsmail/A 32152-2020.docx")</f>
        <v/>
      </c>
      <c r="X98">
        <f>HYPERLINK("https://klasma.github.io/Logging_STROMSUND/tillsyn/A 32152-2020.docx")</f>
        <v/>
      </c>
      <c r="Y98">
        <f>HYPERLINK("https://klasma.github.io/Logging_STROMSUND/tillsynsmail/A 32152-2020.docx")</f>
        <v/>
      </c>
    </row>
    <row r="99" ht="15" customHeight="1">
      <c r="A99" t="inlineStr">
        <is>
          <t>A 27975-2021</t>
        </is>
      </c>
      <c r="B99" s="1" t="n">
        <v>44354</v>
      </c>
      <c r="C99" s="1" t="n">
        <v>45182</v>
      </c>
      <c r="D99" t="inlineStr">
        <is>
          <t>JÄMTLANDS LÄN</t>
        </is>
      </c>
      <c r="E99" t="inlineStr">
        <is>
          <t>BERG</t>
        </is>
      </c>
      <c r="F99" t="inlineStr">
        <is>
          <t>SCA</t>
        </is>
      </c>
      <c r="G99" t="n">
        <v>20.2</v>
      </c>
      <c r="H99" t="n">
        <v>0</v>
      </c>
      <c r="I99" t="n">
        <v>1</v>
      </c>
      <c r="J99" t="n">
        <v>9</v>
      </c>
      <c r="K99" t="n">
        <v>4</v>
      </c>
      <c r="L99" t="n">
        <v>0</v>
      </c>
      <c r="M99" t="n">
        <v>0</v>
      </c>
      <c r="N99" t="n">
        <v>0</v>
      </c>
      <c r="O99" t="n">
        <v>13</v>
      </c>
      <c r="P99" t="n">
        <v>4</v>
      </c>
      <c r="Q99" t="n">
        <v>14</v>
      </c>
      <c r="R99" s="2" t="inlineStr">
        <is>
          <t>Fläckporing
Goliatmusseron
Gräddporing
Smalfotad taggsvamp
Blanksvart spiklav
Blå taggsvamp
Dvärgbägarlav
Nordtagging
Orange taggsvamp
Skrovlig taggsvamp
Svart taggsvamp
Talltaggsvamp
Vitplätt
Dropptaggsvamp</t>
        </is>
      </c>
      <c r="S99">
        <f>HYPERLINK("https://klasma.github.io/Logging_BERG/artfynd/A 27975-2021.xlsx")</f>
        <v/>
      </c>
      <c r="T99">
        <f>HYPERLINK("https://klasma.github.io/Logging_BERG/kartor/A 27975-2021.png")</f>
        <v/>
      </c>
      <c r="V99">
        <f>HYPERLINK("https://klasma.github.io/Logging_BERG/klagomål/A 27975-2021.docx")</f>
        <v/>
      </c>
      <c r="W99">
        <f>HYPERLINK("https://klasma.github.io/Logging_BERG/klagomålsmail/A 27975-2021.docx")</f>
        <v/>
      </c>
      <c r="X99">
        <f>HYPERLINK("https://klasma.github.io/Logging_BERG/tillsyn/A 27975-2021.docx")</f>
        <v/>
      </c>
      <c r="Y99">
        <f>HYPERLINK("https://klasma.github.io/Logging_BERG/tillsynsmail/A 27975-2021.docx")</f>
        <v/>
      </c>
    </row>
    <row r="100" ht="15" customHeight="1">
      <c r="A100" t="inlineStr">
        <is>
          <t>A 54810-2021</t>
        </is>
      </c>
      <c r="B100" s="1" t="n">
        <v>44473</v>
      </c>
      <c r="C100" s="1" t="n">
        <v>45182</v>
      </c>
      <c r="D100" t="inlineStr">
        <is>
          <t>JÄMTLANDS LÄN</t>
        </is>
      </c>
      <c r="E100" t="inlineStr">
        <is>
          <t>RAGUNDA</t>
        </is>
      </c>
      <c r="F100" t="inlineStr">
        <is>
          <t>SCA</t>
        </is>
      </c>
      <c r="G100" t="n">
        <v>4.5</v>
      </c>
      <c r="H100" t="n">
        <v>0</v>
      </c>
      <c r="I100" t="n">
        <v>5</v>
      </c>
      <c r="J100" t="n">
        <v>9</v>
      </c>
      <c r="K100" t="n">
        <v>0</v>
      </c>
      <c r="L100" t="n">
        <v>0</v>
      </c>
      <c r="M100" t="n">
        <v>0</v>
      </c>
      <c r="N100" t="n">
        <v>0</v>
      </c>
      <c r="O100" t="n">
        <v>9</v>
      </c>
      <c r="P100" t="n">
        <v>0</v>
      </c>
      <c r="Q100" t="n">
        <v>14</v>
      </c>
      <c r="R100" s="2" t="inlineStr">
        <is>
          <t>Brunpudrad nållav
Kolflarnlav
Liten svartspik
Lunglav
Parknål
Skrovellav
Vedflamlav
Vedtrappmossa
Vitgrynig nållav
Gulnål
Kornig nållav
Luddlav
Stuplav
Vedticka</t>
        </is>
      </c>
      <c r="S100">
        <f>HYPERLINK("https://klasma.github.io/Logging_RAGUNDA/artfynd/A 54810-2021.xlsx")</f>
        <v/>
      </c>
      <c r="T100">
        <f>HYPERLINK("https://klasma.github.io/Logging_RAGUNDA/kartor/A 54810-2021.png")</f>
        <v/>
      </c>
      <c r="V100">
        <f>HYPERLINK("https://klasma.github.io/Logging_RAGUNDA/klagomål/A 54810-2021.docx")</f>
        <v/>
      </c>
      <c r="W100">
        <f>HYPERLINK("https://klasma.github.io/Logging_RAGUNDA/klagomålsmail/A 54810-2021.docx")</f>
        <v/>
      </c>
      <c r="X100">
        <f>HYPERLINK("https://klasma.github.io/Logging_RAGUNDA/tillsyn/A 54810-2021.docx")</f>
        <v/>
      </c>
      <c r="Y100">
        <f>HYPERLINK("https://klasma.github.io/Logging_RAGUNDA/tillsynsmail/A 54810-2021.docx")</f>
        <v/>
      </c>
    </row>
    <row r="101" ht="15" customHeight="1">
      <c r="A101" t="inlineStr">
        <is>
          <t>A 58277-2021</t>
        </is>
      </c>
      <c r="B101" s="1" t="n">
        <v>44487</v>
      </c>
      <c r="C101" s="1" t="n">
        <v>45182</v>
      </c>
      <c r="D101" t="inlineStr">
        <is>
          <t>JÄMTLANDS LÄN</t>
        </is>
      </c>
      <c r="E101" t="inlineStr">
        <is>
          <t>HÄRJEDALEN</t>
        </is>
      </c>
      <c r="F101" t="inlineStr">
        <is>
          <t>SCA</t>
        </is>
      </c>
      <c r="G101" t="n">
        <v>23.9</v>
      </c>
      <c r="H101" t="n">
        <v>1</v>
      </c>
      <c r="I101" t="n">
        <v>3</v>
      </c>
      <c r="J101" t="n">
        <v>7</v>
      </c>
      <c r="K101" t="n">
        <v>3</v>
      </c>
      <c r="L101" t="n">
        <v>1</v>
      </c>
      <c r="M101" t="n">
        <v>0</v>
      </c>
      <c r="N101" t="n">
        <v>0</v>
      </c>
      <c r="O101" t="n">
        <v>11</v>
      </c>
      <c r="P101" t="n">
        <v>4</v>
      </c>
      <c r="Q101" t="n">
        <v>14</v>
      </c>
      <c r="R101" s="2" t="inlineStr">
        <is>
          <t>Mosippa
Gräddporing
Lammticka
Rotfingersvamp
Blå taggsvamp
Dvärgbägarlav
Motaggsvamp
Orange taggsvamp
Skrovlig taggsvamp
Talltaggsvamp
Vaddporing
Dropptaggsvamp
Skarp dropptaggsvamp
Tallfingersvamp</t>
        </is>
      </c>
      <c r="S101">
        <f>HYPERLINK("https://klasma.github.io/Logging_HARJEDALEN/artfynd/A 58277-2021.xlsx")</f>
        <v/>
      </c>
      <c r="T101">
        <f>HYPERLINK("https://klasma.github.io/Logging_HARJEDALEN/kartor/A 58277-2021.png")</f>
        <v/>
      </c>
      <c r="V101">
        <f>HYPERLINK("https://klasma.github.io/Logging_HARJEDALEN/klagomål/A 58277-2021.docx")</f>
        <v/>
      </c>
      <c r="W101">
        <f>HYPERLINK("https://klasma.github.io/Logging_HARJEDALEN/klagomålsmail/A 58277-2021.docx")</f>
        <v/>
      </c>
      <c r="X101">
        <f>HYPERLINK("https://klasma.github.io/Logging_HARJEDALEN/tillsyn/A 58277-2021.docx")</f>
        <v/>
      </c>
      <c r="Y101">
        <f>HYPERLINK("https://klasma.github.io/Logging_HARJEDALEN/tillsynsmail/A 58277-2021.docx")</f>
        <v/>
      </c>
    </row>
    <row r="102" ht="15" customHeight="1">
      <c r="A102" t="inlineStr">
        <is>
          <t>A 65292-2021</t>
        </is>
      </c>
      <c r="B102" s="1" t="n">
        <v>44515</v>
      </c>
      <c r="C102" s="1" t="n">
        <v>45182</v>
      </c>
      <c r="D102" t="inlineStr">
        <is>
          <t>JÄMTLANDS LÄN</t>
        </is>
      </c>
      <c r="E102" t="inlineStr">
        <is>
          <t>ÅRE</t>
        </is>
      </c>
      <c r="G102" t="n">
        <v>25.6</v>
      </c>
      <c r="H102" t="n">
        <v>2</v>
      </c>
      <c r="I102" t="n">
        <v>3</v>
      </c>
      <c r="J102" t="n">
        <v>10</v>
      </c>
      <c r="K102" t="n">
        <v>1</v>
      </c>
      <c r="L102" t="n">
        <v>0</v>
      </c>
      <c r="M102" t="n">
        <v>0</v>
      </c>
      <c r="N102" t="n">
        <v>0</v>
      </c>
      <c r="O102" t="n">
        <v>11</v>
      </c>
      <c r="P102" t="n">
        <v>1</v>
      </c>
      <c r="Q102" t="n">
        <v>14</v>
      </c>
      <c r="R102" s="2" t="inlineStr">
        <is>
          <t>Liten hornflikmossa
Doftskinn
Gammelgransskål
Garnlav
Granticka
Harticka
Skrovellav
Spillkråka
Tretåig hackspett
Ullticka
Vedtrappmossa
Gytterlav
Stuplav
Vedticka</t>
        </is>
      </c>
      <c r="S102">
        <f>HYPERLINK("https://klasma.github.io/Logging_ARE/artfynd/A 65292-2021.xlsx")</f>
        <v/>
      </c>
      <c r="T102">
        <f>HYPERLINK("https://klasma.github.io/Logging_ARE/kartor/A 65292-2021.png")</f>
        <v/>
      </c>
      <c r="V102">
        <f>HYPERLINK("https://klasma.github.io/Logging_ARE/klagomål/A 65292-2021.docx")</f>
        <v/>
      </c>
      <c r="W102">
        <f>HYPERLINK("https://klasma.github.io/Logging_ARE/klagomålsmail/A 65292-2021.docx")</f>
        <v/>
      </c>
      <c r="X102">
        <f>HYPERLINK("https://klasma.github.io/Logging_ARE/tillsyn/A 65292-2021.docx")</f>
        <v/>
      </c>
      <c r="Y102">
        <f>HYPERLINK("https://klasma.github.io/Logging_ARE/tillsynsmail/A 65292-2021.docx")</f>
        <v/>
      </c>
    </row>
    <row r="103" ht="15" customHeight="1">
      <c r="A103" t="inlineStr">
        <is>
          <t>A 17747-2022</t>
        </is>
      </c>
      <c r="B103" s="1" t="n">
        <v>44680</v>
      </c>
      <c r="C103" s="1" t="n">
        <v>45182</v>
      </c>
      <c r="D103" t="inlineStr">
        <is>
          <t>JÄMTLANDS LÄN</t>
        </is>
      </c>
      <c r="E103" t="inlineStr">
        <is>
          <t>HÄRJEDALEN</t>
        </is>
      </c>
      <c r="F103" t="inlineStr">
        <is>
          <t>SCA</t>
        </is>
      </c>
      <c r="G103" t="n">
        <v>14.8</v>
      </c>
      <c r="H103" t="n">
        <v>0</v>
      </c>
      <c r="I103" t="n">
        <v>2</v>
      </c>
      <c r="J103" t="n">
        <v>9</v>
      </c>
      <c r="K103" t="n">
        <v>3</v>
      </c>
      <c r="L103" t="n">
        <v>0</v>
      </c>
      <c r="M103" t="n">
        <v>0</v>
      </c>
      <c r="N103" t="n">
        <v>0</v>
      </c>
      <c r="O103" t="n">
        <v>12</v>
      </c>
      <c r="P103" t="n">
        <v>3</v>
      </c>
      <c r="Q103" t="n">
        <v>14</v>
      </c>
      <c r="R103" s="2" t="inlineStr">
        <is>
          <t>Gräddporing
Tajgataggsvamp
Tallgråticka
Blå taggsvamp
Mörk kolflarnlav
Skrovlig taggsvamp
Svart taggsvamp
Tallriska
Talltaggsvamp
Vaxspindling
Vedflamlav
Vedskivlav
Dropptaggsvamp
Skarp dropptaggsvamp</t>
        </is>
      </c>
      <c r="S103">
        <f>HYPERLINK("https://klasma.github.io/Logging_HARJEDALEN/artfynd/A 17747-2022.xlsx")</f>
        <v/>
      </c>
      <c r="T103">
        <f>HYPERLINK("https://klasma.github.io/Logging_HARJEDALEN/kartor/A 17747-2022.png")</f>
        <v/>
      </c>
      <c r="V103">
        <f>HYPERLINK("https://klasma.github.io/Logging_HARJEDALEN/klagomål/A 17747-2022.docx")</f>
        <v/>
      </c>
      <c r="W103">
        <f>HYPERLINK("https://klasma.github.io/Logging_HARJEDALEN/klagomålsmail/A 17747-2022.docx")</f>
        <v/>
      </c>
      <c r="X103">
        <f>HYPERLINK("https://klasma.github.io/Logging_HARJEDALEN/tillsyn/A 17747-2022.docx")</f>
        <v/>
      </c>
      <c r="Y103">
        <f>HYPERLINK("https://klasma.github.io/Logging_HARJEDALEN/tillsynsmail/A 17747-2022.docx")</f>
        <v/>
      </c>
    </row>
    <row r="104" ht="15" customHeight="1">
      <c r="A104" t="inlineStr">
        <is>
          <t>A 18972-2022</t>
        </is>
      </c>
      <c r="B104" s="1" t="n">
        <v>44690</v>
      </c>
      <c r="C104" s="1" t="n">
        <v>45182</v>
      </c>
      <c r="D104" t="inlineStr">
        <is>
          <t>JÄMTLANDS LÄN</t>
        </is>
      </c>
      <c r="E104" t="inlineStr">
        <is>
          <t>BRÄCKE</t>
        </is>
      </c>
      <c r="G104" t="n">
        <v>17.3</v>
      </c>
      <c r="H104" t="n">
        <v>2</v>
      </c>
      <c r="I104" t="n">
        <v>1</v>
      </c>
      <c r="J104" t="n">
        <v>11</v>
      </c>
      <c r="K104" t="n">
        <v>2</v>
      </c>
      <c r="L104" t="n">
        <v>0</v>
      </c>
      <c r="M104" t="n">
        <v>0</v>
      </c>
      <c r="N104" t="n">
        <v>0</v>
      </c>
      <c r="O104" t="n">
        <v>13</v>
      </c>
      <c r="P104" t="n">
        <v>2</v>
      </c>
      <c r="Q104" t="n">
        <v>14</v>
      </c>
      <c r="R104" s="2" t="inlineStr">
        <is>
          <t>Knärot
Rynkskinn
Garnlav
Kolflarnlav
Lunglav
Mörk kolflarnlav
Nordtagging
Rosenticka
Stjärntagging
Talltita
Ullticka
Vedskivlav
Vedtrappmossa
Stuplav</t>
        </is>
      </c>
      <c r="S104">
        <f>HYPERLINK("https://klasma.github.io/Logging_BRACKE/artfynd/A 18972-2022.xlsx")</f>
        <v/>
      </c>
      <c r="T104">
        <f>HYPERLINK("https://klasma.github.io/Logging_BRACKE/kartor/A 18972-2022.png")</f>
        <v/>
      </c>
      <c r="U104">
        <f>HYPERLINK("https://klasma.github.io/Logging_BRACKE/knärot/A 18972-2022.png")</f>
        <v/>
      </c>
      <c r="V104">
        <f>HYPERLINK("https://klasma.github.io/Logging_BRACKE/klagomål/A 18972-2022.docx")</f>
        <v/>
      </c>
      <c r="W104">
        <f>HYPERLINK("https://klasma.github.io/Logging_BRACKE/klagomålsmail/A 18972-2022.docx")</f>
        <v/>
      </c>
      <c r="X104">
        <f>HYPERLINK("https://klasma.github.io/Logging_BRACKE/tillsyn/A 18972-2022.docx")</f>
        <v/>
      </c>
      <c r="Y104">
        <f>HYPERLINK("https://klasma.github.io/Logging_BRACKE/tillsynsmail/A 18972-2022.docx")</f>
        <v/>
      </c>
    </row>
    <row r="105" ht="15" customHeight="1">
      <c r="A105" t="inlineStr">
        <is>
          <t>A 39568-2022</t>
        </is>
      </c>
      <c r="B105" s="1" t="n">
        <v>44817</v>
      </c>
      <c r="C105" s="1" t="n">
        <v>45182</v>
      </c>
      <c r="D105" t="inlineStr">
        <is>
          <t>JÄMTLANDS LÄN</t>
        </is>
      </c>
      <c r="E105" t="inlineStr">
        <is>
          <t>ÖSTERSUND</t>
        </is>
      </c>
      <c r="G105" t="n">
        <v>10</v>
      </c>
      <c r="H105" t="n">
        <v>8</v>
      </c>
      <c r="I105" t="n">
        <v>8</v>
      </c>
      <c r="J105" t="n">
        <v>1</v>
      </c>
      <c r="K105" t="n">
        <v>1</v>
      </c>
      <c r="L105" t="n">
        <v>1</v>
      </c>
      <c r="M105" t="n">
        <v>0</v>
      </c>
      <c r="N105" t="n">
        <v>0</v>
      </c>
      <c r="O105" t="n">
        <v>3</v>
      </c>
      <c r="P105" t="n">
        <v>2</v>
      </c>
      <c r="Q105" t="n">
        <v>14</v>
      </c>
      <c r="R105" s="2" t="inlineStr">
        <is>
          <t>Trolldruvemätare
Knärot
Skogsfru
Finbräken
Guckusko
Kransrams
Spindelblomster
Svart trolldruva
Trådfräken
Tvåblad
Ögonpyrola
Fläcknycklar
Blåsippa
Revlummer</t>
        </is>
      </c>
      <c r="S105">
        <f>HYPERLINK("https://klasma.github.io/Logging_OSTERSUND/artfynd/A 39568-2022.xlsx")</f>
        <v/>
      </c>
      <c r="T105">
        <f>HYPERLINK("https://klasma.github.io/Logging_OSTERSUND/kartor/A 39568-2022.png")</f>
        <v/>
      </c>
      <c r="U105">
        <f>HYPERLINK("https://klasma.github.io/Logging_OSTERSUND/knärot/A 39568-2022.png")</f>
        <v/>
      </c>
      <c r="V105">
        <f>HYPERLINK("https://klasma.github.io/Logging_OSTERSUND/klagomål/A 39568-2022.docx")</f>
        <v/>
      </c>
      <c r="W105">
        <f>HYPERLINK("https://klasma.github.io/Logging_OSTERSUND/klagomålsmail/A 39568-2022.docx")</f>
        <v/>
      </c>
      <c r="X105">
        <f>HYPERLINK("https://klasma.github.io/Logging_OSTERSUND/tillsyn/A 39568-2022.docx")</f>
        <v/>
      </c>
      <c r="Y105">
        <f>HYPERLINK("https://klasma.github.io/Logging_OSTERSUND/tillsynsmail/A 39568-2022.docx")</f>
        <v/>
      </c>
    </row>
    <row r="106" ht="15" customHeight="1">
      <c r="A106" t="inlineStr">
        <is>
          <t>A 55075-2022</t>
        </is>
      </c>
      <c r="B106" s="1" t="n">
        <v>44886</v>
      </c>
      <c r="C106" s="1" t="n">
        <v>45182</v>
      </c>
      <c r="D106" t="inlineStr">
        <is>
          <t>JÄMTLANDS LÄN</t>
        </is>
      </c>
      <c r="E106" t="inlineStr">
        <is>
          <t>ÖSTERSUND</t>
        </is>
      </c>
      <c r="F106" t="inlineStr">
        <is>
          <t>Övriga Aktiebolag</t>
        </is>
      </c>
      <c r="G106" t="n">
        <v>12.7</v>
      </c>
      <c r="H106" t="n">
        <v>7</v>
      </c>
      <c r="I106" t="n">
        <v>5</v>
      </c>
      <c r="J106" t="n">
        <v>4</v>
      </c>
      <c r="K106" t="n">
        <v>2</v>
      </c>
      <c r="L106" t="n">
        <v>0</v>
      </c>
      <c r="M106" t="n">
        <v>0</v>
      </c>
      <c r="N106" t="n">
        <v>0</v>
      </c>
      <c r="O106" t="n">
        <v>6</v>
      </c>
      <c r="P106" t="n">
        <v>2</v>
      </c>
      <c r="Q106" t="n">
        <v>14</v>
      </c>
      <c r="R106" s="2" t="inlineStr">
        <is>
          <t>Doftticka
Knärot
Garnlav
Granticka
Lunglav
Skrovellav
Bårdlav
Grönkulla
Luddlav
Spindelblomster
Stuplav
Fläcknycklar
Nattviol
Revlummer</t>
        </is>
      </c>
      <c r="S106">
        <f>HYPERLINK("https://klasma.github.io/Logging_OSTERSUND/artfynd/A 55075-2022.xlsx")</f>
        <v/>
      </c>
      <c r="T106">
        <f>HYPERLINK("https://klasma.github.io/Logging_OSTERSUND/kartor/A 55075-2022.png")</f>
        <v/>
      </c>
      <c r="U106">
        <f>HYPERLINK("https://klasma.github.io/Logging_OSTERSUND/knärot/A 55075-2022.png")</f>
        <v/>
      </c>
      <c r="V106">
        <f>HYPERLINK("https://klasma.github.io/Logging_OSTERSUND/klagomål/A 55075-2022.docx")</f>
        <v/>
      </c>
      <c r="W106">
        <f>HYPERLINK("https://klasma.github.io/Logging_OSTERSUND/klagomålsmail/A 55075-2022.docx")</f>
        <v/>
      </c>
      <c r="X106">
        <f>HYPERLINK("https://klasma.github.io/Logging_OSTERSUND/tillsyn/A 55075-2022.docx")</f>
        <v/>
      </c>
      <c r="Y106">
        <f>HYPERLINK("https://klasma.github.io/Logging_OSTERSUND/tillsynsmail/A 55075-2022.docx")</f>
        <v/>
      </c>
    </row>
    <row r="107" ht="15" customHeight="1">
      <c r="A107" t="inlineStr">
        <is>
          <t>A 56368-2022</t>
        </is>
      </c>
      <c r="B107" s="1" t="n">
        <v>44887</v>
      </c>
      <c r="C107" s="1" t="n">
        <v>45182</v>
      </c>
      <c r="D107" t="inlineStr">
        <is>
          <t>JÄMTLANDS LÄN</t>
        </is>
      </c>
      <c r="E107" t="inlineStr">
        <is>
          <t>ÅRE</t>
        </is>
      </c>
      <c r="G107" t="n">
        <v>28.3</v>
      </c>
      <c r="H107" t="n">
        <v>2</v>
      </c>
      <c r="I107" t="n">
        <v>6</v>
      </c>
      <c r="J107" t="n">
        <v>7</v>
      </c>
      <c r="K107" t="n">
        <v>1</v>
      </c>
      <c r="L107" t="n">
        <v>0</v>
      </c>
      <c r="M107" t="n">
        <v>0</v>
      </c>
      <c r="N107" t="n">
        <v>0</v>
      </c>
      <c r="O107" t="n">
        <v>8</v>
      </c>
      <c r="P107" t="n">
        <v>1</v>
      </c>
      <c r="Q107" t="n">
        <v>14</v>
      </c>
      <c r="R107" s="2" t="inlineStr">
        <is>
          <t>Skuggkraterlav
Brunpudrad nållav
Garnlav
Granticka
Gränsticka
Rödbrun blekspik
Tretåig hackspett
Vitgrynig nållav
Gytterlav
Kambräken
Kransrams
Spindelblomster
Vedticka
Västlig hakmossa</t>
        </is>
      </c>
      <c r="S107">
        <f>HYPERLINK("https://klasma.github.io/Logging_ARE/artfynd/A 56368-2022.xlsx")</f>
        <v/>
      </c>
      <c r="T107">
        <f>HYPERLINK("https://klasma.github.io/Logging_ARE/kartor/A 56368-2022.png")</f>
        <v/>
      </c>
      <c r="V107">
        <f>HYPERLINK("https://klasma.github.io/Logging_ARE/klagomål/A 56368-2022.docx")</f>
        <v/>
      </c>
      <c r="W107">
        <f>HYPERLINK("https://klasma.github.io/Logging_ARE/klagomålsmail/A 56368-2022.docx")</f>
        <v/>
      </c>
      <c r="X107">
        <f>HYPERLINK("https://klasma.github.io/Logging_ARE/tillsyn/A 56368-2022.docx")</f>
        <v/>
      </c>
      <c r="Y107">
        <f>HYPERLINK("https://klasma.github.io/Logging_ARE/tillsynsmail/A 56368-2022.docx")</f>
        <v/>
      </c>
    </row>
    <row r="108" ht="15" customHeight="1">
      <c r="A108" t="inlineStr">
        <is>
          <t>A 24413-2023</t>
        </is>
      </c>
      <c r="B108" s="1" t="n">
        <v>45082</v>
      </c>
      <c r="C108" s="1" t="n">
        <v>45182</v>
      </c>
      <c r="D108" t="inlineStr">
        <is>
          <t>JÄMTLANDS LÄN</t>
        </is>
      </c>
      <c r="E108" t="inlineStr">
        <is>
          <t>KROKOM</t>
        </is>
      </c>
      <c r="G108" t="n">
        <v>9.300000000000001</v>
      </c>
      <c r="H108" t="n">
        <v>1</v>
      </c>
      <c r="I108" t="n">
        <v>10</v>
      </c>
      <c r="J108" t="n">
        <v>4</v>
      </c>
      <c r="K108" t="n">
        <v>0</v>
      </c>
      <c r="L108" t="n">
        <v>0</v>
      </c>
      <c r="M108" t="n">
        <v>0</v>
      </c>
      <c r="N108" t="n">
        <v>0</v>
      </c>
      <c r="O108" t="n">
        <v>4</v>
      </c>
      <c r="P108" t="n">
        <v>0</v>
      </c>
      <c r="Q108" t="n">
        <v>14</v>
      </c>
      <c r="R108" s="2" t="inlineStr">
        <is>
          <t>Granticka
Gränsticka
Lunglav
Skrovellav
Bårdlav
Gytterlav
Kransrams
Luddlav
Skinnlav
Spindelblomster
Stuplav
Trådticka
Vedticka
Ögonpyrola</t>
        </is>
      </c>
      <c r="S108">
        <f>HYPERLINK("https://klasma.github.io/Logging_KROKOM/artfynd/A 24413-2023.xlsx")</f>
        <v/>
      </c>
      <c r="T108">
        <f>HYPERLINK("https://klasma.github.io/Logging_KROKOM/kartor/A 24413-2023.png")</f>
        <v/>
      </c>
      <c r="V108">
        <f>HYPERLINK("https://klasma.github.io/Logging_KROKOM/klagomål/A 24413-2023.docx")</f>
        <v/>
      </c>
      <c r="W108">
        <f>HYPERLINK("https://klasma.github.io/Logging_KROKOM/klagomålsmail/A 24413-2023.docx")</f>
        <v/>
      </c>
      <c r="X108">
        <f>HYPERLINK("https://klasma.github.io/Logging_KROKOM/tillsyn/A 24413-2023.docx")</f>
        <v/>
      </c>
      <c r="Y108">
        <f>HYPERLINK("https://klasma.github.io/Logging_KROKOM/tillsynsmail/A 24413-2023.docx")</f>
        <v/>
      </c>
    </row>
    <row r="109" ht="15" customHeight="1">
      <c r="A109" t="inlineStr">
        <is>
          <t>A 29346-2023</t>
        </is>
      </c>
      <c r="B109" s="1" t="n">
        <v>45105</v>
      </c>
      <c r="C109" s="1" t="n">
        <v>45182</v>
      </c>
      <c r="D109" t="inlineStr">
        <is>
          <t>JÄMTLANDS LÄN</t>
        </is>
      </c>
      <c r="E109" t="inlineStr">
        <is>
          <t>KROKOM</t>
        </is>
      </c>
      <c r="G109" t="n">
        <v>17.3</v>
      </c>
      <c r="H109" t="n">
        <v>2</v>
      </c>
      <c r="I109" t="n">
        <v>5</v>
      </c>
      <c r="J109" t="n">
        <v>7</v>
      </c>
      <c r="K109" t="n">
        <v>0</v>
      </c>
      <c r="L109" t="n">
        <v>0</v>
      </c>
      <c r="M109" t="n">
        <v>0</v>
      </c>
      <c r="N109" t="n">
        <v>0</v>
      </c>
      <c r="O109" t="n">
        <v>7</v>
      </c>
      <c r="P109" t="n">
        <v>0</v>
      </c>
      <c r="Q109" t="n">
        <v>14</v>
      </c>
      <c r="R109" s="2" t="inlineStr">
        <is>
          <t>Doftskinn
Garnlav
Granticka
Luddfingersvamp
Skrovellav
Tallticka
Ullticka
Gytterlav
Kransrams
Rostfläck
Stuplav
Trådticka
Fläcknycklar
Revlummer</t>
        </is>
      </c>
      <c r="S109">
        <f>HYPERLINK("https://klasma.github.io/Logging_KROKOM/artfynd/A 29346-2023.xlsx")</f>
        <v/>
      </c>
      <c r="T109">
        <f>HYPERLINK("https://klasma.github.io/Logging_KROKOM/kartor/A 29346-2023.png")</f>
        <v/>
      </c>
      <c r="V109">
        <f>HYPERLINK("https://klasma.github.io/Logging_KROKOM/klagomål/A 29346-2023.docx")</f>
        <v/>
      </c>
      <c r="W109">
        <f>HYPERLINK("https://klasma.github.io/Logging_KROKOM/klagomålsmail/A 29346-2023.docx")</f>
        <v/>
      </c>
      <c r="X109">
        <f>HYPERLINK("https://klasma.github.io/Logging_KROKOM/tillsyn/A 29346-2023.docx")</f>
        <v/>
      </c>
      <c r="Y109">
        <f>HYPERLINK("https://klasma.github.io/Logging_KROKOM/tillsynsmail/A 29346-2023.docx")</f>
        <v/>
      </c>
    </row>
    <row r="110" ht="15" customHeight="1">
      <c r="A110" t="inlineStr">
        <is>
          <t>A 13008-2019</t>
        </is>
      </c>
      <c r="B110" s="1" t="n">
        <v>43525</v>
      </c>
      <c r="C110" s="1" t="n">
        <v>45182</v>
      </c>
      <c r="D110" t="inlineStr">
        <is>
          <t>JÄMTLANDS LÄN</t>
        </is>
      </c>
      <c r="E110" t="inlineStr">
        <is>
          <t>STRÖMSUND</t>
        </is>
      </c>
      <c r="G110" t="n">
        <v>102.6</v>
      </c>
      <c r="H110" t="n">
        <v>1</v>
      </c>
      <c r="I110" t="n">
        <v>2</v>
      </c>
      <c r="J110" t="n">
        <v>10</v>
      </c>
      <c r="K110" t="n">
        <v>1</v>
      </c>
      <c r="L110" t="n">
        <v>0</v>
      </c>
      <c r="M110" t="n">
        <v>0</v>
      </c>
      <c r="N110" t="n">
        <v>0</v>
      </c>
      <c r="O110" t="n">
        <v>11</v>
      </c>
      <c r="P110" t="n">
        <v>1</v>
      </c>
      <c r="Q110" t="n">
        <v>13</v>
      </c>
      <c r="R110" s="2" t="inlineStr">
        <is>
          <t>Gräddporing
Blågrå svartspik
Gammelgransskål
Garnlav
Granticka
Gränsticka
Harticka
Lunglav
Tretåig hackspett
Ullticka
Vedflikmossa
Stuplav
Vedticka</t>
        </is>
      </c>
      <c r="S110">
        <f>HYPERLINK("https://klasma.github.io/Logging_STROMSUND/artfynd/A 13008-2019.xlsx")</f>
        <v/>
      </c>
      <c r="T110">
        <f>HYPERLINK("https://klasma.github.io/Logging_STROMSUND/kartor/A 13008-2019.png")</f>
        <v/>
      </c>
      <c r="V110">
        <f>HYPERLINK("https://klasma.github.io/Logging_STROMSUND/klagomål/A 13008-2019.docx")</f>
        <v/>
      </c>
      <c r="W110">
        <f>HYPERLINK("https://klasma.github.io/Logging_STROMSUND/klagomålsmail/A 13008-2019.docx")</f>
        <v/>
      </c>
      <c r="X110">
        <f>HYPERLINK("https://klasma.github.io/Logging_STROMSUND/tillsyn/A 13008-2019.docx")</f>
        <v/>
      </c>
      <c r="Y110">
        <f>HYPERLINK("https://klasma.github.io/Logging_STROMSUND/tillsynsmail/A 13008-2019.docx")</f>
        <v/>
      </c>
    </row>
    <row r="111" ht="15" customHeight="1">
      <c r="A111" t="inlineStr">
        <is>
          <t>A 31839-2020</t>
        </is>
      </c>
      <c r="B111" s="1" t="n">
        <v>44014</v>
      </c>
      <c r="C111" s="1" t="n">
        <v>45182</v>
      </c>
      <c r="D111" t="inlineStr">
        <is>
          <t>JÄMTLANDS LÄN</t>
        </is>
      </c>
      <c r="E111" t="inlineStr">
        <is>
          <t>STRÖMSUND</t>
        </is>
      </c>
      <c r="F111" t="inlineStr">
        <is>
          <t>Holmen skog AB</t>
        </is>
      </c>
      <c r="G111" t="n">
        <v>14.4</v>
      </c>
      <c r="H111" t="n">
        <v>0</v>
      </c>
      <c r="I111" t="n">
        <v>3</v>
      </c>
      <c r="J111" t="n">
        <v>9</v>
      </c>
      <c r="K111" t="n">
        <v>0</v>
      </c>
      <c r="L111" t="n">
        <v>1</v>
      </c>
      <c r="M111" t="n">
        <v>0</v>
      </c>
      <c r="N111" t="n">
        <v>0</v>
      </c>
      <c r="O111" t="n">
        <v>10</v>
      </c>
      <c r="P111" t="n">
        <v>1</v>
      </c>
      <c r="Q111" t="n">
        <v>13</v>
      </c>
      <c r="R111" s="2" t="inlineStr">
        <is>
          <t>Skrovellavsknapp
Garnlav
Granticka
Kolflarnlav
Lunglav
Mörk kolflarnlav
Skrovellav
Vedflamlav
Vedskivlav
Vedtrappmossa
Dropptaggsvamp
Luddlav
Stuplav</t>
        </is>
      </c>
      <c r="S111">
        <f>HYPERLINK("https://klasma.github.io/Logging_STROMSUND/artfynd/A 31839-2020.xlsx")</f>
        <v/>
      </c>
      <c r="T111">
        <f>HYPERLINK("https://klasma.github.io/Logging_STROMSUND/kartor/A 31839-2020.png")</f>
        <v/>
      </c>
      <c r="V111">
        <f>HYPERLINK("https://klasma.github.io/Logging_STROMSUND/klagomål/A 31839-2020.docx")</f>
        <v/>
      </c>
      <c r="W111">
        <f>HYPERLINK("https://klasma.github.io/Logging_STROMSUND/klagomålsmail/A 31839-2020.docx")</f>
        <v/>
      </c>
      <c r="X111">
        <f>HYPERLINK("https://klasma.github.io/Logging_STROMSUND/tillsyn/A 31839-2020.docx")</f>
        <v/>
      </c>
      <c r="Y111">
        <f>HYPERLINK("https://klasma.github.io/Logging_STROMSUND/tillsynsmail/A 31839-2020.docx")</f>
        <v/>
      </c>
    </row>
    <row r="112" ht="15" customHeight="1">
      <c r="A112" t="inlineStr">
        <is>
          <t>A 35710-2020</t>
        </is>
      </c>
      <c r="B112" s="1" t="n">
        <v>44046</v>
      </c>
      <c r="C112" s="1" t="n">
        <v>45182</v>
      </c>
      <c r="D112" t="inlineStr">
        <is>
          <t>JÄMTLANDS LÄN</t>
        </is>
      </c>
      <c r="E112" t="inlineStr">
        <is>
          <t>STRÖMSUND</t>
        </is>
      </c>
      <c r="F112" t="inlineStr">
        <is>
          <t>Holmen skog AB</t>
        </is>
      </c>
      <c r="G112" t="n">
        <v>4.8</v>
      </c>
      <c r="H112" t="n">
        <v>1</v>
      </c>
      <c r="I112" t="n">
        <v>5</v>
      </c>
      <c r="J112" t="n">
        <v>7</v>
      </c>
      <c r="K112" t="n">
        <v>1</v>
      </c>
      <c r="L112" t="n">
        <v>0</v>
      </c>
      <c r="M112" t="n">
        <v>0</v>
      </c>
      <c r="N112" t="n">
        <v>0</v>
      </c>
      <c r="O112" t="n">
        <v>8</v>
      </c>
      <c r="P112" t="n">
        <v>1</v>
      </c>
      <c r="Q112" t="n">
        <v>13</v>
      </c>
      <c r="R112" s="2" t="inlineStr">
        <is>
          <t>Agathidium pallidum
Atomaria affinis
Koralltaggsvamp
Lunglav
Platt gångbagge
Scaphisoma subalpinum
Skrovellav
Tretåig hackspett
Bårdlav
Robust tickgnagare
Skinnlav
Stor aspticka
Stuplav</t>
        </is>
      </c>
      <c r="S112">
        <f>HYPERLINK("https://klasma.github.io/Logging_STROMSUND/artfynd/A 35710-2020.xlsx")</f>
        <v/>
      </c>
      <c r="T112">
        <f>HYPERLINK("https://klasma.github.io/Logging_STROMSUND/kartor/A 35710-2020.png")</f>
        <v/>
      </c>
      <c r="V112">
        <f>HYPERLINK("https://klasma.github.io/Logging_STROMSUND/klagomål/A 35710-2020.docx")</f>
        <v/>
      </c>
      <c r="W112">
        <f>HYPERLINK("https://klasma.github.io/Logging_STROMSUND/klagomålsmail/A 35710-2020.docx")</f>
        <v/>
      </c>
      <c r="X112">
        <f>HYPERLINK("https://klasma.github.io/Logging_STROMSUND/tillsyn/A 35710-2020.docx")</f>
        <v/>
      </c>
      <c r="Y112">
        <f>HYPERLINK("https://klasma.github.io/Logging_STROMSUND/tillsynsmail/A 35710-2020.docx")</f>
        <v/>
      </c>
    </row>
    <row r="113" ht="15" customHeight="1">
      <c r="A113" t="inlineStr">
        <is>
          <t>A 45248-2020</t>
        </is>
      </c>
      <c r="B113" s="1" t="n">
        <v>44088</v>
      </c>
      <c r="C113" s="1" t="n">
        <v>45182</v>
      </c>
      <c r="D113" t="inlineStr">
        <is>
          <t>JÄMTLANDS LÄN</t>
        </is>
      </c>
      <c r="E113" t="inlineStr">
        <is>
          <t>RAGUNDA</t>
        </is>
      </c>
      <c r="F113" t="inlineStr">
        <is>
          <t>SCA</t>
        </is>
      </c>
      <c r="G113" t="n">
        <v>51.7</v>
      </c>
      <c r="H113" t="n">
        <v>5</v>
      </c>
      <c r="I113" t="n">
        <v>5</v>
      </c>
      <c r="J113" t="n">
        <v>5</v>
      </c>
      <c r="K113" t="n">
        <v>1</v>
      </c>
      <c r="L113" t="n">
        <v>0</v>
      </c>
      <c r="M113" t="n">
        <v>0</v>
      </c>
      <c r="N113" t="n">
        <v>0</v>
      </c>
      <c r="O113" t="n">
        <v>6</v>
      </c>
      <c r="P113" t="n">
        <v>1</v>
      </c>
      <c r="Q113" t="n">
        <v>13</v>
      </c>
      <c r="R113" s="2" t="inlineStr">
        <is>
          <t>Knärot
Dvärgbägarlav
Kolflarnlav
Lunglav
Rosenticka
Ullticka
Dropptaggsvamp
Grönkulla
Svart trolldruva
Tvåblad
Vårärt
Nattviol
Blåsippa</t>
        </is>
      </c>
      <c r="S113">
        <f>HYPERLINK("https://klasma.github.io/Logging_RAGUNDA/artfynd/A 45248-2020.xlsx")</f>
        <v/>
      </c>
      <c r="T113">
        <f>HYPERLINK("https://klasma.github.io/Logging_RAGUNDA/kartor/A 45248-2020.png")</f>
        <v/>
      </c>
      <c r="U113">
        <f>HYPERLINK("https://klasma.github.io/Logging_RAGUNDA/knärot/A 45248-2020.png")</f>
        <v/>
      </c>
      <c r="V113">
        <f>HYPERLINK("https://klasma.github.io/Logging_RAGUNDA/klagomål/A 45248-2020.docx")</f>
        <v/>
      </c>
      <c r="W113">
        <f>HYPERLINK("https://klasma.github.io/Logging_RAGUNDA/klagomålsmail/A 45248-2020.docx")</f>
        <v/>
      </c>
      <c r="X113">
        <f>HYPERLINK("https://klasma.github.io/Logging_RAGUNDA/tillsyn/A 45248-2020.docx")</f>
        <v/>
      </c>
      <c r="Y113">
        <f>HYPERLINK("https://klasma.github.io/Logging_RAGUNDA/tillsynsmail/A 45248-2020.docx")</f>
        <v/>
      </c>
    </row>
    <row r="114" ht="15" customHeight="1">
      <c r="A114" t="inlineStr">
        <is>
          <t>A 60048-2020</t>
        </is>
      </c>
      <c r="B114" s="1" t="n">
        <v>44151</v>
      </c>
      <c r="C114" s="1" t="n">
        <v>45182</v>
      </c>
      <c r="D114" t="inlineStr">
        <is>
          <t>JÄMTLANDS LÄN</t>
        </is>
      </c>
      <c r="E114" t="inlineStr">
        <is>
          <t>RAGUNDA</t>
        </is>
      </c>
      <c r="G114" t="n">
        <v>3.6</v>
      </c>
      <c r="H114" t="n">
        <v>3</v>
      </c>
      <c r="I114" t="n">
        <v>5</v>
      </c>
      <c r="J114" t="n">
        <v>5</v>
      </c>
      <c r="K114" t="n">
        <v>0</v>
      </c>
      <c r="L114" t="n">
        <v>0</v>
      </c>
      <c r="M114" t="n">
        <v>0</v>
      </c>
      <c r="N114" t="n">
        <v>0</v>
      </c>
      <c r="O114" t="n">
        <v>5</v>
      </c>
      <c r="P114" t="n">
        <v>0</v>
      </c>
      <c r="Q114" t="n">
        <v>13</v>
      </c>
      <c r="R114" s="2" t="inlineStr">
        <is>
          <t>Blanksvart spiklav
Dvärgbägarlav
Kolflarnlav
Svart taggsvamp
Vitgrynig nållav
Bollvitmossa
Dropptaggsvamp
Rödgul trumpetsvamp
Stuplav
Svavelriska
Brudsporre
Fläcknycklar
Blåsippa</t>
        </is>
      </c>
      <c r="S114">
        <f>HYPERLINK("https://klasma.github.io/Logging_RAGUNDA/artfynd/A 60048-2020.xlsx")</f>
        <v/>
      </c>
      <c r="T114">
        <f>HYPERLINK("https://klasma.github.io/Logging_RAGUNDA/kartor/A 60048-2020.png")</f>
        <v/>
      </c>
      <c r="V114">
        <f>HYPERLINK("https://klasma.github.io/Logging_RAGUNDA/klagomål/A 60048-2020.docx")</f>
        <v/>
      </c>
      <c r="W114">
        <f>HYPERLINK("https://klasma.github.io/Logging_RAGUNDA/klagomålsmail/A 60048-2020.docx")</f>
        <v/>
      </c>
      <c r="X114">
        <f>HYPERLINK("https://klasma.github.io/Logging_RAGUNDA/tillsyn/A 60048-2020.docx")</f>
        <v/>
      </c>
      <c r="Y114">
        <f>HYPERLINK("https://klasma.github.io/Logging_RAGUNDA/tillsynsmail/A 60048-2020.docx")</f>
        <v/>
      </c>
    </row>
    <row r="115" ht="15" customHeight="1">
      <c r="A115" t="inlineStr">
        <is>
          <t>A 67953-2020</t>
        </is>
      </c>
      <c r="B115" s="1" t="n">
        <v>44182</v>
      </c>
      <c r="C115" s="1" t="n">
        <v>45182</v>
      </c>
      <c r="D115" t="inlineStr">
        <is>
          <t>JÄMTLANDS LÄN</t>
        </is>
      </c>
      <c r="E115" t="inlineStr">
        <is>
          <t>HÄRJEDALEN</t>
        </is>
      </c>
      <c r="G115" t="n">
        <v>119.2</v>
      </c>
      <c r="H115" t="n">
        <v>1</v>
      </c>
      <c r="I115" t="n">
        <v>3</v>
      </c>
      <c r="J115" t="n">
        <v>10</v>
      </c>
      <c r="K115" t="n">
        <v>0</v>
      </c>
      <c r="L115" t="n">
        <v>0</v>
      </c>
      <c r="M115" t="n">
        <v>0</v>
      </c>
      <c r="N115" t="n">
        <v>0</v>
      </c>
      <c r="O115" t="n">
        <v>10</v>
      </c>
      <c r="P115" t="n">
        <v>0</v>
      </c>
      <c r="Q115" t="n">
        <v>13</v>
      </c>
      <c r="R115" s="2" t="inlineStr">
        <is>
          <t>Gammelgransskål
Garnlav
Granticka
Gränsticka
Knottrig blåslav
Kolflarnlav
Rosenticka
Vedflamlav
Vedskivlav
Vitgrynig nållav
Plattlummer
Vedticka
Ögonpyrola</t>
        </is>
      </c>
      <c r="S115">
        <f>HYPERLINK("https://klasma.github.io/Logging_HARJEDALEN/artfynd/A 67953-2020.xlsx")</f>
        <v/>
      </c>
      <c r="T115">
        <f>HYPERLINK("https://klasma.github.io/Logging_HARJEDALEN/kartor/A 67953-2020.png")</f>
        <v/>
      </c>
      <c r="V115">
        <f>HYPERLINK("https://klasma.github.io/Logging_HARJEDALEN/klagomål/A 67953-2020.docx")</f>
        <v/>
      </c>
      <c r="W115">
        <f>HYPERLINK("https://klasma.github.io/Logging_HARJEDALEN/klagomålsmail/A 67953-2020.docx")</f>
        <v/>
      </c>
      <c r="X115">
        <f>HYPERLINK("https://klasma.github.io/Logging_HARJEDALEN/tillsyn/A 67953-2020.docx")</f>
        <v/>
      </c>
      <c r="Y115">
        <f>HYPERLINK("https://klasma.github.io/Logging_HARJEDALEN/tillsynsmail/A 67953-2020.docx")</f>
        <v/>
      </c>
    </row>
    <row r="116" ht="15" customHeight="1">
      <c r="A116" t="inlineStr">
        <is>
          <t>A 10261-2021</t>
        </is>
      </c>
      <c r="B116" s="1" t="n">
        <v>44256</v>
      </c>
      <c r="C116" s="1" t="n">
        <v>45182</v>
      </c>
      <c r="D116" t="inlineStr">
        <is>
          <t>JÄMTLANDS LÄN</t>
        </is>
      </c>
      <c r="E116" t="inlineStr">
        <is>
          <t>HÄRJEDALEN</t>
        </is>
      </c>
      <c r="G116" t="n">
        <v>39.9</v>
      </c>
      <c r="H116" t="n">
        <v>2</v>
      </c>
      <c r="I116" t="n">
        <v>0</v>
      </c>
      <c r="J116" t="n">
        <v>12</v>
      </c>
      <c r="K116" t="n">
        <v>1</v>
      </c>
      <c r="L116" t="n">
        <v>0</v>
      </c>
      <c r="M116" t="n">
        <v>0</v>
      </c>
      <c r="N116" t="n">
        <v>0</v>
      </c>
      <c r="O116" t="n">
        <v>13</v>
      </c>
      <c r="P116" t="n">
        <v>1</v>
      </c>
      <c r="Q116" t="n">
        <v>13</v>
      </c>
      <c r="R116" s="2" t="inlineStr">
        <is>
          <t>Rynkskinn
Blanksvart spiklav
Blågrå svartspik
Granticka
Kolflarnlav
Rosenticka
Talltita
Tretåig hackspett
Ullticka
Vaddporing
Vedflamlav
Vedskivlav
Vitgrynig nållav</t>
        </is>
      </c>
      <c r="S116">
        <f>HYPERLINK("https://klasma.github.io/Logging_HARJEDALEN/artfynd/A 10261-2021.xlsx")</f>
        <v/>
      </c>
      <c r="T116">
        <f>HYPERLINK("https://klasma.github.io/Logging_HARJEDALEN/kartor/A 10261-2021.png")</f>
        <v/>
      </c>
      <c r="V116">
        <f>HYPERLINK("https://klasma.github.io/Logging_HARJEDALEN/klagomål/A 10261-2021.docx")</f>
        <v/>
      </c>
      <c r="W116">
        <f>HYPERLINK("https://klasma.github.io/Logging_HARJEDALEN/klagomålsmail/A 10261-2021.docx")</f>
        <v/>
      </c>
      <c r="X116">
        <f>HYPERLINK("https://klasma.github.io/Logging_HARJEDALEN/tillsyn/A 10261-2021.docx")</f>
        <v/>
      </c>
      <c r="Y116">
        <f>HYPERLINK("https://klasma.github.io/Logging_HARJEDALEN/tillsynsmail/A 10261-2021.docx")</f>
        <v/>
      </c>
    </row>
    <row r="117" ht="15" customHeight="1">
      <c r="A117" t="inlineStr">
        <is>
          <t>A 23037-2021</t>
        </is>
      </c>
      <c r="B117" s="1" t="n">
        <v>44328</v>
      </c>
      <c r="C117" s="1" t="n">
        <v>45182</v>
      </c>
      <c r="D117" t="inlineStr">
        <is>
          <t>JÄMTLANDS LÄN</t>
        </is>
      </c>
      <c r="E117" t="inlineStr">
        <is>
          <t>BRÄCKE</t>
        </is>
      </c>
      <c r="F117" t="inlineStr">
        <is>
          <t>SCA</t>
        </is>
      </c>
      <c r="G117" t="n">
        <v>7.1</v>
      </c>
      <c r="H117" t="n">
        <v>2</v>
      </c>
      <c r="I117" t="n">
        <v>1</v>
      </c>
      <c r="J117" t="n">
        <v>7</v>
      </c>
      <c r="K117" t="n">
        <v>4</v>
      </c>
      <c r="L117" t="n">
        <v>0</v>
      </c>
      <c r="M117" t="n">
        <v>0</v>
      </c>
      <c r="N117" t="n">
        <v>0</v>
      </c>
      <c r="O117" t="n">
        <v>11</v>
      </c>
      <c r="P117" t="n">
        <v>4</v>
      </c>
      <c r="Q117" t="n">
        <v>13</v>
      </c>
      <c r="R117" s="2" t="inlineStr">
        <is>
          <t>Fläckporing
Gräddporing
Knärot
Rynkskinn
Dvärgbägarlav
Kolflarnlav
Mörk kolflarnlav
Nordtagging
Ullticka
Vedflamlav
Vedskivlav
Vedticka
Revlummer</t>
        </is>
      </c>
      <c r="S117">
        <f>HYPERLINK("https://klasma.github.io/Logging_BRACKE/artfynd/A 23037-2021.xlsx")</f>
        <v/>
      </c>
      <c r="T117">
        <f>HYPERLINK("https://klasma.github.io/Logging_BRACKE/kartor/A 23037-2021.png")</f>
        <v/>
      </c>
      <c r="U117">
        <f>HYPERLINK("https://klasma.github.io/Logging_BRACKE/knärot/A 23037-2021.png")</f>
        <v/>
      </c>
      <c r="V117">
        <f>HYPERLINK("https://klasma.github.io/Logging_BRACKE/klagomål/A 23037-2021.docx")</f>
        <v/>
      </c>
      <c r="W117">
        <f>HYPERLINK("https://klasma.github.io/Logging_BRACKE/klagomålsmail/A 23037-2021.docx")</f>
        <v/>
      </c>
      <c r="X117">
        <f>HYPERLINK("https://klasma.github.io/Logging_BRACKE/tillsyn/A 23037-2021.docx")</f>
        <v/>
      </c>
      <c r="Y117">
        <f>HYPERLINK("https://klasma.github.io/Logging_BRACKE/tillsynsmail/A 23037-2021.docx")</f>
        <v/>
      </c>
    </row>
    <row r="118" ht="15" customHeight="1">
      <c r="A118" t="inlineStr">
        <is>
          <t>A 13306-2022</t>
        </is>
      </c>
      <c r="B118" s="1" t="n">
        <v>44644</v>
      </c>
      <c r="C118" s="1" t="n">
        <v>45182</v>
      </c>
      <c r="D118" t="inlineStr">
        <is>
          <t>JÄMTLANDS LÄN</t>
        </is>
      </c>
      <c r="E118" t="inlineStr">
        <is>
          <t>RAGUNDA</t>
        </is>
      </c>
      <c r="F118" t="inlineStr">
        <is>
          <t>SCA</t>
        </is>
      </c>
      <c r="G118" t="n">
        <v>3.1</v>
      </c>
      <c r="H118" t="n">
        <v>0</v>
      </c>
      <c r="I118" t="n">
        <v>5</v>
      </c>
      <c r="J118" t="n">
        <v>6</v>
      </c>
      <c r="K118" t="n">
        <v>2</v>
      </c>
      <c r="L118" t="n">
        <v>0</v>
      </c>
      <c r="M118" t="n">
        <v>0</v>
      </c>
      <c r="N118" t="n">
        <v>0</v>
      </c>
      <c r="O118" t="n">
        <v>8</v>
      </c>
      <c r="P118" t="n">
        <v>2</v>
      </c>
      <c r="Q118" t="n">
        <v>13</v>
      </c>
      <c r="R118" s="2" t="inlineStr">
        <is>
          <t>Liten aspgelélav
Läderlappslav
Lunglav
Rosenticka
Skrovellav
Stiftgelélav
Ullticka
Vedtrappmossa
Nordlig fjädermossa
Skinnlav
Skuggblåslav
Stor aspticka
Stuplav</t>
        </is>
      </c>
      <c r="S118">
        <f>HYPERLINK("https://klasma.github.io/Logging_RAGUNDA/artfynd/A 13306-2022.xlsx")</f>
        <v/>
      </c>
      <c r="T118">
        <f>HYPERLINK("https://klasma.github.io/Logging_RAGUNDA/kartor/A 13306-2022.png")</f>
        <v/>
      </c>
      <c r="V118">
        <f>HYPERLINK("https://klasma.github.io/Logging_RAGUNDA/klagomål/A 13306-2022.docx")</f>
        <v/>
      </c>
      <c r="W118">
        <f>HYPERLINK("https://klasma.github.io/Logging_RAGUNDA/klagomålsmail/A 13306-2022.docx")</f>
        <v/>
      </c>
      <c r="X118">
        <f>HYPERLINK("https://klasma.github.io/Logging_RAGUNDA/tillsyn/A 13306-2022.docx")</f>
        <v/>
      </c>
      <c r="Y118">
        <f>HYPERLINK("https://klasma.github.io/Logging_RAGUNDA/tillsynsmail/A 13306-2022.docx")</f>
        <v/>
      </c>
    </row>
    <row r="119" ht="15" customHeight="1">
      <c r="A119" t="inlineStr">
        <is>
          <t>A 28811-2022</t>
        </is>
      </c>
      <c r="B119" s="1" t="n">
        <v>44748</v>
      </c>
      <c r="C119" s="1" t="n">
        <v>45182</v>
      </c>
      <c r="D119" t="inlineStr">
        <is>
          <t>JÄMTLANDS LÄN</t>
        </is>
      </c>
      <c r="E119" t="inlineStr">
        <is>
          <t>HÄRJEDALEN</t>
        </is>
      </c>
      <c r="F119" t="inlineStr">
        <is>
          <t>Bergvik skog väst AB</t>
        </is>
      </c>
      <c r="G119" t="n">
        <v>22.7</v>
      </c>
      <c r="H119" t="n">
        <v>3</v>
      </c>
      <c r="I119" t="n">
        <v>1</v>
      </c>
      <c r="J119" t="n">
        <v>9</v>
      </c>
      <c r="K119" t="n">
        <v>0</v>
      </c>
      <c r="L119" t="n">
        <v>1</v>
      </c>
      <c r="M119" t="n">
        <v>0</v>
      </c>
      <c r="N119" t="n">
        <v>0</v>
      </c>
      <c r="O119" t="n">
        <v>10</v>
      </c>
      <c r="P119" t="n">
        <v>1</v>
      </c>
      <c r="Q119" t="n">
        <v>13</v>
      </c>
      <c r="R119" s="2" t="inlineStr">
        <is>
          <t>Urskogsporing
Blanksvart spiklav
Blågrå svartspik
Dvärgbägarlav
Kolflarnlav
Lunglav
Mörk kolflarnlav
Talltita
Vedflamlav
Vedskivlav
Luddlav
Vanlig groda
Fläcknycklar</t>
        </is>
      </c>
      <c r="S119">
        <f>HYPERLINK("https://klasma.github.io/Logging_HARJEDALEN/artfynd/A 28811-2022.xlsx")</f>
        <v/>
      </c>
      <c r="T119">
        <f>HYPERLINK("https://klasma.github.io/Logging_HARJEDALEN/kartor/A 28811-2022.png")</f>
        <v/>
      </c>
      <c r="V119">
        <f>HYPERLINK("https://klasma.github.io/Logging_HARJEDALEN/klagomål/A 28811-2022.docx")</f>
        <v/>
      </c>
      <c r="W119">
        <f>HYPERLINK("https://klasma.github.io/Logging_HARJEDALEN/klagomålsmail/A 28811-2022.docx")</f>
        <v/>
      </c>
      <c r="X119">
        <f>HYPERLINK("https://klasma.github.io/Logging_HARJEDALEN/tillsyn/A 28811-2022.docx")</f>
        <v/>
      </c>
      <c r="Y119">
        <f>HYPERLINK("https://klasma.github.io/Logging_HARJEDALEN/tillsynsmail/A 28811-2022.docx")</f>
        <v/>
      </c>
    </row>
    <row r="120" ht="15" customHeight="1">
      <c r="A120" t="inlineStr">
        <is>
          <t>A 43994-2022</t>
        </is>
      </c>
      <c r="B120" s="1" t="n">
        <v>44838</v>
      </c>
      <c r="C120" s="1" t="n">
        <v>45182</v>
      </c>
      <c r="D120" t="inlineStr">
        <is>
          <t>JÄMTLANDS LÄN</t>
        </is>
      </c>
      <c r="E120" t="inlineStr">
        <is>
          <t>RAGUNDA</t>
        </is>
      </c>
      <c r="G120" t="n">
        <v>8.800000000000001</v>
      </c>
      <c r="H120" t="n">
        <v>2</v>
      </c>
      <c r="I120" t="n">
        <v>6</v>
      </c>
      <c r="J120" t="n">
        <v>4</v>
      </c>
      <c r="K120" t="n">
        <v>2</v>
      </c>
      <c r="L120" t="n">
        <v>0</v>
      </c>
      <c r="M120" t="n">
        <v>0</v>
      </c>
      <c r="N120" t="n">
        <v>0</v>
      </c>
      <c r="O120" t="n">
        <v>6</v>
      </c>
      <c r="P120" t="n">
        <v>2</v>
      </c>
      <c r="Q120" t="n">
        <v>13</v>
      </c>
      <c r="R120" s="2" t="inlineStr">
        <is>
          <t>Doftticka
Rynkskinn
Doftskinn
Lunglav
Rosenticka
Vitgrynig nållav
Bårdlav
Diskvaxskivling
Korallblylav
Kransrams
Luddlav
Mörk husmossa
Blåsippa</t>
        </is>
      </c>
      <c r="S120">
        <f>HYPERLINK("https://klasma.github.io/Logging_RAGUNDA/artfynd/A 43994-2022.xlsx")</f>
        <v/>
      </c>
      <c r="T120">
        <f>HYPERLINK("https://klasma.github.io/Logging_RAGUNDA/kartor/A 43994-2022.png")</f>
        <v/>
      </c>
      <c r="V120">
        <f>HYPERLINK("https://klasma.github.io/Logging_RAGUNDA/klagomål/A 43994-2022.docx")</f>
        <v/>
      </c>
      <c r="W120">
        <f>HYPERLINK("https://klasma.github.io/Logging_RAGUNDA/klagomålsmail/A 43994-2022.docx")</f>
        <v/>
      </c>
      <c r="X120">
        <f>HYPERLINK("https://klasma.github.io/Logging_RAGUNDA/tillsyn/A 43994-2022.docx")</f>
        <v/>
      </c>
      <c r="Y120">
        <f>HYPERLINK("https://klasma.github.io/Logging_RAGUNDA/tillsynsmail/A 43994-2022.docx")</f>
        <v/>
      </c>
    </row>
    <row r="121" ht="15" customHeight="1">
      <c r="A121" t="inlineStr">
        <is>
          <t>A 47367-2022</t>
        </is>
      </c>
      <c r="B121" s="1" t="n">
        <v>44851</v>
      </c>
      <c r="C121" s="1" t="n">
        <v>45182</v>
      </c>
      <c r="D121" t="inlineStr">
        <is>
          <t>JÄMTLANDS LÄN</t>
        </is>
      </c>
      <c r="E121" t="inlineStr">
        <is>
          <t>ÖSTERSUND</t>
        </is>
      </c>
      <c r="G121" t="n">
        <v>10.6</v>
      </c>
      <c r="H121" t="n">
        <v>6</v>
      </c>
      <c r="I121" t="n">
        <v>7</v>
      </c>
      <c r="J121" t="n">
        <v>5</v>
      </c>
      <c r="K121" t="n">
        <v>1</v>
      </c>
      <c r="L121" t="n">
        <v>0</v>
      </c>
      <c r="M121" t="n">
        <v>0</v>
      </c>
      <c r="N121" t="n">
        <v>0</v>
      </c>
      <c r="O121" t="n">
        <v>6</v>
      </c>
      <c r="P121" t="n">
        <v>1</v>
      </c>
      <c r="Q121" t="n">
        <v>13</v>
      </c>
      <c r="R121" s="2" t="inlineStr">
        <is>
          <t>Knärot
Garnlav
Granticka
Lunglav
Talltita
Vitgrynig nållav
Blodticka
Fjällig taggsvamp s.str.
Guckusko
Korallrot
Spindelblomster
Svavelriska
Tvåblad</t>
        </is>
      </c>
      <c r="S121">
        <f>HYPERLINK("https://klasma.github.io/Logging_OSTERSUND/artfynd/A 47367-2022.xlsx")</f>
        <v/>
      </c>
      <c r="T121">
        <f>HYPERLINK("https://klasma.github.io/Logging_OSTERSUND/kartor/A 47367-2022.png")</f>
        <v/>
      </c>
      <c r="U121">
        <f>HYPERLINK("https://klasma.github.io/Logging_OSTERSUND/knärot/A 47367-2022.png")</f>
        <v/>
      </c>
      <c r="V121">
        <f>HYPERLINK("https://klasma.github.io/Logging_OSTERSUND/klagomål/A 47367-2022.docx")</f>
        <v/>
      </c>
      <c r="W121">
        <f>HYPERLINK("https://klasma.github.io/Logging_OSTERSUND/klagomålsmail/A 47367-2022.docx")</f>
        <v/>
      </c>
      <c r="X121">
        <f>HYPERLINK("https://klasma.github.io/Logging_OSTERSUND/tillsyn/A 47367-2022.docx")</f>
        <v/>
      </c>
      <c r="Y121">
        <f>HYPERLINK("https://klasma.github.io/Logging_OSTERSUND/tillsynsmail/A 47367-2022.docx")</f>
        <v/>
      </c>
    </row>
    <row r="122" ht="15" customHeight="1">
      <c r="A122" t="inlineStr">
        <is>
          <t>A 2979-2023</t>
        </is>
      </c>
      <c r="B122" s="1" t="n">
        <v>44945</v>
      </c>
      <c r="C122" s="1" t="n">
        <v>45182</v>
      </c>
      <c r="D122" t="inlineStr">
        <is>
          <t>JÄMTLANDS LÄN</t>
        </is>
      </c>
      <c r="E122" t="inlineStr">
        <is>
          <t>ÖSTERSUND</t>
        </is>
      </c>
      <c r="G122" t="n">
        <v>11.5</v>
      </c>
      <c r="H122" t="n">
        <v>8</v>
      </c>
      <c r="I122" t="n">
        <v>3</v>
      </c>
      <c r="J122" t="n">
        <v>7</v>
      </c>
      <c r="K122" t="n">
        <v>1</v>
      </c>
      <c r="L122" t="n">
        <v>0</v>
      </c>
      <c r="M122" t="n">
        <v>0</v>
      </c>
      <c r="N122" t="n">
        <v>0</v>
      </c>
      <c r="O122" t="n">
        <v>8</v>
      </c>
      <c r="P122" t="n">
        <v>1</v>
      </c>
      <c r="Q122" t="n">
        <v>13</v>
      </c>
      <c r="R122" s="2" t="inlineStr">
        <is>
          <t>Knärot
Garnlav
Granticka
Lunglav
Skogsfru
Spillkråka
Talltita
Tretåig hackspett
Luddlav
Spindelblomster
Stuplav
Mattlummer
Revlummer</t>
        </is>
      </c>
      <c r="S122">
        <f>HYPERLINK("https://klasma.github.io/Logging_OSTERSUND/artfynd/A 2979-2023.xlsx")</f>
        <v/>
      </c>
      <c r="T122">
        <f>HYPERLINK("https://klasma.github.io/Logging_OSTERSUND/kartor/A 2979-2023.png")</f>
        <v/>
      </c>
      <c r="U122">
        <f>HYPERLINK("https://klasma.github.io/Logging_OSTERSUND/knärot/A 2979-2023.png")</f>
        <v/>
      </c>
      <c r="V122">
        <f>HYPERLINK("https://klasma.github.io/Logging_OSTERSUND/klagomål/A 2979-2023.docx")</f>
        <v/>
      </c>
      <c r="W122">
        <f>HYPERLINK("https://klasma.github.io/Logging_OSTERSUND/klagomålsmail/A 2979-2023.docx")</f>
        <v/>
      </c>
      <c r="X122">
        <f>HYPERLINK("https://klasma.github.io/Logging_OSTERSUND/tillsyn/A 2979-2023.docx")</f>
        <v/>
      </c>
      <c r="Y122">
        <f>HYPERLINK("https://klasma.github.io/Logging_OSTERSUND/tillsynsmail/A 2979-2023.docx")</f>
        <v/>
      </c>
    </row>
    <row r="123" ht="15" customHeight="1">
      <c r="A123" t="inlineStr">
        <is>
          <t>A 45276-2019</t>
        </is>
      </c>
      <c r="B123" s="1" t="n">
        <v>43713</v>
      </c>
      <c r="C123" s="1" t="n">
        <v>45182</v>
      </c>
      <c r="D123" t="inlineStr">
        <is>
          <t>JÄMTLANDS LÄN</t>
        </is>
      </c>
      <c r="E123" t="inlineStr">
        <is>
          <t>STRÖMSUND</t>
        </is>
      </c>
      <c r="F123" t="inlineStr">
        <is>
          <t>SCA</t>
        </is>
      </c>
      <c r="G123" t="n">
        <v>8.6</v>
      </c>
      <c r="H123" t="n">
        <v>4</v>
      </c>
      <c r="I123" t="n">
        <v>6</v>
      </c>
      <c r="J123" t="n">
        <v>5</v>
      </c>
      <c r="K123" t="n">
        <v>0</v>
      </c>
      <c r="L123" t="n">
        <v>0</v>
      </c>
      <c r="M123" t="n">
        <v>0</v>
      </c>
      <c r="N123" t="n">
        <v>0</v>
      </c>
      <c r="O123" t="n">
        <v>5</v>
      </c>
      <c r="P123" t="n">
        <v>0</v>
      </c>
      <c r="Q123" t="n">
        <v>12</v>
      </c>
      <c r="R123" s="2" t="inlineStr">
        <is>
          <t>Garnlav
Granticka
Skrovellav
Tretåig hackspett
Vitgrynig nållav
Bårdlav
Gytterlav
Luddlav
Plattlummer
Spindelblomster
Stuplav
Fläcknycklar</t>
        </is>
      </c>
      <c r="S123">
        <f>HYPERLINK("https://klasma.github.io/Logging_STROMSUND/artfynd/A 45276-2019.xlsx")</f>
        <v/>
      </c>
      <c r="T123">
        <f>HYPERLINK("https://klasma.github.io/Logging_STROMSUND/kartor/A 45276-2019.png")</f>
        <v/>
      </c>
      <c r="V123">
        <f>HYPERLINK("https://klasma.github.io/Logging_STROMSUND/klagomål/A 45276-2019.docx")</f>
        <v/>
      </c>
      <c r="W123">
        <f>HYPERLINK("https://klasma.github.io/Logging_STROMSUND/klagomålsmail/A 45276-2019.docx")</f>
        <v/>
      </c>
      <c r="X123">
        <f>HYPERLINK("https://klasma.github.io/Logging_STROMSUND/tillsyn/A 45276-2019.docx")</f>
        <v/>
      </c>
      <c r="Y123">
        <f>HYPERLINK("https://klasma.github.io/Logging_STROMSUND/tillsynsmail/A 45276-2019.docx")</f>
        <v/>
      </c>
    </row>
    <row r="124" ht="15" customHeight="1">
      <c r="A124" t="inlineStr">
        <is>
          <t>A 59097-2019</t>
        </is>
      </c>
      <c r="B124" s="1" t="n">
        <v>43774</v>
      </c>
      <c r="C124" s="1" t="n">
        <v>45182</v>
      </c>
      <c r="D124" t="inlineStr">
        <is>
          <t>JÄMTLANDS LÄN</t>
        </is>
      </c>
      <c r="E124" t="inlineStr">
        <is>
          <t>STRÖMSUND</t>
        </is>
      </c>
      <c r="F124" t="inlineStr">
        <is>
          <t>SCA</t>
        </is>
      </c>
      <c r="G124" t="n">
        <v>8.699999999999999</v>
      </c>
      <c r="H124" t="n">
        <v>4</v>
      </c>
      <c r="I124" t="n">
        <v>6</v>
      </c>
      <c r="J124" t="n">
        <v>5</v>
      </c>
      <c r="K124" t="n">
        <v>0</v>
      </c>
      <c r="L124" t="n">
        <v>0</v>
      </c>
      <c r="M124" t="n">
        <v>0</v>
      </c>
      <c r="N124" t="n">
        <v>0</v>
      </c>
      <c r="O124" t="n">
        <v>5</v>
      </c>
      <c r="P124" t="n">
        <v>0</v>
      </c>
      <c r="Q124" t="n">
        <v>12</v>
      </c>
      <c r="R124" s="2" t="inlineStr">
        <is>
          <t>Garnlav
Granticka
Skrovellav
Tretåig hackspett
Vitgrynig nållav
Bårdlav
Gytterlav
Luddlav
Plattlummer
Spindelblomster
Stuplav
Fläcknycklar</t>
        </is>
      </c>
      <c r="S124">
        <f>HYPERLINK("https://klasma.github.io/Logging_STROMSUND/artfynd/A 59097-2019.xlsx")</f>
        <v/>
      </c>
      <c r="T124">
        <f>HYPERLINK("https://klasma.github.io/Logging_STROMSUND/kartor/A 59097-2019.png")</f>
        <v/>
      </c>
      <c r="V124">
        <f>HYPERLINK("https://klasma.github.io/Logging_STROMSUND/klagomål/A 59097-2019.docx")</f>
        <v/>
      </c>
      <c r="W124">
        <f>HYPERLINK("https://klasma.github.io/Logging_STROMSUND/klagomålsmail/A 59097-2019.docx")</f>
        <v/>
      </c>
      <c r="X124">
        <f>HYPERLINK("https://klasma.github.io/Logging_STROMSUND/tillsyn/A 59097-2019.docx")</f>
        <v/>
      </c>
      <c r="Y124">
        <f>HYPERLINK("https://klasma.github.io/Logging_STROMSUND/tillsynsmail/A 59097-2019.docx")</f>
        <v/>
      </c>
    </row>
    <row r="125" ht="15" customHeight="1">
      <c r="A125" t="inlineStr">
        <is>
          <t>A 13072-2020</t>
        </is>
      </c>
      <c r="B125" s="1" t="n">
        <v>43900</v>
      </c>
      <c r="C125" s="1" t="n">
        <v>45182</v>
      </c>
      <c r="D125" t="inlineStr">
        <is>
          <t>JÄMTLANDS LÄN</t>
        </is>
      </c>
      <c r="E125" t="inlineStr">
        <is>
          <t>RAGUNDA</t>
        </is>
      </c>
      <c r="F125" t="inlineStr">
        <is>
          <t>SCA</t>
        </is>
      </c>
      <c r="G125" t="n">
        <v>8.9</v>
      </c>
      <c r="H125" t="n">
        <v>3</v>
      </c>
      <c r="I125" t="n">
        <v>2</v>
      </c>
      <c r="J125" t="n">
        <v>8</v>
      </c>
      <c r="K125" t="n">
        <v>1</v>
      </c>
      <c r="L125" t="n">
        <v>0</v>
      </c>
      <c r="M125" t="n">
        <v>0</v>
      </c>
      <c r="N125" t="n">
        <v>0</v>
      </c>
      <c r="O125" t="n">
        <v>9</v>
      </c>
      <c r="P125" t="n">
        <v>1</v>
      </c>
      <c r="Q125" t="n">
        <v>12</v>
      </c>
      <c r="R125" s="2" t="inlineStr">
        <is>
          <t>Rynkskinn
Garnlav
Granticka
Lunglav
Rosenticka
Skrovellav
Spillkråka
Tretåig hackspett
Ullticka
Bårdlav
Mörk husmossa
Mattlummer</t>
        </is>
      </c>
      <c r="S125">
        <f>HYPERLINK("https://klasma.github.io/Logging_RAGUNDA/artfynd/A 13072-2020.xlsx")</f>
        <v/>
      </c>
      <c r="T125">
        <f>HYPERLINK("https://klasma.github.io/Logging_RAGUNDA/kartor/A 13072-2020.png")</f>
        <v/>
      </c>
      <c r="V125">
        <f>HYPERLINK("https://klasma.github.io/Logging_RAGUNDA/klagomål/A 13072-2020.docx")</f>
        <v/>
      </c>
      <c r="W125">
        <f>HYPERLINK("https://klasma.github.io/Logging_RAGUNDA/klagomålsmail/A 13072-2020.docx")</f>
        <v/>
      </c>
      <c r="X125">
        <f>HYPERLINK("https://klasma.github.io/Logging_RAGUNDA/tillsyn/A 13072-2020.docx")</f>
        <v/>
      </c>
      <c r="Y125">
        <f>HYPERLINK("https://klasma.github.io/Logging_RAGUNDA/tillsynsmail/A 13072-2020.docx")</f>
        <v/>
      </c>
    </row>
    <row r="126" ht="15" customHeight="1">
      <c r="A126" t="inlineStr">
        <is>
          <t>A 36972-2020</t>
        </is>
      </c>
      <c r="B126" s="1" t="n">
        <v>44053</v>
      </c>
      <c r="C126" s="1" t="n">
        <v>45182</v>
      </c>
      <c r="D126" t="inlineStr">
        <is>
          <t>JÄMTLANDS LÄN</t>
        </is>
      </c>
      <c r="E126" t="inlineStr">
        <is>
          <t>HÄRJEDALEN</t>
        </is>
      </c>
      <c r="F126" t="inlineStr">
        <is>
          <t>SCA</t>
        </is>
      </c>
      <c r="G126" t="n">
        <v>8.699999999999999</v>
      </c>
      <c r="H126" t="n">
        <v>0</v>
      </c>
      <c r="I126" t="n">
        <v>2</v>
      </c>
      <c r="J126" t="n">
        <v>10</v>
      </c>
      <c r="K126" t="n">
        <v>0</v>
      </c>
      <c r="L126" t="n">
        <v>0</v>
      </c>
      <c r="M126" t="n">
        <v>0</v>
      </c>
      <c r="N126" t="n">
        <v>0</v>
      </c>
      <c r="O126" t="n">
        <v>10</v>
      </c>
      <c r="P126" t="n">
        <v>0</v>
      </c>
      <c r="Q126" t="n">
        <v>12</v>
      </c>
      <c r="R126" s="2" t="inlineStr">
        <is>
          <t>Blå taggsvamp
Garnlav
Kolflarnlav
Lunglav
Mörk kolflarnlav
Ullticka
Vaddporing
Vedflamlav
Vedskivlav
Vedtrappmossa
Bronshjon
Stuplav</t>
        </is>
      </c>
      <c r="S126">
        <f>HYPERLINK("https://klasma.github.io/Logging_HARJEDALEN/artfynd/A 36972-2020.xlsx")</f>
        <v/>
      </c>
      <c r="T126">
        <f>HYPERLINK("https://klasma.github.io/Logging_HARJEDALEN/kartor/A 36972-2020.png")</f>
        <v/>
      </c>
      <c r="V126">
        <f>HYPERLINK("https://klasma.github.io/Logging_HARJEDALEN/klagomål/A 36972-2020.docx")</f>
        <v/>
      </c>
      <c r="W126">
        <f>HYPERLINK("https://klasma.github.io/Logging_HARJEDALEN/klagomålsmail/A 36972-2020.docx")</f>
        <v/>
      </c>
      <c r="X126">
        <f>HYPERLINK("https://klasma.github.io/Logging_HARJEDALEN/tillsyn/A 36972-2020.docx")</f>
        <v/>
      </c>
      <c r="Y126">
        <f>HYPERLINK("https://klasma.github.io/Logging_HARJEDALEN/tillsynsmail/A 36972-2020.docx")</f>
        <v/>
      </c>
    </row>
    <row r="127" ht="15" customHeight="1">
      <c r="A127" t="inlineStr">
        <is>
          <t>A 39062-2020</t>
        </is>
      </c>
      <c r="B127" s="1" t="n">
        <v>44062</v>
      </c>
      <c r="C127" s="1" t="n">
        <v>45182</v>
      </c>
      <c r="D127" t="inlineStr">
        <is>
          <t>JÄMTLANDS LÄN</t>
        </is>
      </c>
      <c r="E127" t="inlineStr">
        <is>
          <t>RAGUNDA</t>
        </is>
      </c>
      <c r="F127" t="inlineStr">
        <is>
          <t>SCA</t>
        </is>
      </c>
      <c r="G127" t="n">
        <v>8.9</v>
      </c>
      <c r="H127" t="n">
        <v>3</v>
      </c>
      <c r="I127" t="n">
        <v>2</v>
      </c>
      <c r="J127" t="n">
        <v>8</v>
      </c>
      <c r="K127" t="n">
        <v>1</v>
      </c>
      <c r="L127" t="n">
        <v>0</v>
      </c>
      <c r="M127" t="n">
        <v>0</v>
      </c>
      <c r="N127" t="n">
        <v>0</v>
      </c>
      <c r="O127" t="n">
        <v>9</v>
      </c>
      <c r="P127" t="n">
        <v>1</v>
      </c>
      <c r="Q127" t="n">
        <v>12</v>
      </c>
      <c r="R127" s="2" t="inlineStr">
        <is>
          <t>Rynkskinn
Garnlav
Granticka
Lunglav
Rosenticka
Skrovellav
Spillkråka
Tretåig hackspett
Ullticka
Bårdlav
Mörk husmossa
Mattlummer</t>
        </is>
      </c>
      <c r="S127">
        <f>HYPERLINK("https://klasma.github.io/Logging_RAGUNDA/artfynd/A 39062-2020.xlsx")</f>
        <v/>
      </c>
      <c r="T127">
        <f>HYPERLINK("https://klasma.github.io/Logging_RAGUNDA/kartor/A 39062-2020.png")</f>
        <v/>
      </c>
      <c r="V127">
        <f>HYPERLINK("https://klasma.github.io/Logging_RAGUNDA/klagomål/A 39062-2020.docx")</f>
        <v/>
      </c>
      <c r="W127">
        <f>HYPERLINK("https://klasma.github.io/Logging_RAGUNDA/klagomålsmail/A 39062-2020.docx")</f>
        <v/>
      </c>
      <c r="X127">
        <f>HYPERLINK("https://klasma.github.io/Logging_RAGUNDA/tillsyn/A 39062-2020.docx")</f>
        <v/>
      </c>
      <c r="Y127">
        <f>HYPERLINK("https://klasma.github.io/Logging_RAGUNDA/tillsynsmail/A 39062-2020.docx")</f>
        <v/>
      </c>
    </row>
    <row r="128" ht="15" customHeight="1">
      <c r="A128" t="inlineStr">
        <is>
          <t>A 65807-2020</t>
        </is>
      </c>
      <c r="B128" s="1" t="n">
        <v>44174</v>
      </c>
      <c r="C128" s="1" t="n">
        <v>45182</v>
      </c>
      <c r="D128" t="inlineStr">
        <is>
          <t>JÄMTLANDS LÄN</t>
        </is>
      </c>
      <c r="E128" t="inlineStr">
        <is>
          <t>STRÖMSUND</t>
        </is>
      </c>
      <c r="F128" t="inlineStr">
        <is>
          <t>Holmen skog AB</t>
        </is>
      </c>
      <c r="G128" t="n">
        <v>27.6</v>
      </c>
      <c r="H128" t="n">
        <v>1</v>
      </c>
      <c r="I128" t="n">
        <v>7</v>
      </c>
      <c r="J128" t="n">
        <v>4</v>
      </c>
      <c r="K128" t="n">
        <v>1</v>
      </c>
      <c r="L128" t="n">
        <v>0</v>
      </c>
      <c r="M128" t="n">
        <v>0</v>
      </c>
      <c r="N128" t="n">
        <v>0</v>
      </c>
      <c r="O128" t="n">
        <v>5</v>
      </c>
      <c r="P128" t="n">
        <v>1</v>
      </c>
      <c r="Q128" t="n">
        <v>12</v>
      </c>
      <c r="R128" s="2" t="inlineStr">
        <is>
          <t>Norsk näverlav
Brunpudrad nållav
Gränsticka
Rödbrun blekspik
Skrovellav
Barkkornlav
Gulnål
Gytterlav
Luddlav
Spindelblomster
Stuplav
Ögonpyrola</t>
        </is>
      </c>
      <c r="S128">
        <f>HYPERLINK("https://klasma.github.io/Logging_STROMSUND/artfynd/A 65807-2020.xlsx")</f>
        <v/>
      </c>
      <c r="T128">
        <f>HYPERLINK("https://klasma.github.io/Logging_STROMSUND/kartor/A 65807-2020.png")</f>
        <v/>
      </c>
      <c r="V128">
        <f>HYPERLINK("https://klasma.github.io/Logging_STROMSUND/klagomål/A 65807-2020.docx")</f>
        <v/>
      </c>
      <c r="W128">
        <f>HYPERLINK("https://klasma.github.io/Logging_STROMSUND/klagomålsmail/A 65807-2020.docx")</f>
        <v/>
      </c>
      <c r="X128">
        <f>HYPERLINK("https://klasma.github.io/Logging_STROMSUND/tillsyn/A 65807-2020.docx")</f>
        <v/>
      </c>
      <c r="Y128">
        <f>HYPERLINK("https://klasma.github.io/Logging_STROMSUND/tillsynsmail/A 65807-2020.docx")</f>
        <v/>
      </c>
    </row>
    <row r="129" ht="15" customHeight="1">
      <c r="A129" t="inlineStr">
        <is>
          <t>A 65784-2020</t>
        </is>
      </c>
      <c r="B129" s="1" t="n">
        <v>44174</v>
      </c>
      <c r="C129" s="1" t="n">
        <v>45182</v>
      </c>
      <c r="D129" t="inlineStr">
        <is>
          <t>JÄMTLANDS LÄN</t>
        </is>
      </c>
      <c r="E129" t="inlineStr">
        <is>
          <t>STRÖMSUND</t>
        </is>
      </c>
      <c r="F129" t="inlineStr">
        <is>
          <t>Holmen skog AB</t>
        </is>
      </c>
      <c r="G129" t="n">
        <v>20.8</v>
      </c>
      <c r="H129" t="n">
        <v>2</v>
      </c>
      <c r="I129" t="n">
        <v>3</v>
      </c>
      <c r="J129" t="n">
        <v>7</v>
      </c>
      <c r="K129" t="n">
        <v>2</v>
      </c>
      <c r="L129" t="n">
        <v>0</v>
      </c>
      <c r="M129" t="n">
        <v>0</v>
      </c>
      <c r="N129" t="n">
        <v>0</v>
      </c>
      <c r="O129" t="n">
        <v>9</v>
      </c>
      <c r="P129" t="n">
        <v>2</v>
      </c>
      <c r="Q129" t="n">
        <v>12</v>
      </c>
      <c r="R129" s="2" t="inlineStr">
        <is>
          <t>Doftticka
Norsk näverlav
Brunpudrad nållav
Doftskinn
Gammelgransskål
Garnlav
Rödbrun blekspik
Tretåig hackspett
Vitgrynig nållav
Stuplav
Vedticka
Vågbandad barkbock</t>
        </is>
      </c>
      <c r="S129">
        <f>HYPERLINK("https://klasma.github.io/Logging_STROMSUND/artfynd/A 65784-2020.xlsx")</f>
        <v/>
      </c>
      <c r="T129">
        <f>HYPERLINK("https://klasma.github.io/Logging_STROMSUND/kartor/A 65784-2020.png")</f>
        <v/>
      </c>
      <c r="V129">
        <f>HYPERLINK("https://klasma.github.io/Logging_STROMSUND/klagomål/A 65784-2020.docx")</f>
        <v/>
      </c>
      <c r="W129">
        <f>HYPERLINK("https://klasma.github.io/Logging_STROMSUND/klagomålsmail/A 65784-2020.docx")</f>
        <v/>
      </c>
      <c r="X129">
        <f>HYPERLINK("https://klasma.github.io/Logging_STROMSUND/tillsyn/A 65784-2020.docx")</f>
        <v/>
      </c>
      <c r="Y129">
        <f>HYPERLINK("https://klasma.github.io/Logging_STROMSUND/tillsynsmail/A 65784-2020.docx")</f>
        <v/>
      </c>
    </row>
    <row r="130" ht="15" customHeight="1">
      <c r="A130" t="inlineStr">
        <is>
          <t>A 22204-2021</t>
        </is>
      </c>
      <c r="B130" s="1" t="n">
        <v>44326</v>
      </c>
      <c r="C130" s="1" t="n">
        <v>45182</v>
      </c>
      <c r="D130" t="inlineStr">
        <is>
          <t>JÄMTLANDS LÄN</t>
        </is>
      </c>
      <c r="E130" t="inlineStr">
        <is>
          <t>KROKOM</t>
        </is>
      </c>
      <c r="G130" t="n">
        <v>4.9</v>
      </c>
      <c r="H130" t="n">
        <v>4</v>
      </c>
      <c r="I130" t="n">
        <v>1</v>
      </c>
      <c r="J130" t="n">
        <v>8</v>
      </c>
      <c r="K130" t="n">
        <v>3</v>
      </c>
      <c r="L130" t="n">
        <v>0</v>
      </c>
      <c r="M130" t="n">
        <v>0</v>
      </c>
      <c r="N130" t="n">
        <v>0</v>
      </c>
      <c r="O130" t="n">
        <v>11</v>
      </c>
      <c r="P130" t="n">
        <v>3</v>
      </c>
      <c r="Q130" t="n">
        <v>12</v>
      </c>
      <c r="R130" s="2" t="inlineStr">
        <is>
          <t>Doftticka
Frösöstarr
Knärot
Garnlav
Granticka
Liten svartspik
Lunglav
Skogsfru
Stiftgelélav
Tretåig hackspett
Ullticka
Finbräken</t>
        </is>
      </c>
      <c r="S130">
        <f>HYPERLINK("https://klasma.github.io/Logging_KROKOM/artfynd/A 22204-2021.xlsx")</f>
        <v/>
      </c>
      <c r="T130">
        <f>HYPERLINK("https://klasma.github.io/Logging_KROKOM/kartor/A 22204-2021.png")</f>
        <v/>
      </c>
      <c r="U130">
        <f>HYPERLINK("https://klasma.github.io/Logging_KROKOM/knärot/A 22204-2021.png")</f>
        <v/>
      </c>
      <c r="V130">
        <f>HYPERLINK("https://klasma.github.io/Logging_KROKOM/klagomål/A 22204-2021.docx")</f>
        <v/>
      </c>
      <c r="W130">
        <f>HYPERLINK("https://klasma.github.io/Logging_KROKOM/klagomålsmail/A 22204-2021.docx")</f>
        <v/>
      </c>
      <c r="X130">
        <f>HYPERLINK("https://klasma.github.io/Logging_KROKOM/tillsyn/A 22204-2021.docx")</f>
        <v/>
      </c>
      <c r="Y130">
        <f>HYPERLINK("https://klasma.github.io/Logging_KROKOM/tillsynsmail/A 22204-2021.docx")</f>
        <v/>
      </c>
    </row>
    <row r="131" ht="15" customHeight="1">
      <c r="A131" t="inlineStr">
        <is>
          <t>A 22836-2021</t>
        </is>
      </c>
      <c r="B131" s="1" t="n">
        <v>44328</v>
      </c>
      <c r="C131" s="1" t="n">
        <v>45182</v>
      </c>
      <c r="D131" t="inlineStr">
        <is>
          <t>JÄMTLANDS LÄN</t>
        </is>
      </c>
      <c r="E131" t="inlineStr">
        <is>
          <t>KROKOM</t>
        </is>
      </c>
      <c r="G131" t="n">
        <v>62.9</v>
      </c>
      <c r="H131" t="n">
        <v>1</v>
      </c>
      <c r="I131" t="n">
        <v>4</v>
      </c>
      <c r="J131" t="n">
        <v>6</v>
      </c>
      <c r="K131" t="n">
        <v>1</v>
      </c>
      <c r="L131" t="n">
        <v>0</v>
      </c>
      <c r="M131" t="n">
        <v>0</v>
      </c>
      <c r="N131" t="n">
        <v>0</v>
      </c>
      <c r="O131" t="n">
        <v>7</v>
      </c>
      <c r="P131" t="n">
        <v>1</v>
      </c>
      <c r="Q131" t="n">
        <v>12</v>
      </c>
      <c r="R131" s="2" t="inlineStr">
        <is>
          <t>Liten sotlav
Brunpudrad nållav
Garnlav
Granticka
Gränsticka
Skrovellav
Ullticka
Bårdlav
Stuplav
Trådticka
Ögonpyrola
Revlummer</t>
        </is>
      </c>
      <c r="S131">
        <f>HYPERLINK("https://klasma.github.io/Logging_KROKOM/artfynd/A 22836-2021.xlsx")</f>
        <v/>
      </c>
      <c r="T131">
        <f>HYPERLINK("https://klasma.github.io/Logging_KROKOM/kartor/A 22836-2021.png")</f>
        <v/>
      </c>
      <c r="V131">
        <f>HYPERLINK("https://klasma.github.io/Logging_KROKOM/klagomål/A 22836-2021.docx")</f>
        <v/>
      </c>
      <c r="W131">
        <f>HYPERLINK("https://klasma.github.io/Logging_KROKOM/klagomålsmail/A 22836-2021.docx")</f>
        <v/>
      </c>
      <c r="X131">
        <f>HYPERLINK("https://klasma.github.io/Logging_KROKOM/tillsyn/A 22836-2021.docx")</f>
        <v/>
      </c>
      <c r="Y131">
        <f>HYPERLINK("https://klasma.github.io/Logging_KROKOM/tillsynsmail/A 22836-2021.docx")</f>
        <v/>
      </c>
    </row>
    <row r="132" ht="15" customHeight="1">
      <c r="A132" t="inlineStr">
        <is>
          <t>A 43075-2021</t>
        </is>
      </c>
      <c r="B132" s="1" t="n">
        <v>44431</v>
      </c>
      <c r="C132" s="1" t="n">
        <v>45182</v>
      </c>
      <c r="D132" t="inlineStr">
        <is>
          <t>JÄMTLANDS LÄN</t>
        </is>
      </c>
      <c r="E132" t="inlineStr">
        <is>
          <t>STRÖMSUND</t>
        </is>
      </c>
      <c r="G132" t="n">
        <v>27.7</v>
      </c>
      <c r="H132" t="n">
        <v>2</v>
      </c>
      <c r="I132" t="n">
        <v>5</v>
      </c>
      <c r="J132" t="n">
        <v>6</v>
      </c>
      <c r="K132" t="n">
        <v>1</v>
      </c>
      <c r="L132" t="n">
        <v>0</v>
      </c>
      <c r="M132" t="n">
        <v>0</v>
      </c>
      <c r="N132" t="n">
        <v>0</v>
      </c>
      <c r="O132" t="n">
        <v>7</v>
      </c>
      <c r="P132" t="n">
        <v>1</v>
      </c>
      <c r="Q132" t="n">
        <v>12</v>
      </c>
      <c r="R132" s="2" t="inlineStr">
        <is>
          <t>Gräddporing
Dvärgbägarlav
Lunglav
Mörk kolflarnlav
Vedflikmossa
Vedskivlav
Vitgrynig nållav
Bårdlav
Korallrot
Spindelblomster
Stuplav
Ögonpyrola</t>
        </is>
      </c>
      <c r="S132">
        <f>HYPERLINK("https://klasma.github.io/Logging_STROMSUND/artfynd/A 43075-2021.xlsx")</f>
        <v/>
      </c>
      <c r="T132">
        <f>HYPERLINK("https://klasma.github.io/Logging_STROMSUND/kartor/A 43075-2021.png")</f>
        <v/>
      </c>
      <c r="V132">
        <f>HYPERLINK("https://klasma.github.io/Logging_STROMSUND/klagomål/A 43075-2021.docx")</f>
        <v/>
      </c>
      <c r="W132">
        <f>HYPERLINK("https://klasma.github.io/Logging_STROMSUND/klagomålsmail/A 43075-2021.docx")</f>
        <v/>
      </c>
      <c r="X132">
        <f>HYPERLINK("https://klasma.github.io/Logging_STROMSUND/tillsyn/A 43075-2021.docx")</f>
        <v/>
      </c>
      <c r="Y132">
        <f>HYPERLINK("https://klasma.github.io/Logging_STROMSUND/tillsynsmail/A 43075-2021.docx")</f>
        <v/>
      </c>
    </row>
    <row r="133" ht="15" customHeight="1">
      <c r="A133" t="inlineStr">
        <is>
          <t>A 4221-2023</t>
        </is>
      </c>
      <c r="B133" s="1" t="n">
        <v>44951</v>
      </c>
      <c r="C133" s="1" t="n">
        <v>45182</v>
      </c>
      <c r="D133" t="inlineStr">
        <is>
          <t>JÄMTLANDS LÄN</t>
        </is>
      </c>
      <c r="E133" t="inlineStr">
        <is>
          <t>BRÄCKE</t>
        </is>
      </c>
      <c r="G133" t="n">
        <v>2.9</v>
      </c>
      <c r="H133" t="n">
        <v>3</v>
      </c>
      <c r="I133" t="n">
        <v>3</v>
      </c>
      <c r="J133" t="n">
        <v>5</v>
      </c>
      <c r="K133" t="n">
        <v>3</v>
      </c>
      <c r="L133" t="n">
        <v>0</v>
      </c>
      <c r="M133" t="n">
        <v>0</v>
      </c>
      <c r="N133" t="n">
        <v>0</v>
      </c>
      <c r="O133" t="n">
        <v>8</v>
      </c>
      <c r="P133" t="n">
        <v>3</v>
      </c>
      <c r="Q133" t="n">
        <v>12</v>
      </c>
      <c r="R133" s="2" t="inlineStr">
        <is>
          <t>Doftticka
Knärot
Tajgataggsvamp
Garnlav
Koralltaggsvamp
Lunglav
Stiftgelélav
Ullticka
Bårdlav
Luddlav
Vedticka
Nattviol</t>
        </is>
      </c>
      <c r="S133">
        <f>HYPERLINK("https://klasma.github.io/Logging_BRACKE/artfynd/A 4221-2023.xlsx")</f>
        <v/>
      </c>
      <c r="T133">
        <f>HYPERLINK("https://klasma.github.io/Logging_BRACKE/kartor/A 4221-2023.png")</f>
        <v/>
      </c>
      <c r="U133">
        <f>HYPERLINK("https://klasma.github.io/Logging_BRACKE/knärot/A 4221-2023.png")</f>
        <v/>
      </c>
      <c r="V133">
        <f>HYPERLINK("https://klasma.github.io/Logging_BRACKE/klagomål/A 4221-2023.docx")</f>
        <v/>
      </c>
      <c r="W133">
        <f>HYPERLINK("https://klasma.github.io/Logging_BRACKE/klagomålsmail/A 4221-2023.docx")</f>
        <v/>
      </c>
      <c r="X133">
        <f>HYPERLINK("https://klasma.github.io/Logging_BRACKE/tillsyn/A 4221-2023.docx")</f>
        <v/>
      </c>
      <c r="Y133">
        <f>HYPERLINK("https://klasma.github.io/Logging_BRACKE/tillsynsmail/A 4221-2023.docx")</f>
        <v/>
      </c>
    </row>
    <row r="134" ht="15" customHeight="1">
      <c r="A134" t="inlineStr">
        <is>
          <t>A 18987-2023</t>
        </is>
      </c>
      <c r="B134" s="1" t="n">
        <v>45044</v>
      </c>
      <c r="C134" s="1" t="n">
        <v>45182</v>
      </c>
      <c r="D134" t="inlineStr">
        <is>
          <t>JÄMTLANDS LÄN</t>
        </is>
      </c>
      <c r="E134" t="inlineStr">
        <is>
          <t>STRÖMSUND</t>
        </is>
      </c>
      <c r="F134" t="inlineStr">
        <is>
          <t>SCA</t>
        </is>
      </c>
      <c r="G134" t="n">
        <v>9.699999999999999</v>
      </c>
      <c r="H134" t="n">
        <v>1</v>
      </c>
      <c r="I134" t="n">
        <v>5</v>
      </c>
      <c r="J134" t="n">
        <v>7</v>
      </c>
      <c r="K134" t="n">
        <v>0</v>
      </c>
      <c r="L134" t="n">
        <v>0</v>
      </c>
      <c r="M134" t="n">
        <v>0</v>
      </c>
      <c r="N134" t="n">
        <v>0</v>
      </c>
      <c r="O134" t="n">
        <v>7</v>
      </c>
      <c r="P134" t="n">
        <v>0</v>
      </c>
      <c r="Q134" t="n">
        <v>12</v>
      </c>
      <c r="R134" s="2" t="inlineStr">
        <is>
          <t>Garnlav
Granticka
Gränsticka
Lunglav
Skrovellav
Ullticka
Vedtrappmossa
Mörk husmossa
Spindelblomster
Stuplav
Vedticka
Ögonpyrola</t>
        </is>
      </c>
      <c r="S134">
        <f>HYPERLINK("https://klasma.github.io/Logging_STROMSUND/artfynd/A 18987-2023.xlsx")</f>
        <v/>
      </c>
      <c r="T134">
        <f>HYPERLINK("https://klasma.github.io/Logging_STROMSUND/kartor/A 18987-2023.png")</f>
        <v/>
      </c>
      <c r="V134">
        <f>HYPERLINK("https://klasma.github.io/Logging_STROMSUND/klagomål/A 18987-2023.docx")</f>
        <v/>
      </c>
      <c r="W134">
        <f>HYPERLINK("https://klasma.github.io/Logging_STROMSUND/klagomålsmail/A 18987-2023.docx")</f>
        <v/>
      </c>
      <c r="X134">
        <f>HYPERLINK("https://klasma.github.io/Logging_STROMSUND/tillsyn/A 18987-2023.docx")</f>
        <v/>
      </c>
      <c r="Y134">
        <f>HYPERLINK("https://klasma.github.io/Logging_STROMSUND/tillsynsmail/A 18987-2023.docx")</f>
        <v/>
      </c>
    </row>
    <row r="135" ht="15" customHeight="1">
      <c r="A135" t="inlineStr">
        <is>
          <t>A 29068-2023</t>
        </is>
      </c>
      <c r="B135" s="1" t="n">
        <v>45104</v>
      </c>
      <c r="C135" s="1" t="n">
        <v>45182</v>
      </c>
      <c r="D135" t="inlineStr">
        <is>
          <t>JÄMTLANDS LÄN</t>
        </is>
      </c>
      <c r="E135" t="inlineStr">
        <is>
          <t>RAGUNDA</t>
        </is>
      </c>
      <c r="F135" t="inlineStr">
        <is>
          <t>SCA</t>
        </is>
      </c>
      <c r="G135" t="n">
        <v>10.8</v>
      </c>
      <c r="H135" t="n">
        <v>0</v>
      </c>
      <c r="I135" t="n">
        <v>2</v>
      </c>
      <c r="J135" t="n">
        <v>7</v>
      </c>
      <c r="K135" t="n">
        <v>3</v>
      </c>
      <c r="L135" t="n">
        <v>0</v>
      </c>
      <c r="M135" t="n">
        <v>0</v>
      </c>
      <c r="N135" t="n">
        <v>0</v>
      </c>
      <c r="O135" t="n">
        <v>10</v>
      </c>
      <c r="P135" t="n">
        <v>3</v>
      </c>
      <c r="Q135" t="n">
        <v>12</v>
      </c>
      <c r="R135" s="2" t="inlineStr">
        <is>
          <t>Goliatmusseron
Gräddporing
Smalfotad taggsvamp
Blanksvart spiklav
Blå taggsvamp
Dvärgbägarlav
Garnlav
Skrovlig taggsvamp
Tallriska
Vedflamlav
Dropptaggsvamp
Skarp dropptaggsvamp</t>
        </is>
      </c>
      <c r="S135">
        <f>HYPERLINK("https://klasma.github.io/Logging_RAGUNDA/artfynd/A 29068-2023.xlsx")</f>
        <v/>
      </c>
      <c r="T135">
        <f>HYPERLINK("https://klasma.github.io/Logging_RAGUNDA/kartor/A 29068-2023.png")</f>
        <v/>
      </c>
      <c r="V135">
        <f>HYPERLINK("https://klasma.github.io/Logging_RAGUNDA/klagomål/A 29068-2023.docx")</f>
        <v/>
      </c>
      <c r="W135">
        <f>HYPERLINK("https://klasma.github.io/Logging_RAGUNDA/klagomålsmail/A 29068-2023.docx")</f>
        <v/>
      </c>
      <c r="X135">
        <f>HYPERLINK("https://klasma.github.io/Logging_RAGUNDA/tillsyn/A 29068-2023.docx")</f>
        <v/>
      </c>
      <c r="Y135">
        <f>HYPERLINK("https://klasma.github.io/Logging_RAGUNDA/tillsynsmail/A 29068-2023.docx")</f>
        <v/>
      </c>
    </row>
    <row r="136" ht="15" customHeight="1">
      <c r="A136" t="inlineStr">
        <is>
          <t>A 29434-2023</t>
        </is>
      </c>
      <c r="B136" s="1" t="n">
        <v>45106</v>
      </c>
      <c r="C136" s="1" t="n">
        <v>45182</v>
      </c>
      <c r="D136" t="inlineStr">
        <is>
          <t>JÄMTLANDS LÄN</t>
        </is>
      </c>
      <c r="E136" t="inlineStr">
        <is>
          <t>HÄRJEDALEN</t>
        </is>
      </c>
      <c r="G136" t="n">
        <v>7.5</v>
      </c>
      <c r="H136" t="n">
        <v>1</v>
      </c>
      <c r="I136" t="n">
        <v>0</v>
      </c>
      <c r="J136" t="n">
        <v>12</v>
      </c>
      <c r="K136" t="n">
        <v>0</v>
      </c>
      <c r="L136" t="n">
        <v>0</v>
      </c>
      <c r="M136" t="n">
        <v>0</v>
      </c>
      <c r="N136" t="n">
        <v>0</v>
      </c>
      <c r="O136" t="n">
        <v>12</v>
      </c>
      <c r="P136" t="n">
        <v>0</v>
      </c>
      <c r="Q136" t="n">
        <v>12</v>
      </c>
      <c r="R136" s="2" t="inlineStr">
        <is>
          <t>Blanksvart spiklav
Blågrå svartspik
Brunpudrad nållav
Garnlav
Knottrig blåslav
Kolflarnlav
Mörk kolflarnlav
Tretåig hackspett
Vedflamlav
Vedskivlav
Violettgrå tagellav
Vitgrynig nållav</t>
        </is>
      </c>
      <c r="S136">
        <f>HYPERLINK("https://klasma.github.io/Logging_HARJEDALEN/artfynd/A 29434-2023.xlsx")</f>
        <v/>
      </c>
      <c r="T136">
        <f>HYPERLINK("https://klasma.github.io/Logging_HARJEDALEN/kartor/A 29434-2023.png")</f>
        <v/>
      </c>
      <c r="V136">
        <f>HYPERLINK("https://klasma.github.io/Logging_HARJEDALEN/klagomål/A 29434-2023.docx")</f>
        <v/>
      </c>
      <c r="W136">
        <f>HYPERLINK("https://klasma.github.io/Logging_HARJEDALEN/klagomålsmail/A 29434-2023.docx")</f>
        <v/>
      </c>
      <c r="X136">
        <f>HYPERLINK("https://klasma.github.io/Logging_HARJEDALEN/tillsyn/A 29434-2023.docx")</f>
        <v/>
      </c>
      <c r="Y136">
        <f>HYPERLINK("https://klasma.github.io/Logging_HARJEDALEN/tillsynsmail/A 29434-2023.docx")</f>
        <v/>
      </c>
    </row>
    <row r="137" ht="15" customHeight="1">
      <c r="A137" t="inlineStr">
        <is>
          <t>A 29943-2023</t>
        </is>
      </c>
      <c r="B137" s="1" t="n">
        <v>45107</v>
      </c>
      <c r="C137" s="1" t="n">
        <v>45182</v>
      </c>
      <c r="D137" t="inlineStr">
        <is>
          <t>JÄMTLANDS LÄN</t>
        </is>
      </c>
      <c r="E137" t="inlineStr">
        <is>
          <t>BRÄCKE</t>
        </is>
      </c>
      <c r="G137" t="n">
        <v>12.2</v>
      </c>
      <c r="H137" t="n">
        <v>1</v>
      </c>
      <c r="I137" t="n">
        <v>4</v>
      </c>
      <c r="J137" t="n">
        <v>7</v>
      </c>
      <c r="K137" t="n">
        <v>1</v>
      </c>
      <c r="L137" t="n">
        <v>0</v>
      </c>
      <c r="M137" t="n">
        <v>0</v>
      </c>
      <c r="N137" t="n">
        <v>0</v>
      </c>
      <c r="O137" t="n">
        <v>8</v>
      </c>
      <c r="P137" t="n">
        <v>1</v>
      </c>
      <c r="Q137" t="n">
        <v>12</v>
      </c>
      <c r="R137" s="2" t="inlineStr">
        <is>
          <t>Lateritticka
Dvärgbägarlav
Garnlav
Grantaggsvamp
Granticka
Lunglav
Tretåig hackspett
Ullticka
Barkticka
Bårdlav
Stuplav
Vedticka</t>
        </is>
      </c>
      <c r="S137">
        <f>HYPERLINK("https://klasma.github.io/Logging_BRACKE/artfynd/A 29943-2023.xlsx")</f>
        <v/>
      </c>
      <c r="T137">
        <f>HYPERLINK("https://klasma.github.io/Logging_BRACKE/kartor/A 29943-2023.png")</f>
        <v/>
      </c>
      <c r="V137">
        <f>HYPERLINK("https://klasma.github.io/Logging_BRACKE/klagomål/A 29943-2023.docx")</f>
        <v/>
      </c>
      <c r="W137">
        <f>HYPERLINK("https://klasma.github.io/Logging_BRACKE/klagomålsmail/A 29943-2023.docx")</f>
        <v/>
      </c>
      <c r="X137">
        <f>HYPERLINK("https://klasma.github.io/Logging_BRACKE/tillsyn/A 29943-2023.docx")</f>
        <v/>
      </c>
      <c r="Y137">
        <f>HYPERLINK("https://klasma.github.io/Logging_BRACKE/tillsynsmail/A 29943-2023.docx")</f>
        <v/>
      </c>
    </row>
    <row r="138" ht="15" customHeight="1">
      <c r="A138" t="inlineStr">
        <is>
          <t>A 43567-2018</t>
        </is>
      </c>
      <c r="B138" s="1" t="n">
        <v>43357</v>
      </c>
      <c r="C138" s="1" t="n">
        <v>45182</v>
      </c>
      <c r="D138" t="inlineStr">
        <is>
          <t>JÄMTLANDS LÄN</t>
        </is>
      </c>
      <c r="E138" t="inlineStr">
        <is>
          <t>KROKOM</t>
        </is>
      </c>
      <c r="F138" t="inlineStr">
        <is>
          <t>Övriga Aktiebolag</t>
        </is>
      </c>
      <c r="G138" t="n">
        <v>33.9</v>
      </c>
      <c r="H138" t="n">
        <v>0</v>
      </c>
      <c r="I138" t="n">
        <v>6</v>
      </c>
      <c r="J138" t="n">
        <v>5</v>
      </c>
      <c r="K138" t="n">
        <v>0</v>
      </c>
      <c r="L138" t="n">
        <v>0</v>
      </c>
      <c r="M138" t="n">
        <v>0</v>
      </c>
      <c r="N138" t="n">
        <v>0</v>
      </c>
      <c r="O138" t="n">
        <v>5</v>
      </c>
      <c r="P138" t="n">
        <v>0</v>
      </c>
      <c r="Q138" t="n">
        <v>11</v>
      </c>
      <c r="R138" s="2" t="inlineStr">
        <is>
          <t>Brunpudrad nållav
Garnlav
Gränsticka
Kolflarnlav
Skrovellav
Bårdlav
Gulnål
Gytterlav
Luddlav
Skinnlav
Stuplav</t>
        </is>
      </c>
      <c r="S138">
        <f>HYPERLINK("https://klasma.github.io/Logging_KROKOM/artfynd/A 43567-2018.xlsx")</f>
        <v/>
      </c>
      <c r="T138">
        <f>HYPERLINK("https://klasma.github.io/Logging_KROKOM/kartor/A 43567-2018.png")</f>
        <v/>
      </c>
      <c r="V138">
        <f>HYPERLINK("https://klasma.github.io/Logging_KROKOM/klagomål/A 43567-2018.docx")</f>
        <v/>
      </c>
      <c r="W138">
        <f>HYPERLINK("https://klasma.github.io/Logging_KROKOM/klagomålsmail/A 43567-2018.docx")</f>
        <v/>
      </c>
      <c r="X138">
        <f>HYPERLINK("https://klasma.github.io/Logging_KROKOM/tillsyn/A 43567-2018.docx")</f>
        <v/>
      </c>
      <c r="Y138">
        <f>HYPERLINK("https://klasma.github.io/Logging_KROKOM/tillsynsmail/A 43567-2018.docx")</f>
        <v/>
      </c>
    </row>
    <row r="139" ht="15" customHeight="1">
      <c r="A139" t="inlineStr">
        <is>
          <t>A 47078-2019</t>
        </is>
      </c>
      <c r="B139" s="1" t="n">
        <v>43720</v>
      </c>
      <c r="C139" s="1" t="n">
        <v>45182</v>
      </c>
      <c r="D139" t="inlineStr">
        <is>
          <t>JÄMTLANDS LÄN</t>
        </is>
      </c>
      <c r="E139" t="inlineStr">
        <is>
          <t>STRÖMSUND</t>
        </is>
      </c>
      <c r="F139" t="inlineStr">
        <is>
          <t>SCA</t>
        </is>
      </c>
      <c r="G139" t="n">
        <v>12.7</v>
      </c>
      <c r="H139" t="n">
        <v>1</v>
      </c>
      <c r="I139" t="n">
        <v>6</v>
      </c>
      <c r="J139" t="n">
        <v>5</v>
      </c>
      <c r="K139" t="n">
        <v>0</v>
      </c>
      <c r="L139" t="n">
        <v>0</v>
      </c>
      <c r="M139" t="n">
        <v>0</v>
      </c>
      <c r="N139" t="n">
        <v>0</v>
      </c>
      <c r="O139" t="n">
        <v>5</v>
      </c>
      <c r="P139" t="n">
        <v>0</v>
      </c>
      <c r="Q139" t="n">
        <v>11</v>
      </c>
      <c r="R139" s="2" t="inlineStr">
        <is>
          <t>Gammelgransskål
Garnlav
Lunglav
Skrovellav
Stiftgelélav
Bårdlav
Gytterlav
Korallblylav
Plattlummer
Skinnlav
Stuplav</t>
        </is>
      </c>
      <c r="S139">
        <f>HYPERLINK("https://klasma.github.io/Logging_STROMSUND/artfynd/A 47078-2019.xlsx")</f>
        <v/>
      </c>
      <c r="T139">
        <f>HYPERLINK("https://klasma.github.io/Logging_STROMSUND/kartor/A 47078-2019.png")</f>
        <v/>
      </c>
      <c r="V139">
        <f>HYPERLINK("https://klasma.github.io/Logging_STROMSUND/klagomål/A 47078-2019.docx")</f>
        <v/>
      </c>
      <c r="W139">
        <f>HYPERLINK("https://klasma.github.io/Logging_STROMSUND/klagomålsmail/A 47078-2019.docx")</f>
        <v/>
      </c>
      <c r="X139">
        <f>HYPERLINK("https://klasma.github.io/Logging_STROMSUND/tillsyn/A 47078-2019.docx")</f>
        <v/>
      </c>
      <c r="Y139">
        <f>HYPERLINK("https://klasma.github.io/Logging_STROMSUND/tillsynsmail/A 47078-2019.docx")</f>
        <v/>
      </c>
    </row>
    <row r="140" ht="15" customHeight="1">
      <c r="A140" t="inlineStr">
        <is>
          <t>A 15122-2020</t>
        </is>
      </c>
      <c r="B140" s="1" t="n">
        <v>43910</v>
      </c>
      <c r="C140" s="1" t="n">
        <v>45182</v>
      </c>
      <c r="D140" t="inlineStr">
        <is>
          <t>JÄMTLANDS LÄN</t>
        </is>
      </c>
      <c r="E140" t="inlineStr">
        <is>
          <t>RAGUNDA</t>
        </is>
      </c>
      <c r="F140" t="inlineStr">
        <is>
          <t>SCA</t>
        </is>
      </c>
      <c r="G140" t="n">
        <v>55.6</v>
      </c>
      <c r="H140" t="n">
        <v>2</v>
      </c>
      <c r="I140" t="n">
        <v>4</v>
      </c>
      <c r="J140" t="n">
        <v>4</v>
      </c>
      <c r="K140" t="n">
        <v>2</v>
      </c>
      <c r="L140" t="n">
        <v>0</v>
      </c>
      <c r="M140" t="n">
        <v>0</v>
      </c>
      <c r="N140" t="n">
        <v>0</v>
      </c>
      <c r="O140" t="n">
        <v>6</v>
      </c>
      <c r="P140" t="n">
        <v>2</v>
      </c>
      <c r="Q140" t="n">
        <v>11</v>
      </c>
      <c r="R140" s="2" t="inlineStr">
        <is>
          <t>Knärot
Ulltickeporing
Garnlav
Granticka
Lunglav
Ullticka
Luddlav
Mörk husmossa
Skinnlav
Stuplav
Revlummer</t>
        </is>
      </c>
      <c r="S140">
        <f>HYPERLINK("https://klasma.github.io/Logging_RAGUNDA/artfynd/A 15122-2020.xlsx")</f>
        <v/>
      </c>
      <c r="T140">
        <f>HYPERLINK("https://klasma.github.io/Logging_RAGUNDA/kartor/A 15122-2020.png")</f>
        <v/>
      </c>
      <c r="U140">
        <f>HYPERLINK("https://klasma.github.io/Logging_RAGUNDA/knärot/A 15122-2020.png")</f>
        <v/>
      </c>
      <c r="V140">
        <f>HYPERLINK("https://klasma.github.io/Logging_RAGUNDA/klagomål/A 15122-2020.docx")</f>
        <v/>
      </c>
      <c r="W140">
        <f>HYPERLINK("https://klasma.github.io/Logging_RAGUNDA/klagomålsmail/A 15122-2020.docx")</f>
        <v/>
      </c>
      <c r="X140">
        <f>HYPERLINK("https://klasma.github.io/Logging_RAGUNDA/tillsyn/A 15122-2020.docx")</f>
        <v/>
      </c>
      <c r="Y140">
        <f>HYPERLINK("https://klasma.github.io/Logging_RAGUNDA/tillsynsmail/A 15122-2020.docx")</f>
        <v/>
      </c>
    </row>
    <row r="141" ht="15" customHeight="1">
      <c r="A141" t="inlineStr">
        <is>
          <t>A 19734-2020</t>
        </is>
      </c>
      <c r="B141" s="1" t="n">
        <v>43941</v>
      </c>
      <c r="C141" s="1" t="n">
        <v>45182</v>
      </c>
      <c r="D141" t="inlineStr">
        <is>
          <t>JÄMTLANDS LÄN</t>
        </is>
      </c>
      <c r="E141" t="inlineStr">
        <is>
          <t>STRÖMSUND</t>
        </is>
      </c>
      <c r="F141" t="inlineStr">
        <is>
          <t>SCA</t>
        </is>
      </c>
      <c r="G141" t="n">
        <v>8.699999999999999</v>
      </c>
      <c r="H141" t="n">
        <v>2</v>
      </c>
      <c r="I141" t="n">
        <v>4</v>
      </c>
      <c r="J141" t="n">
        <v>4</v>
      </c>
      <c r="K141" t="n">
        <v>2</v>
      </c>
      <c r="L141" t="n">
        <v>0</v>
      </c>
      <c r="M141" t="n">
        <v>0</v>
      </c>
      <c r="N141" t="n">
        <v>0</v>
      </c>
      <c r="O141" t="n">
        <v>6</v>
      </c>
      <c r="P141" t="n">
        <v>2</v>
      </c>
      <c r="Q141" t="n">
        <v>11</v>
      </c>
      <c r="R141" s="2" t="inlineStr">
        <is>
          <t>Rynkskinn
Ulltickeporing
Brunpudrad nållav
Gammelgransskål
Rosenticka
Ullticka
Gulnål
Plattlummer
Stuplav
Vedticka
Mattlummer</t>
        </is>
      </c>
      <c r="S141">
        <f>HYPERLINK("https://klasma.github.io/Logging_STROMSUND/artfynd/A 19734-2020.xlsx")</f>
        <v/>
      </c>
      <c r="T141">
        <f>HYPERLINK("https://klasma.github.io/Logging_STROMSUND/kartor/A 19734-2020.png")</f>
        <v/>
      </c>
      <c r="V141">
        <f>HYPERLINK("https://klasma.github.io/Logging_STROMSUND/klagomål/A 19734-2020.docx")</f>
        <v/>
      </c>
      <c r="W141">
        <f>HYPERLINK("https://klasma.github.io/Logging_STROMSUND/klagomålsmail/A 19734-2020.docx")</f>
        <v/>
      </c>
      <c r="X141">
        <f>HYPERLINK("https://klasma.github.io/Logging_STROMSUND/tillsyn/A 19734-2020.docx")</f>
        <v/>
      </c>
      <c r="Y141">
        <f>HYPERLINK("https://klasma.github.io/Logging_STROMSUND/tillsynsmail/A 19734-2020.docx")</f>
        <v/>
      </c>
    </row>
    <row r="142" ht="15" customHeight="1">
      <c r="A142" t="inlineStr">
        <is>
          <t>A 29081-2020</t>
        </is>
      </c>
      <c r="B142" s="1" t="n">
        <v>44002</v>
      </c>
      <c r="C142" s="1" t="n">
        <v>45182</v>
      </c>
      <c r="D142" t="inlineStr">
        <is>
          <t>JÄMTLANDS LÄN</t>
        </is>
      </c>
      <c r="E142" t="inlineStr">
        <is>
          <t>ÅRE</t>
        </is>
      </c>
      <c r="G142" t="n">
        <v>9.699999999999999</v>
      </c>
      <c r="H142" t="n">
        <v>3</v>
      </c>
      <c r="I142" t="n">
        <v>3</v>
      </c>
      <c r="J142" t="n">
        <v>6</v>
      </c>
      <c r="K142" t="n">
        <v>0</v>
      </c>
      <c r="L142" t="n">
        <v>0</v>
      </c>
      <c r="M142" t="n">
        <v>0</v>
      </c>
      <c r="N142" t="n">
        <v>0</v>
      </c>
      <c r="O142" t="n">
        <v>6</v>
      </c>
      <c r="P142" t="n">
        <v>0</v>
      </c>
      <c r="Q142" t="n">
        <v>11</v>
      </c>
      <c r="R142" s="2" t="inlineStr">
        <is>
          <t>Gammelgransskål
Garnlav
Granticka
Harticka
Tretåig hackspett
Vitgrynig nållav
Mörk husmossa
Vedticka
Vågbandad barkbock
Fläcknycklar
Revlummer</t>
        </is>
      </c>
      <c r="S142">
        <f>HYPERLINK("https://klasma.github.io/Logging_ARE/artfynd/A 29081-2020.xlsx")</f>
        <v/>
      </c>
      <c r="T142">
        <f>HYPERLINK("https://klasma.github.io/Logging_ARE/kartor/A 29081-2020.png")</f>
        <v/>
      </c>
      <c r="V142">
        <f>HYPERLINK("https://klasma.github.io/Logging_ARE/klagomål/A 29081-2020.docx")</f>
        <v/>
      </c>
      <c r="W142">
        <f>HYPERLINK("https://klasma.github.io/Logging_ARE/klagomålsmail/A 29081-2020.docx")</f>
        <v/>
      </c>
      <c r="X142">
        <f>HYPERLINK("https://klasma.github.io/Logging_ARE/tillsyn/A 29081-2020.docx")</f>
        <v/>
      </c>
      <c r="Y142">
        <f>HYPERLINK("https://klasma.github.io/Logging_ARE/tillsynsmail/A 29081-2020.docx")</f>
        <v/>
      </c>
    </row>
    <row r="143" ht="15" customHeight="1">
      <c r="A143" t="inlineStr">
        <is>
          <t>A 31789-2020</t>
        </is>
      </c>
      <c r="B143" s="1" t="n">
        <v>44014</v>
      </c>
      <c r="C143" s="1" t="n">
        <v>45182</v>
      </c>
      <c r="D143" t="inlineStr">
        <is>
          <t>JÄMTLANDS LÄN</t>
        </is>
      </c>
      <c r="E143" t="inlineStr">
        <is>
          <t>STRÖMSUND</t>
        </is>
      </c>
      <c r="F143" t="inlineStr">
        <is>
          <t>Holmen skog AB</t>
        </is>
      </c>
      <c r="G143" t="n">
        <v>5.5</v>
      </c>
      <c r="H143" t="n">
        <v>1</v>
      </c>
      <c r="I143" t="n">
        <v>3</v>
      </c>
      <c r="J143" t="n">
        <v>7</v>
      </c>
      <c r="K143" t="n">
        <v>0</v>
      </c>
      <c r="L143" t="n">
        <v>0</v>
      </c>
      <c r="M143" t="n">
        <v>0</v>
      </c>
      <c r="N143" t="n">
        <v>0</v>
      </c>
      <c r="O143" t="n">
        <v>7</v>
      </c>
      <c r="P143" t="n">
        <v>0</v>
      </c>
      <c r="Q143" t="n">
        <v>11</v>
      </c>
      <c r="R143" s="2" t="inlineStr">
        <is>
          <t>Blå taggsvamp
Garnlav
Kolflarnlav
Lunglav
Mörk kolflarnlav
Skrovellav
Vedflamlav
Dropptaggsvamp
Luddlav
Stuplav
Revlummer</t>
        </is>
      </c>
      <c r="S143">
        <f>HYPERLINK("https://klasma.github.io/Logging_STROMSUND/artfynd/A 31789-2020.xlsx")</f>
        <v/>
      </c>
      <c r="T143">
        <f>HYPERLINK("https://klasma.github.io/Logging_STROMSUND/kartor/A 31789-2020.png")</f>
        <v/>
      </c>
      <c r="V143">
        <f>HYPERLINK("https://klasma.github.io/Logging_STROMSUND/klagomål/A 31789-2020.docx")</f>
        <v/>
      </c>
      <c r="W143">
        <f>HYPERLINK("https://klasma.github.io/Logging_STROMSUND/klagomålsmail/A 31789-2020.docx")</f>
        <v/>
      </c>
      <c r="X143">
        <f>HYPERLINK("https://klasma.github.io/Logging_STROMSUND/tillsyn/A 31789-2020.docx")</f>
        <v/>
      </c>
      <c r="Y143">
        <f>HYPERLINK("https://klasma.github.io/Logging_STROMSUND/tillsynsmail/A 31789-2020.docx")</f>
        <v/>
      </c>
    </row>
    <row r="144" ht="15" customHeight="1">
      <c r="A144" t="inlineStr">
        <is>
          <t>A 40056-2020</t>
        </is>
      </c>
      <c r="B144" s="1" t="n">
        <v>44067</v>
      </c>
      <c r="C144" s="1" t="n">
        <v>45182</v>
      </c>
      <c r="D144" t="inlineStr">
        <is>
          <t>JÄMTLANDS LÄN</t>
        </is>
      </c>
      <c r="E144" t="inlineStr">
        <is>
          <t>BRÄCKE</t>
        </is>
      </c>
      <c r="G144" t="n">
        <v>20.8</v>
      </c>
      <c r="H144" t="n">
        <v>2</v>
      </c>
      <c r="I144" t="n">
        <v>3</v>
      </c>
      <c r="J144" t="n">
        <v>5</v>
      </c>
      <c r="K144" t="n">
        <v>3</v>
      </c>
      <c r="L144" t="n">
        <v>0</v>
      </c>
      <c r="M144" t="n">
        <v>0</v>
      </c>
      <c r="N144" t="n">
        <v>0</v>
      </c>
      <c r="O144" t="n">
        <v>8</v>
      </c>
      <c r="P144" t="n">
        <v>3</v>
      </c>
      <c r="Q144" t="n">
        <v>11</v>
      </c>
      <c r="R144" s="2" t="inlineStr">
        <is>
          <t>Doftticka
Knärot
Läderlappslav
Garnlav
Lunglav
Skrovellav
Småflikig brosklav
Vedtrappmossa
Bårdlav
Gytterlav
Stuplav</t>
        </is>
      </c>
      <c r="S144">
        <f>HYPERLINK("https://klasma.github.io/Logging_BRACKE/artfynd/A 40056-2020.xlsx")</f>
        <v/>
      </c>
      <c r="T144">
        <f>HYPERLINK("https://klasma.github.io/Logging_BRACKE/kartor/A 40056-2020.png")</f>
        <v/>
      </c>
      <c r="U144">
        <f>HYPERLINK("https://klasma.github.io/Logging_BRACKE/knärot/A 40056-2020.png")</f>
        <v/>
      </c>
      <c r="V144">
        <f>HYPERLINK("https://klasma.github.io/Logging_BRACKE/klagomål/A 40056-2020.docx")</f>
        <v/>
      </c>
      <c r="W144">
        <f>HYPERLINK("https://klasma.github.io/Logging_BRACKE/klagomålsmail/A 40056-2020.docx")</f>
        <v/>
      </c>
      <c r="X144">
        <f>HYPERLINK("https://klasma.github.io/Logging_BRACKE/tillsyn/A 40056-2020.docx")</f>
        <v/>
      </c>
      <c r="Y144">
        <f>HYPERLINK("https://klasma.github.io/Logging_BRACKE/tillsynsmail/A 40056-2020.docx")</f>
        <v/>
      </c>
    </row>
    <row r="145" ht="15" customHeight="1">
      <c r="A145" t="inlineStr">
        <is>
          <t>A 45664-2020</t>
        </is>
      </c>
      <c r="B145" s="1" t="n">
        <v>44090</v>
      </c>
      <c r="C145" s="1" t="n">
        <v>45182</v>
      </c>
      <c r="D145" t="inlineStr">
        <is>
          <t>JÄMTLANDS LÄN</t>
        </is>
      </c>
      <c r="E145" t="inlineStr">
        <is>
          <t>STRÖMSUND</t>
        </is>
      </c>
      <c r="F145" t="inlineStr">
        <is>
          <t>Holmen skog AB</t>
        </is>
      </c>
      <c r="G145" t="n">
        <v>28.3</v>
      </c>
      <c r="H145" t="n">
        <v>0</v>
      </c>
      <c r="I145" t="n">
        <v>1</v>
      </c>
      <c r="J145" t="n">
        <v>9</v>
      </c>
      <c r="K145" t="n">
        <v>1</v>
      </c>
      <c r="L145" t="n">
        <v>0</v>
      </c>
      <c r="M145" t="n">
        <v>0</v>
      </c>
      <c r="N145" t="n">
        <v>0</v>
      </c>
      <c r="O145" t="n">
        <v>10</v>
      </c>
      <c r="P145" t="n">
        <v>1</v>
      </c>
      <c r="Q145" t="n">
        <v>11</v>
      </c>
      <c r="R145" s="2" t="inlineStr">
        <is>
          <t>Ostticka
Doftskinn
Garnlav
Granticka
Gränsticka
Harticka
Lunglav
Rosenticka
Skrovellav
Ullticka
Stuplav</t>
        </is>
      </c>
      <c r="S145">
        <f>HYPERLINK("https://klasma.github.io/Logging_STROMSUND/artfynd/A 45664-2020.xlsx")</f>
        <v/>
      </c>
      <c r="T145">
        <f>HYPERLINK("https://klasma.github.io/Logging_STROMSUND/kartor/A 45664-2020.png")</f>
        <v/>
      </c>
      <c r="V145">
        <f>HYPERLINK("https://klasma.github.io/Logging_STROMSUND/klagomål/A 45664-2020.docx")</f>
        <v/>
      </c>
      <c r="W145">
        <f>HYPERLINK("https://klasma.github.io/Logging_STROMSUND/klagomålsmail/A 45664-2020.docx")</f>
        <v/>
      </c>
      <c r="X145">
        <f>HYPERLINK("https://klasma.github.io/Logging_STROMSUND/tillsyn/A 45664-2020.docx")</f>
        <v/>
      </c>
      <c r="Y145">
        <f>HYPERLINK("https://klasma.github.io/Logging_STROMSUND/tillsynsmail/A 45664-2020.docx")</f>
        <v/>
      </c>
    </row>
    <row r="146" ht="15" customHeight="1">
      <c r="A146" t="inlineStr">
        <is>
          <t>A 14188-2021</t>
        </is>
      </c>
      <c r="B146" s="1" t="n">
        <v>44278</v>
      </c>
      <c r="C146" s="1" t="n">
        <v>45182</v>
      </c>
      <c r="D146" t="inlineStr">
        <is>
          <t>JÄMTLANDS LÄN</t>
        </is>
      </c>
      <c r="E146" t="inlineStr">
        <is>
          <t>ÅRE</t>
        </is>
      </c>
      <c r="G146" t="n">
        <v>17.8</v>
      </c>
      <c r="H146" t="n">
        <v>4</v>
      </c>
      <c r="I146" t="n">
        <v>1</v>
      </c>
      <c r="J146" t="n">
        <v>9</v>
      </c>
      <c r="K146" t="n">
        <v>1</v>
      </c>
      <c r="L146" t="n">
        <v>0</v>
      </c>
      <c r="M146" t="n">
        <v>0</v>
      </c>
      <c r="N146" t="n">
        <v>0</v>
      </c>
      <c r="O146" t="n">
        <v>10</v>
      </c>
      <c r="P146" t="n">
        <v>1</v>
      </c>
      <c r="Q146" t="n">
        <v>11</v>
      </c>
      <c r="R146" s="2" t="inlineStr">
        <is>
          <t>Rynkskinn
Garnlav
Granticka
Harticka
Järpe
Spillkråka
Talltita
Tretåig hackspett
Vedtrappmossa
Vitgrynig nållav
Stuplav</t>
        </is>
      </c>
      <c r="S146">
        <f>HYPERLINK("https://klasma.github.io/Logging_ARE/artfynd/A 14188-2021.xlsx")</f>
        <v/>
      </c>
      <c r="T146">
        <f>HYPERLINK("https://klasma.github.io/Logging_ARE/kartor/A 14188-2021.png")</f>
        <v/>
      </c>
      <c r="V146">
        <f>HYPERLINK("https://klasma.github.io/Logging_ARE/klagomål/A 14188-2021.docx")</f>
        <v/>
      </c>
      <c r="W146">
        <f>HYPERLINK("https://klasma.github.io/Logging_ARE/klagomålsmail/A 14188-2021.docx")</f>
        <v/>
      </c>
      <c r="X146">
        <f>HYPERLINK("https://klasma.github.io/Logging_ARE/tillsyn/A 14188-2021.docx")</f>
        <v/>
      </c>
      <c r="Y146">
        <f>HYPERLINK("https://klasma.github.io/Logging_ARE/tillsynsmail/A 14188-2021.docx")</f>
        <v/>
      </c>
    </row>
    <row r="147" ht="15" customHeight="1">
      <c r="A147" t="inlineStr">
        <is>
          <t>A 28713-2021</t>
        </is>
      </c>
      <c r="B147" s="1" t="n">
        <v>44357</v>
      </c>
      <c r="C147" s="1" t="n">
        <v>45182</v>
      </c>
      <c r="D147" t="inlineStr">
        <is>
          <t>JÄMTLANDS LÄN</t>
        </is>
      </c>
      <c r="E147" t="inlineStr">
        <is>
          <t>HÄRJEDALEN</t>
        </is>
      </c>
      <c r="G147" t="n">
        <v>17.3</v>
      </c>
      <c r="H147" t="n">
        <v>1</v>
      </c>
      <c r="I147" t="n">
        <v>1</v>
      </c>
      <c r="J147" t="n">
        <v>9</v>
      </c>
      <c r="K147" t="n">
        <v>1</v>
      </c>
      <c r="L147" t="n">
        <v>0</v>
      </c>
      <c r="M147" t="n">
        <v>0</v>
      </c>
      <c r="N147" t="n">
        <v>0</v>
      </c>
      <c r="O147" t="n">
        <v>10</v>
      </c>
      <c r="P147" t="n">
        <v>1</v>
      </c>
      <c r="Q147" t="n">
        <v>11</v>
      </c>
      <c r="R147" s="2" t="inlineStr">
        <is>
          <t>Sprickporing
Brunpudrad nållav
Doftskinn
Gammelgransskål
Garnlav
Granticka
Knottrig blåslav
Tretåig hackspett
Ullticka
Vitgrynig nållav
Gytterlav</t>
        </is>
      </c>
      <c r="S147">
        <f>HYPERLINK("https://klasma.github.io/Logging_HARJEDALEN/artfynd/A 28713-2021.xlsx")</f>
        <v/>
      </c>
      <c r="T147">
        <f>HYPERLINK("https://klasma.github.io/Logging_HARJEDALEN/kartor/A 28713-2021.png")</f>
        <v/>
      </c>
      <c r="V147">
        <f>HYPERLINK("https://klasma.github.io/Logging_HARJEDALEN/klagomål/A 28713-2021.docx")</f>
        <v/>
      </c>
      <c r="W147">
        <f>HYPERLINK("https://klasma.github.io/Logging_HARJEDALEN/klagomålsmail/A 28713-2021.docx")</f>
        <v/>
      </c>
      <c r="X147">
        <f>HYPERLINK("https://klasma.github.io/Logging_HARJEDALEN/tillsyn/A 28713-2021.docx")</f>
        <v/>
      </c>
      <c r="Y147">
        <f>HYPERLINK("https://klasma.github.io/Logging_HARJEDALEN/tillsynsmail/A 28713-2021.docx")</f>
        <v/>
      </c>
    </row>
    <row r="148" ht="15" customHeight="1">
      <c r="A148" t="inlineStr">
        <is>
          <t>A 28971-2021</t>
        </is>
      </c>
      <c r="B148" s="1" t="n">
        <v>44358</v>
      </c>
      <c r="C148" s="1" t="n">
        <v>45182</v>
      </c>
      <c r="D148" t="inlineStr">
        <is>
          <t>JÄMTLANDS LÄN</t>
        </is>
      </c>
      <c r="E148" t="inlineStr">
        <is>
          <t>KROKOM</t>
        </is>
      </c>
      <c r="G148" t="n">
        <v>5.7</v>
      </c>
      <c r="H148" t="n">
        <v>1</v>
      </c>
      <c r="I148" t="n">
        <v>1</v>
      </c>
      <c r="J148" t="n">
        <v>6</v>
      </c>
      <c r="K148" t="n">
        <v>4</v>
      </c>
      <c r="L148" t="n">
        <v>0</v>
      </c>
      <c r="M148" t="n">
        <v>0</v>
      </c>
      <c r="N148" t="n">
        <v>0</v>
      </c>
      <c r="O148" t="n">
        <v>10</v>
      </c>
      <c r="P148" t="n">
        <v>4</v>
      </c>
      <c r="Q148" t="n">
        <v>11</v>
      </c>
      <c r="R148" s="2" t="inlineStr">
        <is>
          <t>Doftticka
Kristallticka
Norsk näverlav
Rynkskinn
Gränsticka
Lunglav
Skrovellav
Solfjäderlav
Stjärntagging
Ullticka
Skruvkällmossa</t>
        </is>
      </c>
      <c r="S148">
        <f>HYPERLINK("https://klasma.github.io/Logging_KROKOM/artfynd/A 28971-2021.xlsx")</f>
        <v/>
      </c>
      <c r="T148">
        <f>HYPERLINK("https://klasma.github.io/Logging_KROKOM/kartor/A 28971-2021.png")</f>
        <v/>
      </c>
      <c r="V148">
        <f>HYPERLINK("https://klasma.github.io/Logging_KROKOM/klagomål/A 28971-2021.docx")</f>
        <v/>
      </c>
      <c r="W148">
        <f>HYPERLINK("https://klasma.github.io/Logging_KROKOM/klagomålsmail/A 28971-2021.docx")</f>
        <v/>
      </c>
      <c r="X148">
        <f>HYPERLINK("https://klasma.github.io/Logging_KROKOM/tillsyn/A 28971-2021.docx")</f>
        <v/>
      </c>
      <c r="Y148">
        <f>HYPERLINK("https://klasma.github.io/Logging_KROKOM/tillsynsmail/A 28971-2021.docx")</f>
        <v/>
      </c>
    </row>
    <row r="149" ht="15" customHeight="1">
      <c r="A149" t="inlineStr">
        <is>
          <t>A 33485-2021</t>
        </is>
      </c>
      <c r="B149" s="1" t="n">
        <v>44377</v>
      </c>
      <c r="C149" s="1" t="n">
        <v>45182</v>
      </c>
      <c r="D149" t="inlineStr">
        <is>
          <t>JÄMTLANDS LÄN</t>
        </is>
      </c>
      <c r="E149" t="inlineStr">
        <is>
          <t>KROKOM</t>
        </is>
      </c>
      <c r="G149" t="n">
        <v>7.4</v>
      </c>
      <c r="H149" t="n">
        <v>3</v>
      </c>
      <c r="I149" t="n">
        <v>1</v>
      </c>
      <c r="J149" t="n">
        <v>8</v>
      </c>
      <c r="K149" t="n">
        <v>2</v>
      </c>
      <c r="L149" t="n">
        <v>0</v>
      </c>
      <c r="M149" t="n">
        <v>0</v>
      </c>
      <c r="N149" t="n">
        <v>0</v>
      </c>
      <c r="O149" t="n">
        <v>10</v>
      </c>
      <c r="P149" t="n">
        <v>2</v>
      </c>
      <c r="Q149" t="n">
        <v>11</v>
      </c>
      <c r="R149" s="2" t="inlineStr">
        <is>
          <t>Grantickeporing
Knärot
Garnlav
Granticka
Gränsticka
Spillkråka
Tretåig hackspett
Ullticka
Vitgrynig nållav
Äggvaxskivling
Korallblylav</t>
        </is>
      </c>
      <c r="S149">
        <f>HYPERLINK("https://klasma.github.io/Logging_KROKOM/artfynd/A 33485-2021.xlsx")</f>
        <v/>
      </c>
      <c r="T149">
        <f>HYPERLINK("https://klasma.github.io/Logging_KROKOM/kartor/A 33485-2021.png")</f>
        <v/>
      </c>
      <c r="U149">
        <f>HYPERLINK("https://klasma.github.io/Logging_KROKOM/knärot/A 33485-2021.png")</f>
        <v/>
      </c>
      <c r="V149">
        <f>HYPERLINK("https://klasma.github.io/Logging_KROKOM/klagomål/A 33485-2021.docx")</f>
        <v/>
      </c>
      <c r="W149">
        <f>HYPERLINK("https://klasma.github.io/Logging_KROKOM/klagomålsmail/A 33485-2021.docx")</f>
        <v/>
      </c>
      <c r="X149">
        <f>HYPERLINK("https://klasma.github.io/Logging_KROKOM/tillsyn/A 33485-2021.docx")</f>
        <v/>
      </c>
      <c r="Y149">
        <f>HYPERLINK("https://klasma.github.io/Logging_KROKOM/tillsynsmail/A 33485-2021.docx")</f>
        <v/>
      </c>
    </row>
    <row r="150" ht="15" customHeight="1">
      <c r="A150" t="inlineStr">
        <is>
          <t>A 38354-2021</t>
        </is>
      </c>
      <c r="B150" s="1" t="n">
        <v>44406</v>
      </c>
      <c r="C150" s="1" t="n">
        <v>45182</v>
      </c>
      <c r="D150" t="inlineStr">
        <is>
          <t>JÄMTLANDS LÄN</t>
        </is>
      </c>
      <c r="E150" t="inlineStr">
        <is>
          <t>HÄRJEDALEN</t>
        </is>
      </c>
      <c r="G150" t="n">
        <v>15.8</v>
      </c>
      <c r="H150" t="n">
        <v>1</v>
      </c>
      <c r="I150" t="n">
        <v>3</v>
      </c>
      <c r="J150" t="n">
        <v>8</v>
      </c>
      <c r="K150" t="n">
        <v>0</v>
      </c>
      <c r="L150" t="n">
        <v>0</v>
      </c>
      <c r="M150" t="n">
        <v>0</v>
      </c>
      <c r="N150" t="n">
        <v>0</v>
      </c>
      <c r="O150" t="n">
        <v>8</v>
      </c>
      <c r="P150" t="n">
        <v>0</v>
      </c>
      <c r="Q150" t="n">
        <v>11</v>
      </c>
      <c r="R150" s="2" t="inlineStr">
        <is>
          <t>Blå taggsvamp
Blågrå svartspik
Dvärgbägarlav
Mörk kolflarnlav
Orange taggsvamp
Varglav
Vedflamlav
Vedskivlav
Dropptaggsvamp
Skarp dropptaggsvamp
Skinnlav</t>
        </is>
      </c>
      <c r="S150">
        <f>HYPERLINK("https://klasma.github.io/Logging_HARJEDALEN/artfynd/A 38354-2021.xlsx")</f>
        <v/>
      </c>
      <c r="T150">
        <f>HYPERLINK("https://klasma.github.io/Logging_HARJEDALEN/kartor/A 38354-2021.png")</f>
        <v/>
      </c>
      <c r="V150">
        <f>HYPERLINK("https://klasma.github.io/Logging_HARJEDALEN/klagomål/A 38354-2021.docx")</f>
        <v/>
      </c>
      <c r="W150">
        <f>HYPERLINK("https://klasma.github.io/Logging_HARJEDALEN/klagomålsmail/A 38354-2021.docx")</f>
        <v/>
      </c>
      <c r="X150">
        <f>HYPERLINK("https://klasma.github.io/Logging_HARJEDALEN/tillsyn/A 38354-2021.docx")</f>
        <v/>
      </c>
      <c r="Y150">
        <f>HYPERLINK("https://klasma.github.io/Logging_HARJEDALEN/tillsynsmail/A 38354-2021.docx")</f>
        <v/>
      </c>
    </row>
    <row r="151" ht="15" customHeight="1">
      <c r="A151" t="inlineStr">
        <is>
          <t>A 55352-2021</t>
        </is>
      </c>
      <c r="B151" s="1" t="n">
        <v>44475</v>
      </c>
      <c r="C151" s="1" t="n">
        <v>45182</v>
      </c>
      <c r="D151" t="inlineStr">
        <is>
          <t>JÄMTLANDS LÄN</t>
        </is>
      </c>
      <c r="E151" t="inlineStr">
        <is>
          <t>KROKOM</t>
        </is>
      </c>
      <c r="G151" t="n">
        <v>1.5</v>
      </c>
      <c r="H151" t="n">
        <v>3</v>
      </c>
      <c r="I151" t="n">
        <v>1</v>
      </c>
      <c r="J151" t="n">
        <v>8</v>
      </c>
      <c r="K151" t="n">
        <v>2</v>
      </c>
      <c r="L151" t="n">
        <v>0</v>
      </c>
      <c r="M151" t="n">
        <v>0</v>
      </c>
      <c r="N151" t="n">
        <v>0</v>
      </c>
      <c r="O151" t="n">
        <v>10</v>
      </c>
      <c r="P151" t="n">
        <v>2</v>
      </c>
      <c r="Q151" t="n">
        <v>11</v>
      </c>
      <c r="R151" s="2" t="inlineStr">
        <is>
          <t>Grantickeporing
Knärot
Garnlav
Granticka
Gränsticka
Spillkråka
Tretåig hackspett
Ullticka
Vitgrynig nållav
Äggvaxskivling
Korallblylav</t>
        </is>
      </c>
      <c r="S151">
        <f>HYPERLINK("https://klasma.github.io/Logging_KROKOM/artfynd/A 55352-2021.xlsx")</f>
        <v/>
      </c>
      <c r="T151">
        <f>HYPERLINK("https://klasma.github.io/Logging_KROKOM/kartor/A 55352-2021.png")</f>
        <v/>
      </c>
      <c r="U151">
        <f>HYPERLINK("https://klasma.github.io/Logging_KROKOM/knärot/A 55352-2021.png")</f>
        <v/>
      </c>
      <c r="V151">
        <f>HYPERLINK("https://klasma.github.io/Logging_KROKOM/klagomål/A 55352-2021.docx")</f>
        <v/>
      </c>
      <c r="W151">
        <f>HYPERLINK("https://klasma.github.io/Logging_KROKOM/klagomålsmail/A 55352-2021.docx")</f>
        <v/>
      </c>
      <c r="X151">
        <f>HYPERLINK("https://klasma.github.io/Logging_KROKOM/tillsyn/A 55352-2021.docx")</f>
        <v/>
      </c>
      <c r="Y151">
        <f>HYPERLINK("https://klasma.github.io/Logging_KROKOM/tillsynsmail/A 55352-2021.docx")</f>
        <v/>
      </c>
    </row>
    <row r="152" ht="15" customHeight="1">
      <c r="A152" t="inlineStr">
        <is>
          <t>A 58223-2021</t>
        </is>
      </c>
      <c r="B152" s="1" t="n">
        <v>44487</v>
      </c>
      <c r="C152" s="1" t="n">
        <v>45182</v>
      </c>
      <c r="D152" t="inlineStr">
        <is>
          <t>JÄMTLANDS LÄN</t>
        </is>
      </c>
      <c r="E152" t="inlineStr">
        <is>
          <t>ÅRE</t>
        </is>
      </c>
      <c r="G152" t="n">
        <v>34.8</v>
      </c>
      <c r="H152" t="n">
        <v>0</v>
      </c>
      <c r="I152" t="n">
        <v>1</v>
      </c>
      <c r="J152" t="n">
        <v>7</v>
      </c>
      <c r="K152" t="n">
        <v>3</v>
      </c>
      <c r="L152" t="n">
        <v>0</v>
      </c>
      <c r="M152" t="n">
        <v>0</v>
      </c>
      <c r="N152" t="n">
        <v>0</v>
      </c>
      <c r="O152" t="n">
        <v>10</v>
      </c>
      <c r="P152" t="n">
        <v>3</v>
      </c>
      <c r="Q152" t="n">
        <v>11</v>
      </c>
      <c r="R152" s="2" t="inlineStr">
        <is>
          <t>Cliostomum piceicola
Liten sotlav
Norsk näverlav
Brunpudrad nållav
Doftskinn
Garnlav
Granticka
Kavernularia
Rödbrun blekspik
Skorpgelélav
Stuplav</t>
        </is>
      </c>
      <c r="S152">
        <f>HYPERLINK("https://klasma.github.io/Logging_ARE/artfynd/A 58223-2021.xlsx")</f>
        <v/>
      </c>
      <c r="T152">
        <f>HYPERLINK("https://klasma.github.io/Logging_ARE/kartor/A 58223-2021.png")</f>
        <v/>
      </c>
      <c r="V152">
        <f>HYPERLINK("https://klasma.github.io/Logging_ARE/klagomål/A 58223-2021.docx")</f>
        <v/>
      </c>
      <c r="W152">
        <f>HYPERLINK("https://klasma.github.io/Logging_ARE/klagomålsmail/A 58223-2021.docx")</f>
        <v/>
      </c>
      <c r="X152">
        <f>HYPERLINK("https://klasma.github.io/Logging_ARE/tillsyn/A 58223-2021.docx")</f>
        <v/>
      </c>
      <c r="Y152">
        <f>HYPERLINK("https://klasma.github.io/Logging_ARE/tillsynsmail/A 58223-2021.docx")</f>
        <v/>
      </c>
    </row>
    <row r="153" ht="15" customHeight="1">
      <c r="A153" t="inlineStr">
        <is>
          <t>A 58278-2021</t>
        </is>
      </c>
      <c r="B153" s="1" t="n">
        <v>44487</v>
      </c>
      <c r="C153" s="1" t="n">
        <v>45182</v>
      </c>
      <c r="D153" t="inlineStr">
        <is>
          <t>JÄMTLANDS LÄN</t>
        </is>
      </c>
      <c r="E153" t="inlineStr">
        <is>
          <t>HÄRJEDALEN</t>
        </is>
      </c>
      <c r="F153" t="inlineStr">
        <is>
          <t>SCA</t>
        </is>
      </c>
      <c r="G153" t="n">
        <v>33.9</v>
      </c>
      <c r="H153" t="n">
        <v>1</v>
      </c>
      <c r="I153" t="n">
        <v>3</v>
      </c>
      <c r="J153" t="n">
        <v>4</v>
      </c>
      <c r="K153" t="n">
        <v>3</v>
      </c>
      <c r="L153" t="n">
        <v>1</v>
      </c>
      <c r="M153" t="n">
        <v>0</v>
      </c>
      <c r="N153" t="n">
        <v>0</v>
      </c>
      <c r="O153" t="n">
        <v>8</v>
      </c>
      <c r="P153" t="n">
        <v>4</v>
      </c>
      <c r="Q153" t="n">
        <v>11</v>
      </c>
      <c r="R153" s="2" t="inlineStr">
        <is>
          <t>Mosippa
Lammticka
Spadskinn
Tallgråticka
Blå taggsvamp
Motaggsvamp
Skrovlig taggsvamp
Talltaggsvamp
Dropptaggsvamp
Skarp dropptaggsvamp
Tallfingersvamp</t>
        </is>
      </c>
      <c r="S153">
        <f>HYPERLINK("https://klasma.github.io/Logging_HARJEDALEN/artfynd/A 58278-2021.xlsx")</f>
        <v/>
      </c>
      <c r="T153">
        <f>HYPERLINK("https://klasma.github.io/Logging_HARJEDALEN/kartor/A 58278-2021.png")</f>
        <v/>
      </c>
      <c r="V153">
        <f>HYPERLINK("https://klasma.github.io/Logging_HARJEDALEN/klagomål/A 58278-2021.docx")</f>
        <v/>
      </c>
      <c r="W153">
        <f>HYPERLINK("https://klasma.github.io/Logging_HARJEDALEN/klagomålsmail/A 58278-2021.docx")</f>
        <v/>
      </c>
      <c r="X153">
        <f>HYPERLINK("https://klasma.github.io/Logging_HARJEDALEN/tillsyn/A 58278-2021.docx")</f>
        <v/>
      </c>
      <c r="Y153">
        <f>HYPERLINK("https://klasma.github.io/Logging_HARJEDALEN/tillsynsmail/A 58278-2021.docx")</f>
        <v/>
      </c>
    </row>
    <row r="154" ht="15" customHeight="1">
      <c r="A154" t="inlineStr">
        <is>
          <t>A 2145-2022</t>
        </is>
      </c>
      <c r="B154" s="1" t="n">
        <v>44578</v>
      </c>
      <c r="C154" s="1" t="n">
        <v>45182</v>
      </c>
      <c r="D154" t="inlineStr">
        <is>
          <t>JÄMTLANDS LÄN</t>
        </is>
      </c>
      <c r="E154" t="inlineStr">
        <is>
          <t>BERG</t>
        </is>
      </c>
      <c r="G154" t="n">
        <v>10.6</v>
      </c>
      <c r="H154" t="n">
        <v>1</v>
      </c>
      <c r="I154" t="n">
        <v>4</v>
      </c>
      <c r="J154" t="n">
        <v>6</v>
      </c>
      <c r="K154" t="n">
        <v>1</v>
      </c>
      <c r="L154" t="n">
        <v>0</v>
      </c>
      <c r="M154" t="n">
        <v>0</v>
      </c>
      <c r="N154" t="n">
        <v>0</v>
      </c>
      <c r="O154" t="n">
        <v>7</v>
      </c>
      <c r="P154" t="n">
        <v>1</v>
      </c>
      <c r="Q154" t="n">
        <v>11</v>
      </c>
      <c r="R154" s="2" t="inlineStr">
        <is>
          <t>Ulltickeporing
Doftskinn
Garnlav
Lunglav
Rosenticka
Ullticka
Vitgrynig nållav
Mörk husmossa
Skinnlav
Skogshakmossa
Spindelblomster</t>
        </is>
      </c>
      <c r="S154">
        <f>HYPERLINK("https://klasma.github.io/Logging_BERG/artfynd/A 2145-2022.xlsx")</f>
        <v/>
      </c>
      <c r="T154">
        <f>HYPERLINK("https://klasma.github.io/Logging_BERG/kartor/A 2145-2022.png")</f>
        <v/>
      </c>
      <c r="V154">
        <f>HYPERLINK("https://klasma.github.io/Logging_BERG/klagomål/A 2145-2022.docx")</f>
        <v/>
      </c>
      <c r="W154">
        <f>HYPERLINK("https://klasma.github.io/Logging_BERG/klagomålsmail/A 2145-2022.docx")</f>
        <v/>
      </c>
      <c r="X154">
        <f>HYPERLINK("https://klasma.github.io/Logging_BERG/tillsyn/A 2145-2022.docx")</f>
        <v/>
      </c>
      <c r="Y154">
        <f>HYPERLINK("https://klasma.github.io/Logging_BERG/tillsynsmail/A 2145-2022.docx")</f>
        <v/>
      </c>
    </row>
    <row r="155" ht="15" customHeight="1">
      <c r="A155" t="inlineStr">
        <is>
          <t>A 12943-2022</t>
        </is>
      </c>
      <c r="B155" s="1" t="n">
        <v>44642</v>
      </c>
      <c r="C155" s="1" t="n">
        <v>45182</v>
      </c>
      <c r="D155" t="inlineStr">
        <is>
          <t>JÄMTLANDS LÄN</t>
        </is>
      </c>
      <c r="E155" t="inlineStr">
        <is>
          <t>ÖSTERSUND</t>
        </is>
      </c>
      <c r="G155" t="n">
        <v>10</v>
      </c>
      <c r="H155" t="n">
        <v>4</v>
      </c>
      <c r="I155" t="n">
        <v>6</v>
      </c>
      <c r="J155" t="n">
        <v>3</v>
      </c>
      <c r="K155" t="n">
        <v>1</v>
      </c>
      <c r="L155" t="n">
        <v>0</v>
      </c>
      <c r="M155" t="n">
        <v>0</v>
      </c>
      <c r="N155" t="n">
        <v>0</v>
      </c>
      <c r="O155" t="n">
        <v>4</v>
      </c>
      <c r="P155" t="n">
        <v>1</v>
      </c>
      <c r="Q155" t="n">
        <v>11</v>
      </c>
      <c r="R155" s="2" t="inlineStr">
        <is>
          <t>Läderdoftande fingersvamp
Dofttaggsvamp
Orange taggsvamp
Talltita
Diskvaxskivling
Guckusko
Tibast
Tvåblad
Vårärt
Zontaggsvamp
Blåsippa</t>
        </is>
      </c>
      <c r="S155">
        <f>HYPERLINK("https://klasma.github.io/Logging_OSTERSUND/artfynd/A 12943-2022.xlsx")</f>
        <v/>
      </c>
      <c r="T155">
        <f>HYPERLINK("https://klasma.github.io/Logging_OSTERSUND/kartor/A 12943-2022.png")</f>
        <v/>
      </c>
      <c r="V155">
        <f>HYPERLINK("https://klasma.github.io/Logging_OSTERSUND/klagomål/A 12943-2022.docx")</f>
        <v/>
      </c>
      <c r="W155">
        <f>HYPERLINK("https://klasma.github.io/Logging_OSTERSUND/klagomålsmail/A 12943-2022.docx")</f>
        <v/>
      </c>
      <c r="X155">
        <f>HYPERLINK("https://klasma.github.io/Logging_OSTERSUND/tillsyn/A 12943-2022.docx")</f>
        <v/>
      </c>
      <c r="Y155">
        <f>HYPERLINK("https://klasma.github.io/Logging_OSTERSUND/tillsynsmail/A 12943-2022.docx")</f>
        <v/>
      </c>
    </row>
    <row r="156" ht="15" customHeight="1">
      <c r="A156" t="inlineStr">
        <is>
          <t>A 18916-2022</t>
        </is>
      </c>
      <c r="B156" s="1" t="n">
        <v>44690</v>
      </c>
      <c r="C156" s="1" t="n">
        <v>45182</v>
      </c>
      <c r="D156" t="inlineStr">
        <is>
          <t>JÄMTLANDS LÄN</t>
        </is>
      </c>
      <c r="E156" t="inlineStr">
        <is>
          <t>HÄRJEDALEN</t>
        </is>
      </c>
      <c r="F156" t="inlineStr">
        <is>
          <t>Holmen skog AB</t>
        </is>
      </c>
      <c r="G156" t="n">
        <v>61.8</v>
      </c>
      <c r="H156" t="n">
        <v>3</v>
      </c>
      <c r="I156" t="n">
        <v>4</v>
      </c>
      <c r="J156" t="n">
        <v>5</v>
      </c>
      <c r="K156" t="n">
        <v>2</v>
      </c>
      <c r="L156" t="n">
        <v>0</v>
      </c>
      <c r="M156" t="n">
        <v>0</v>
      </c>
      <c r="N156" t="n">
        <v>0</v>
      </c>
      <c r="O156" t="n">
        <v>7</v>
      </c>
      <c r="P156" t="n">
        <v>2</v>
      </c>
      <c r="Q156" t="n">
        <v>11</v>
      </c>
      <c r="R156" s="2" t="inlineStr">
        <is>
          <t>Doftticka
Knärot
Blå taggsvamp
Kolflarnlav
Motaggsvamp
Orange taggsvamp
Skrovlig taggsvamp
Dropptaggsvamp
Plattlummer
Rödgul trumpetsvamp
Skarp dropptaggsvamp</t>
        </is>
      </c>
      <c r="S156">
        <f>HYPERLINK("https://klasma.github.io/Logging_HARJEDALEN/artfynd/A 18916-2022.xlsx")</f>
        <v/>
      </c>
      <c r="T156">
        <f>HYPERLINK("https://klasma.github.io/Logging_HARJEDALEN/kartor/A 18916-2022.png")</f>
        <v/>
      </c>
      <c r="U156">
        <f>HYPERLINK("https://klasma.github.io/Logging_HARJEDALEN/knärot/A 18916-2022.png")</f>
        <v/>
      </c>
      <c r="V156">
        <f>HYPERLINK("https://klasma.github.io/Logging_HARJEDALEN/klagomål/A 18916-2022.docx")</f>
        <v/>
      </c>
      <c r="W156">
        <f>HYPERLINK("https://klasma.github.io/Logging_HARJEDALEN/klagomålsmail/A 18916-2022.docx")</f>
        <v/>
      </c>
      <c r="X156">
        <f>HYPERLINK("https://klasma.github.io/Logging_HARJEDALEN/tillsyn/A 18916-2022.docx")</f>
        <v/>
      </c>
      <c r="Y156">
        <f>HYPERLINK("https://klasma.github.io/Logging_HARJEDALEN/tillsynsmail/A 18916-2022.docx")</f>
        <v/>
      </c>
    </row>
    <row r="157" ht="15" customHeight="1">
      <c r="A157" t="inlineStr">
        <is>
          <t>A 26140-2022</t>
        </is>
      </c>
      <c r="B157" s="1" t="n">
        <v>44734</v>
      </c>
      <c r="C157" s="1" t="n">
        <v>45182</v>
      </c>
      <c r="D157" t="inlineStr">
        <is>
          <t>JÄMTLANDS LÄN</t>
        </is>
      </c>
      <c r="E157" t="inlineStr">
        <is>
          <t>STRÖMSUND</t>
        </is>
      </c>
      <c r="F157" t="inlineStr">
        <is>
          <t>SCA</t>
        </is>
      </c>
      <c r="G157" t="n">
        <v>7.9</v>
      </c>
      <c r="H157" t="n">
        <v>3</v>
      </c>
      <c r="I157" t="n">
        <v>5</v>
      </c>
      <c r="J157" t="n">
        <v>5</v>
      </c>
      <c r="K157" t="n">
        <v>0</v>
      </c>
      <c r="L157" t="n">
        <v>0</v>
      </c>
      <c r="M157" t="n">
        <v>0</v>
      </c>
      <c r="N157" t="n">
        <v>0</v>
      </c>
      <c r="O157" t="n">
        <v>5</v>
      </c>
      <c r="P157" t="n">
        <v>0</v>
      </c>
      <c r="Q157" t="n">
        <v>11</v>
      </c>
      <c r="R157" s="2" t="inlineStr">
        <is>
          <t>Garnlav
Granticka
Lunglav
Skrovellav
Tretåig hackspett
Gulnål
Luddlav
Mörk husmossa
Spindelblomster
Stuplav
Revlummer</t>
        </is>
      </c>
      <c r="S157">
        <f>HYPERLINK("https://klasma.github.io/Logging_STROMSUND/artfynd/A 26140-2022.xlsx")</f>
        <v/>
      </c>
      <c r="T157">
        <f>HYPERLINK("https://klasma.github.io/Logging_STROMSUND/kartor/A 26140-2022.png")</f>
        <v/>
      </c>
      <c r="V157">
        <f>HYPERLINK("https://klasma.github.io/Logging_STROMSUND/klagomål/A 26140-2022.docx")</f>
        <v/>
      </c>
      <c r="W157">
        <f>HYPERLINK("https://klasma.github.io/Logging_STROMSUND/klagomålsmail/A 26140-2022.docx")</f>
        <v/>
      </c>
      <c r="X157">
        <f>HYPERLINK("https://klasma.github.io/Logging_STROMSUND/tillsyn/A 26140-2022.docx")</f>
        <v/>
      </c>
      <c r="Y157">
        <f>HYPERLINK("https://klasma.github.io/Logging_STROMSUND/tillsynsmail/A 26140-2022.docx")</f>
        <v/>
      </c>
    </row>
    <row r="158" ht="15" customHeight="1">
      <c r="A158" t="inlineStr">
        <is>
          <t>A 31328-2022</t>
        </is>
      </c>
      <c r="B158" s="1" t="n">
        <v>44774</v>
      </c>
      <c r="C158" s="1" t="n">
        <v>45182</v>
      </c>
      <c r="D158" t="inlineStr">
        <is>
          <t>JÄMTLANDS LÄN</t>
        </is>
      </c>
      <c r="E158" t="inlineStr">
        <is>
          <t>HÄRJEDALEN</t>
        </is>
      </c>
      <c r="G158" t="n">
        <v>10.9</v>
      </c>
      <c r="H158" t="n">
        <v>1</v>
      </c>
      <c r="I158" t="n">
        <v>0</v>
      </c>
      <c r="J158" t="n">
        <v>11</v>
      </c>
      <c r="K158" t="n">
        <v>0</v>
      </c>
      <c r="L158" t="n">
        <v>0</v>
      </c>
      <c r="M158" t="n">
        <v>0</v>
      </c>
      <c r="N158" t="n">
        <v>0</v>
      </c>
      <c r="O158" t="n">
        <v>11</v>
      </c>
      <c r="P158" t="n">
        <v>0</v>
      </c>
      <c r="Q158" t="n">
        <v>11</v>
      </c>
      <c r="R158" s="2" t="inlineStr">
        <is>
          <t>Blanksvart spiklav
Gammelgransskål
Garnlav
Granticka
Halmgul örnlav
Harticka
Rödbrun blekspik
Tretåig hackspett
Ullticka
Vedskivlav
Vitgrynig nållav</t>
        </is>
      </c>
      <c r="S158">
        <f>HYPERLINK("https://klasma.github.io/Logging_HARJEDALEN/artfynd/A 31328-2022.xlsx")</f>
        <v/>
      </c>
      <c r="T158">
        <f>HYPERLINK("https://klasma.github.io/Logging_HARJEDALEN/kartor/A 31328-2022.png")</f>
        <v/>
      </c>
      <c r="V158">
        <f>HYPERLINK("https://klasma.github.io/Logging_HARJEDALEN/klagomål/A 31328-2022.docx")</f>
        <v/>
      </c>
      <c r="W158">
        <f>HYPERLINK("https://klasma.github.io/Logging_HARJEDALEN/klagomålsmail/A 31328-2022.docx")</f>
        <v/>
      </c>
      <c r="X158">
        <f>HYPERLINK("https://klasma.github.io/Logging_HARJEDALEN/tillsyn/A 31328-2022.docx")</f>
        <v/>
      </c>
      <c r="Y158">
        <f>HYPERLINK("https://klasma.github.io/Logging_HARJEDALEN/tillsynsmail/A 31328-2022.docx")</f>
        <v/>
      </c>
    </row>
    <row r="159" ht="15" customHeight="1">
      <c r="A159" t="inlineStr">
        <is>
          <t>A 31839-2022</t>
        </is>
      </c>
      <c r="B159" s="1" t="n">
        <v>44776</v>
      </c>
      <c r="C159" s="1" t="n">
        <v>45182</v>
      </c>
      <c r="D159" t="inlineStr">
        <is>
          <t>JÄMTLANDS LÄN</t>
        </is>
      </c>
      <c r="E159" t="inlineStr">
        <is>
          <t>RAGUNDA</t>
        </is>
      </c>
      <c r="F159" t="inlineStr">
        <is>
          <t>SCA</t>
        </is>
      </c>
      <c r="G159" t="n">
        <v>3.2</v>
      </c>
      <c r="H159" t="n">
        <v>3</v>
      </c>
      <c r="I159" t="n">
        <v>4</v>
      </c>
      <c r="J159" t="n">
        <v>5</v>
      </c>
      <c r="K159" t="n">
        <v>2</v>
      </c>
      <c r="L159" t="n">
        <v>0</v>
      </c>
      <c r="M159" t="n">
        <v>0</v>
      </c>
      <c r="N159" t="n">
        <v>0</v>
      </c>
      <c r="O159" t="n">
        <v>7</v>
      </c>
      <c r="P159" t="n">
        <v>2</v>
      </c>
      <c r="Q159" t="n">
        <v>11</v>
      </c>
      <c r="R159" s="2" t="inlineStr">
        <is>
          <t>Knärot
Smalskaftslav
Granticka
Rosenticka
Tretåig hackspett
Ullticka
Vitgrynig nållav
Grönkulla
Gulnål
Svavelriska
Vedticka</t>
        </is>
      </c>
      <c r="S159">
        <f>HYPERLINK("https://klasma.github.io/Logging_RAGUNDA/artfynd/A 31839-2022.xlsx")</f>
        <v/>
      </c>
      <c r="T159">
        <f>HYPERLINK("https://klasma.github.io/Logging_RAGUNDA/kartor/A 31839-2022.png")</f>
        <v/>
      </c>
      <c r="U159">
        <f>HYPERLINK("https://klasma.github.io/Logging_RAGUNDA/knärot/A 31839-2022.png")</f>
        <v/>
      </c>
      <c r="V159">
        <f>HYPERLINK("https://klasma.github.io/Logging_RAGUNDA/klagomål/A 31839-2022.docx")</f>
        <v/>
      </c>
      <c r="W159">
        <f>HYPERLINK("https://klasma.github.io/Logging_RAGUNDA/klagomålsmail/A 31839-2022.docx")</f>
        <v/>
      </c>
      <c r="X159">
        <f>HYPERLINK("https://klasma.github.io/Logging_RAGUNDA/tillsyn/A 31839-2022.docx")</f>
        <v/>
      </c>
      <c r="Y159">
        <f>HYPERLINK("https://klasma.github.io/Logging_RAGUNDA/tillsynsmail/A 31839-2022.docx")</f>
        <v/>
      </c>
    </row>
    <row r="160" ht="15" customHeight="1">
      <c r="A160" t="inlineStr">
        <is>
          <t>A 43194-2022</t>
        </is>
      </c>
      <c r="B160" s="1" t="n">
        <v>44834</v>
      </c>
      <c r="C160" s="1" t="n">
        <v>45182</v>
      </c>
      <c r="D160" t="inlineStr">
        <is>
          <t>JÄMTLANDS LÄN</t>
        </is>
      </c>
      <c r="E160" t="inlineStr">
        <is>
          <t>KROKOM</t>
        </is>
      </c>
      <c r="G160" t="n">
        <v>3.9</v>
      </c>
      <c r="H160" t="n">
        <v>3</v>
      </c>
      <c r="I160" t="n">
        <v>1</v>
      </c>
      <c r="J160" t="n">
        <v>8</v>
      </c>
      <c r="K160" t="n">
        <v>2</v>
      </c>
      <c r="L160" t="n">
        <v>0</v>
      </c>
      <c r="M160" t="n">
        <v>0</v>
      </c>
      <c r="N160" t="n">
        <v>0</v>
      </c>
      <c r="O160" t="n">
        <v>10</v>
      </c>
      <c r="P160" t="n">
        <v>2</v>
      </c>
      <c r="Q160" t="n">
        <v>11</v>
      </c>
      <c r="R160" s="2" t="inlineStr">
        <is>
          <t>Blackticka
Knärot
Garnlav
Granticka
Järpe
Liten svartspik
Lunglav
Tretåig hackspett
Ullticka
Vitgrynig nållav
Stuplav</t>
        </is>
      </c>
      <c r="S160">
        <f>HYPERLINK("https://klasma.github.io/Logging_KROKOM/artfynd/A 43194-2022.xlsx")</f>
        <v/>
      </c>
      <c r="T160">
        <f>HYPERLINK("https://klasma.github.io/Logging_KROKOM/kartor/A 43194-2022.png")</f>
        <v/>
      </c>
      <c r="U160">
        <f>HYPERLINK("https://klasma.github.io/Logging_KROKOM/knärot/A 43194-2022.png")</f>
        <v/>
      </c>
      <c r="V160">
        <f>HYPERLINK("https://klasma.github.io/Logging_KROKOM/klagomål/A 43194-2022.docx")</f>
        <v/>
      </c>
      <c r="W160">
        <f>HYPERLINK("https://klasma.github.io/Logging_KROKOM/klagomålsmail/A 43194-2022.docx")</f>
        <v/>
      </c>
      <c r="X160">
        <f>HYPERLINK("https://klasma.github.io/Logging_KROKOM/tillsyn/A 43194-2022.docx")</f>
        <v/>
      </c>
      <c r="Y160">
        <f>HYPERLINK("https://klasma.github.io/Logging_KROKOM/tillsynsmail/A 43194-2022.docx")</f>
        <v/>
      </c>
    </row>
    <row r="161" ht="15" customHeight="1">
      <c r="A161" t="inlineStr">
        <is>
          <t>A 46328-2022</t>
        </is>
      </c>
      <c r="B161" s="1" t="n">
        <v>44847</v>
      </c>
      <c r="C161" s="1" t="n">
        <v>45182</v>
      </c>
      <c r="D161" t="inlineStr">
        <is>
          <t>JÄMTLANDS LÄN</t>
        </is>
      </c>
      <c r="E161" t="inlineStr">
        <is>
          <t>BRÄCKE</t>
        </is>
      </c>
      <c r="F161" t="inlineStr">
        <is>
          <t>SCA</t>
        </is>
      </c>
      <c r="G161" t="n">
        <v>17.7</v>
      </c>
      <c r="H161" t="n">
        <v>2</v>
      </c>
      <c r="I161" t="n">
        <v>2</v>
      </c>
      <c r="J161" t="n">
        <v>8</v>
      </c>
      <c r="K161" t="n">
        <v>1</v>
      </c>
      <c r="L161" t="n">
        <v>0</v>
      </c>
      <c r="M161" t="n">
        <v>0</v>
      </c>
      <c r="N161" t="n">
        <v>0</v>
      </c>
      <c r="O161" t="n">
        <v>9</v>
      </c>
      <c r="P161" t="n">
        <v>1</v>
      </c>
      <c r="Q161" t="n">
        <v>11</v>
      </c>
      <c r="R161" s="2" t="inlineStr">
        <is>
          <t>Doftticka
Garnlav
Lunglav
Skrovellav
Tallticka
Tretåig hackspett
Ullticka
Vaddporing
Äggvaxskivling
Skarp dropptaggsvamp
Svavelriska</t>
        </is>
      </c>
      <c r="S161">
        <f>HYPERLINK("https://klasma.github.io/Logging_BRACKE/artfynd/A 46328-2022.xlsx")</f>
        <v/>
      </c>
      <c r="T161">
        <f>HYPERLINK("https://klasma.github.io/Logging_BRACKE/kartor/A 46328-2022.png")</f>
        <v/>
      </c>
      <c r="V161">
        <f>HYPERLINK("https://klasma.github.io/Logging_BRACKE/klagomål/A 46328-2022.docx")</f>
        <v/>
      </c>
      <c r="W161">
        <f>HYPERLINK("https://klasma.github.io/Logging_BRACKE/klagomålsmail/A 46328-2022.docx")</f>
        <v/>
      </c>
      <c r="X161">
        <f>HYPERLINK("https://klasma.github.io/Logging_BRACKE/tillsyn/A 46328-2022.docx")</f>
        <v/>
      </c>
      <c r="Y161">
        <f>HYPERLINK("https://klasma.github.io/Logging_BRACKE/tillsynsmail/A 46328-2022.docx")</f>
        <v/>
      </c>
    </row>
    <row r="162" ht="15" customHeight="1">
      <c r="A162" t="inlineStr">
        <is>
          <t>A 56241-2022</t>
        </is>
      </c>
      <c r="B162" s="1" t="n">
        <v>44890</v>
      </c>
      <c r="C162" s="1" t="n">
        <v>45182</v>
      </c>
      <c r="D162" t="inlineStr">
        <is>
          <t>JÄMTLANDS LÄN</t>
        </is>
      </c>
      <c r="E162" t="inlineStr">
        <is>
          <t>ÖSTERSUND</t>
        </is>
      </c>
      <c r="F162" t="inlineStr">
        <is>
          <t>Övriga Aktiebolag</t>
        </is>
      </c>
      <c r="G162" t="n">
        <v>6.4</v>
      </c>
      <c r="H162" t="n">
        <v>6</v>
      </c>
      <c r="I162" t="n">
        <v>5</v>
      </c>
      <c r="J162" t="n">
        <v>5</v>
      </c>
      <c r="K162" t="n">
        <v>1</v>
      </c>
      <c r="L162" t="n">
        <v>0</v>
      </c>
      <c r="M162" t="n">
        <v>0</v>
      </c>
      <c r="N162" t="n">
        <v>0</v>
      </c>
      <c r="O162" t="n">
        <v>6</v>
      </c>
      <c r="P162" t="n">
        <v>1</v>
      </c>
      <c r="Q162" t="n">
        <v>11</v>
      </c>
      <c r="R162" s="2" t="inlineStr">
        <is>
          <t>Knärot
Garnlav
Järpe
Lunglav
Rosenticka
Spillkråka
Grönkulla
Norrlandslav
Spindelblomster
Tvåblad
Ögonpyrola</t>
        </is>
      </c>
      <c r="S162">
        <f>HYPERLINK("https://klasma.github.io/Logging_OSTERSUND/artfynd/A 56241-2022.xlsx")</f>
        <v/>
      </c>
      <c r="T162">
        <f>HYPERLINK("https://klasma.github.io/Logging_OSTERSUND/kartor/A 56241-2022.png")</f>
        <v/>
      </c>
      <c r="U162">
        <f>HYPERLINK("https://klasma.github.io/Logging_OSTERSUND/knärot/A 56241-2022.png")</f>
        <v/>
      </c>
      <c r="V162">
        <f>HYPERLINK("https://klasma.github.io/Logging_OSTERSUND/klagomål/A 56241-2022.docx")</f>
        <v/>
      </c>
      <c r="W162">
        <f>HYPERLINK("https://klasma.github.io/Logging_OSTERSUND/klagomålsmail/A 56241-2022.docx")</f>
        <v/>
      </c>
      <c r="X162">
        <f>HYPERLINK("https://klasma.github.io/Logging_OSTERSUND/tillsyn/A 56241-2022.docx")</f>
        <v/>
      </c>
      <c r="Y162">
        <f>HYPERLINK("https://klasma.github.io/Logging_OSTERSUND/tillsynsmail/A 56241-2022.docx")</f>
        <v/>
      </c>
    </row>
    <row r="163" ht="15" customHeight="1">
      <c r="A163" t="inlineStr">
        <is>
          <t>A 24299-2023</t>
        </is>
      </c>
      <c r="B163" s="1" t="n">
        <v>45079</v>
      </c>
      <c r="C163" s="1" t="n">
        <v>45182</v>
      </c>
      <c r="D163" t="inlineStr">
        <is>
          <t>JÄMTLANDS LÄN</t>
        </is>
      </c>
      <c r="E163" t="inlineStr">
        <is>
          <t>STRÖMSUND</t>
        </is>
      </c>
      <c r="F163" t="inlineStr">
        <is>
          <t>SCA</t>
        </is>
      </c>
      <c r="G163" t="n">
        <v>5.2</v>
      </c>
      <c r="H163" t="n">
        <v>0</v>
      </c>
      <c r="I163" t="n">
        <v>4</v>
      </c>
      <c r="J163" t="n">
        <v>5</v>
      </c>
      <c r="K163" t="n">
        <v>2</v>
      </c>
      <c r="L163" t="n">
        <v>0</v>
      </c>
      <c r="M163" t="n">
        <v>0</v>
      </c>
      <c r="N163" t="n">
        <v>0</v>
      </c>
      <c r="O163" t="n">
        <v>7</v>
      </c>
      <c r="P163" t="n">
        <v>2</v>
      </c>
      <c r="Q163" t="n">
        <v>11</v>
      </c>
      <c r="R163" s="2" t="inlineStr">
        <is>
          <t>Fläckporing
Gräddporing
Garnlav
Kolflarnlav
Lunglav
Skrovellav
Vitgrynig nållav
Bårdlav
Dropptaggsvamp
Källmossa
Stuplav</t>
        </is>
      </c>
      <c r="S163">
        <f>HYPERLINK("https://klasma.github.io/Logging_STROMSUND/artfynd/A 24299-2023.xlsx")</f>
        <v/>
      </c>
      <c r="T163">
        <f>HYPERLINK("https://klasma.github.io/Logging_STROMSUND/kartor/A 24299-2023.png")</f>
        <v/>
      </c>
      <c r="V163">
        <f>HYPERLINK("https://klasma.github.io/Logging_STROMSUND/klagomål/A 24299-2023.docx")</f>
        <v/>
      </c>
      <c r="W163">
        <f>HYPERLINK("https://klasma.github.io/Logging_STROMSUND/klagomålsmail/A 24299-2023.docx")</f>
        <v/>
      </c>
      <c r="X163">
        <f>HYPERLINK("https://klasma.github.io/Logging_STROMSUND/tillsyn/A 24299-2023.docx")</f>
        <v/>
      </c>
      <c r="Y163">
        <f>HYPERLINK("https://klasma.github.io/Logging_STROMSUND/tillsynsmail/A 24299-2023.docx")</f>
        <v/>
      </c>
    </row>
    <row r="164" ht="15" customHeight="1">
      <c r="A164" t="inlineStr">
        <is>
          <t>A 32501-2023</t>
        </is>
      </c>
      <c r="B164" s="1" t="n">
        <v>45110</v>
      </c>
      <c r="C164" s="1" t="n">
        <v>45182</v>
      </c>
      <c r="D164" t="inlineStr">
        <is>
          <t>JÄMTLANDS LÄN</t>
        </is>
      </c>
      <c r="E164" t="inlineStr">
        <is>
          <t>BERG</t>
        </is>
      </c>
      <c r="G164" t="n">
        <v>5</v>
      </c>
      <c r="H164" t="n">
        <v>4</v>
      </c>
      <c r="I164" t="n">
        <v>5</v>
      </c>
      <c r="J164" t="n">
        <v>3</v>
      </c>
      <c r="K164" t="n">
        <v>2</v>
      </c>
      <c r="L164" t="n">
        <v>0</v>
      </c>
      <c r="M164" t="n">
        <v>0</v>
      </c>
      <c r="N164" t="n">
        <v>0</v>
      </c>
      <c r="O164" t="n">
        <v>5</v>
      </c>
      <c r="P164" t="n">
        <v>2</v>
      </c>
      <c r="Q164" t="n">
        <v>11</v>
      </c>
      <c r="R164" s="2" t="inlineStr">
        <is>
          <t>Knärot
Rynkskinn
Garnlav
Lunglav
Ullticka
Kattfotslav
Korallrot
Källpraktmossa
Mörk husmossa
Spindelblomster
Revlummer</t>
        </is>
      </c>
      <c r="S164">
        <f>HYPERLINK("https://klasma.github.io/Logging_BERG/artfynd/A 32501-2023.xlsx")</f>
        <v/>
      </c>
      <c r="T164">
        <f>HYPERLINK("https://klasma.github.io/Logging_BERG/kartor/A 32501-2023.png")</f>
        <v/>
      </c>
      <c r="U164">
        <f>HYPERLINK("https://klasma.github.io/Logging_BERG/knärot/A 32501-2023.png")</f>
        <v/>
      </c>
      <c r="V164">
        <f>HYPERLINK("https://klasma.github.io/Logging_BERG/klagomål/A 32501-2023.docx")</f>
        <v/>
      </c>
      <c r="W164">
        <f>HYPERLINK("https://klasma.github.io/Logging_BERG/klagomålsmail/A 32501-2023.docx")</f>
        <v/>
      </c>
      <c r="X164">
        <f>HYPERLINK("https://klasma.github.io/Logging_BERG/tillsyn/A 32501-2023.docx")</f>
        <v/>
      </c>
      <c r="Y164">
        <f>HYPERLINK("https://klasma.github.io/Logging_BERG/tillsynsmail/A 32501-2023.docx")</f>
        <v/>
      </c>
    </row>
    <row r="165" ht="15" customHeight="1">
      <c r="A165" t="inlineStr">
        <is>
          <t>A 31327-2023</t>
        </is>
      </c>
      <c r="B165" s="1" t="n">
        <v>45114</v>
      </c>
      <c r="C165" s="1" t="n">
        <v>45182</v>
      </c>
      <c r="D165" t="inlineStr">
        <is>
          <t>JÄMTLANDS LÄN</t>
        </is>
      </c>
      <c r="E165" t="inlineStr">
        <is>
          <t>STRÖMSUND</t>
        </is>
      </c>
      <c r="F165" t="inlineStr">
        <is>
          <t>Holmen skog AB</t>
        </is>
      </c>
      <c r="G165" t="n">
        <v>20.3</v>
      </c>
      <c r="H165" t="n">
        <v>4</v>
      </c>
      <c r="I165" t="n">
        <v>3</v>
      </c>
      <c r="J165" t="n">
        <v>7</v>
      </c>
      <c r="K165" t="n">
        <v>0</v>
      </c>
      <c r="L165" t="n">
        <v>0</v>
      </c>
      <c r="M165" t="n">
        <v>0</v>
      </c>
      <c r="N165" t="n">
        <v>0</v>
      </c>
      <c r="O165" t="n">
        <v>7</v>
      </c>
      <c r="P165" t="n">
        <v>0</v>
      </c>
      <c r="Q165" t="n">
        <v>11</v>
      </c>
      <c r="R165" s="2" t="inlineStr">
        <is>
          <t>Garnlav
Granticka
Skrovellav
Spillkråka
Tretåig hackspett
Vitgrynig nållav
Vitskaftad svartspik
Skinnlav
Spindelblomster
Stuplav
Fläcknycklar</t>
        </is>
      </c>
      <c r="S165">
        <f>HYPERLINK("https://klasma.github.io/Logging_STROMSUND/artfynd/A 31327-2023.xlsx")</f>
        <v/>
      </c>
      <c r="T165">
        <f>HYPERLINK("https://klasma.github.io/Logging_STROMSUND/kartor/A 31327-2023.png")</f>
        <v/>
      </c>
      <c r="V165">
        <f>HYPERLINK("https://klasma.github.io/Logging_STROMSUND/klagomål/A 31327-2023.docx")</f>
        <v/>
      </c>
      <c r="W165">
        <f>HYPERLINK("https://klasma.github.io/Logging_STROMSUND/klagomålsmail/A 31327-2023.docx")</f>
        <v/>
      </c>
      <c r="X165">
        <f>HYPERLINK("https://klasma.github.io/Logging_STROMSUND/tillsyn/A 31327-2023.docx")</f>
        <v/>
      </c>
      <c r="Y165">
        <f>HYPERLINK("https://klasma.github.io/Logging_STROMSUND/tillsynsmail/A 31327-2023.docx")</f>
        <v/>
      </c>
    </row>
    <row r="166" ht="15" customHeight="1">
      <c r="A166" t="inlineStr">
        <is>
          <t>A 25855-2019</t>
        </is>
      </c>
      <c r="B166" s="1" t="n">
        <v>43608</v>
      </c>
      <c r="C166" s="1" t="n">
        <v>45182</v>
      </c>
      <c r="D166" t="inlineStr">
        <is>
          <t>JÄMTLANDS LÄN</t>
        </is>
      </c>
      <c r="E166" t="inlineStr">
        <is>
          <t>STRÖMSUND</t>
        </is>
      </c>
      <c r="G166" t="n">
        <v>66.09999999999999</v>
      </c>
      <c r="H166" t="n">
        <v>0</v>
      </c>
      <c r="I166" t="n">
        <v>7</v>
      </c>
      <c r="J166" t="n">
        <v>3</v>
      </c>
      <c r="K166" t="n">
        <v>0</v>
      </c>
      <c r="L166" t="n">
        <v>0</v>
      </c>
      <c r="M166" t="n">
        <v>0</v>
      </c>
      <c r="N166" t="n">
        <v>0</v>
      </c>
      <c r="O166" t="n">
        <v>3</v>
      </c>
      <c r="P166" t="n">
        <v>0</v>
      </c>
      <c r="Q166" t="n">
        <v>10</v>
      </c>
      <c r="R166" s="2" t="inlineStr">
        <is>
          <t>Garnlav
Lunglav
Skrovellav
Granriska
Kransrams
Stuplav
Svart trolldruva
Svavelriska
Tibast
Ögonpyrola</t>
        </is>
      </c>
      <c r="S166">
        <f>HYPERLINK("https://klasma.github.io/Logging_STROMSUND/artfynd/A 25855-2019.xlsx")</f>
        <v/>
      </c>
      <c r="T166">
        <f>HYPERLINK("https://klasma.github.io/Logging_STROMSUND/kartor/A 25855-2019.png")</f>
        <v/>
      </c>
      <c r="V166">
        <f>HYPERLINK("https://klasma.github.io/Logging_STROMSUND/klagomål/A 25855-2019.docx")</f>
        <v/>
      </c>
      <c r="W166">
        <f>HYPERLINK("https://klasma.github.io/Logging_STROMSUND/klagomålsmail/A 25855-2019.docx")</f>
        <v/>
      </c>
      <c r="X166">
        <f>HYPERLINK("https://klasma.github.io/Logging_STROMSUND/tillsyn/A 25855-2019.docx")</f>
        <v/>
      </c>
      <c r="Y166">
        <f>HYPERLINK("https://klasma.github.io/Logging_STROMSUND/tillsynsmail/A 25855-2019.docx")</f>
        <v/>
      </c>
    </row>
    <row r="167" ht="15" customHeight="1">
      <c r="A167" t="inlineStr">
        <is>
          <t>A 38535-2019</t>
        </is>
      </c>
      <c r="B167" s="1" t="n">
        <v>43685</v>
      </c>
      <c r="C167" s="1" t="n">
        <v>45182</v>
      </c>
      <c r="D167" t="inlineStr">
        <is>
          <t>JÄMTLANDS LÄN</t>
        </is>
      </c>
      <c r="E167" t="inlineStr">
        <is>
          <t>HÄRJEDALEN</t>
        </is>
      </c>
      <c r="F167" t="inlineStr">
        <is>
          <t>Sveaskog</t>
        </is>
      </c>
      <c r="G167" t="n">
        <v>7.2</v>
      </c>
      <c r="H167" t="n">
        <v>3</v>
      </c>
      <c r="I167" t="n">
        <v>2</v>
      </c>
      <c r="J167" t="n">
        <v>5</v>
      </c>
      <c r="K167" t="n">
        <v>1</v>
      </c>
      <c r="L167" t="n">
        <v>0</v>
      </c>
      <c r="M167" t="n">
        <v>0</v>
      </c>
      <c r="N167" t="n">
        <v>0</v>
      </c>
      <c r="O167" t="n">
        <v>6</v>
      </c>
      <c r="P167" t="n">
        <v>1</v>
      </c>
      <c r="Q167" t="n">
        <v>10</v>
      </c>
      <c r="R167" s="2" t="inlineStr">
        <is>
          <t>Knärot
Blanksvart spiklav
Gammelgransskål
Garnlav
Lunglav
Skrovellav
Barkkornlav
Bronshjon
Fläcknycklar
Revlummer</t>
        </is>
      </c>
      <c r="S167">
        <f>HYPERLINK("https://klasma.github.io/Logging_HARJEDALEN/artfynd/A 38535-2019.xlsx")</f>
        <v/>
      </c>
      <c r="T167">
        <f>HYPERLINK("https://klasma.github.io/Logging_HARJEDALEN/kartor/A 38535-2019.png")</f>
        <v/>
      </c>
      <c r="U167">
        <f>HYPERLINK("https://klasma.github.io/Logging_HARJEDALEN/knärot/A 38535-2019.png")</f>
        <v/>
      </c>
      <c r="V167">
        <f>HYPERLINK("https://klasma.github.io/Logging_HARJEDALEN/klagomål/A 38535-2019.docx")</f>
        <v/>
      </c>
      <c r="W167">
        <f>HYPERLINK("https://klasma.github.io/Logging_HARJEDALEN/klagomålsmail/A 38535-2019.docx")</f>
        <v/>
      </c>
      <c r="X167">
        <f>HYPERLINK("https://klasma.github.io/Logging_HARJEDALEN/tillsyn/A 38535-2019.docx")</f>
        <v/>
      </c>
      <c r="Y167">
        <f>HYPERLINK("https://klasma.github.io/Logging_HARJEDALEN/tillsynsmail/A 38535-2019.docx")</f>
        <v/>
      </c>
    </row>
    <row r="168" ht="15" customHeight="1">
      <c r="A168" t="inlineStr">
        <is>
          <t>A 39276-2019</t>
        </is>
      </c>
      <c r="B168" s="1" t="n">
        <v>43690</v>
      </c>
      <c r="C168" s="1" t="n">
        <v>45182</v>
      </c>
      <c r="D168" t="inlineStr">
        <is>
          <t>JÄMTLANDS LÄN</t>
        </is>
      </c>
      <c r="E168" t="inlineStr">
        <is>
          <t>STRÖMSUND</t>
        </is>
      </c>
      <c r="F168" t="inlineStr">
        <is>
          <t>Holmen skog AB</t>
        </is>
      </c>
      <c r="G168" t="n">
        <v>28.8</v>
      </c>
      <c r="H168" t="n">
        <v>2</v>
      </c>
      <c r="I168" t="n">
        <v>2</v>
      </c>
      <c r="J168" t="n">
        <v>7</v>
      </c>
      <c r="K168" t="n">
        <v>0</v>
      </c>
      <c r="L168" t="n">
        <v>0</v>
      </c>
      <c r="M168" t="n">
        <v>0</v>
      </c>
      <c r="N168" t="n">
        <v>0</v>
      </c>
      <c r="O168" t="n">
        <v>7</v>
      </c>
      <c r="P168" t="n">
        <v>0</v>
      </c>
      <c r="Q168" t="n">
        <v>10</v>
      </c>
      <c r="R168" s="2" t="inlineStr">
        <is>
          <t>Brunpudrad nållav
Garnlav
Gränsticka
Rödbrun blekspik
Skrovellav
Tretåig hackspett
Ullticka
Gulnål
Stuplav
Fläcknycklar</t>
        </is>
      </c>
      <c r="S168">
        <f>HYPERLINK("https://klasma.github.io/Logging_STROMSUND/artfynd/A 39276-2019.xlsx")</f>
        <v/>
      </c>
      <c r="T168">
        <f>HYPERLINK("https://klasma.github.io/Logging_STROMSUND/kartor/A 39276-2019.png")</f>
        <v/>
      </c>
      <c r="V168">
        <f>HYPERLINK("https://klasma.github.io/Logging_STROMSUND/klagomål/A 39276-2019.docx")</f>
        <v/>
      </c>
      <c r="W168">
        <f>HYPERLINK("https://klasma.github.io/Logging_STROMSUND/klagomålsmail/A 39276-2019.docx")</f>
        <v/>
      </c>
      <c r="X168">
        <f>HYPERLINK("https://klasma.github.io/Logging_STROMSUND/tillsyn/A 39276-2019.docx")</f>
        <v/>
      </c>
      <c r="Y168">
        <f>HYPERLINK("https://klasma.github.io/Logging_STROMSUND/tillsynsmail/A 39276-2019.docx")</f>
        <v/>
      </c>
    </row>
    <row r="169" ht="15" customHeight="1">
      <c r="A169" t="inlineStr">
        <is>
          <t>A 51061-2019</t>
        </is>
      </c>
      <c r="B169" s="1" t="n">
        <v>43739</v>
      </c>
      <c r="C169" s="1" t="n">
        <v>45182</v>
      </c>
      <c r="D169" t="inlineStr">
        <is>
          <t>JÄMTLANDS LÄN</t>
        </is>
      </c>
      <c r="E169" t="inlineStr">
        <is>
          <t>HÄRJEDALEN</t>
        </is>
      </c>
      <c r="G169" t="n">
        <v>10.4</v>
      </c>
      <c r="H169" t="n">
        <v>0</v>
      </c>
      <c r="I169" t="n">
        <v>2</v>
      </c>
      <c r="J169" t="n">
        <v>8</v>
      </c>
      <c r="K169" t="n">
        <v>0</v>
      </c>
      <c r="L169" t="n">
        <v>0</v>
      </c>
      <c r="M169" t="n">
        <v>0</v>
      </c>
      <c r="N169" t="n">
        <v>0</v>
      </c>
      <c r="O169" t="n">
        <v>8</v>
      </c>
      <c r="P169" t="n">
        <v>0</v>
      </c>
      <c r="Q169" t="n">
        <v>10</v>
      </c>
      <c r="R169" s="2" t="inlineStr">
        <is>
          <t>Doftskinn
Garnlav
Granticka
Gränsticka
Harticka
Knottrig blåslav
Vedflamlav
Violettgrå tagellav
Stuplav
Vedticka</t>
        </is>
      </c>
      <c r="S169">
        <f>HYPERLINK("https://klasma.github.io/Logging_HARJEDALEN/artfynd/A 51061-2019.xlsx")</f>
        <v/>
      </c>
      <c r="T169">
        <f>HYPERLINK("https://klasma.github.io/Logging_HARJEDALEN/kartor/A 51061-2019.png")</f>
        <v/>
      </c>
      <c r="V169">
        <f>HYPERLINK("https://klasma.github.io/Logging_HARJEDALEN/klagomål/A 51061-2019.docx")</f>
        <v/>
      </c>
      <c r="W169">
        <f>HYPERLINK("https://klasma.github.io/Logging_HARJEDALEN/klagomålsmail/A 51061-2019.docx")</f>
        <v/>
      </c>
      <c r="X169">
        <f>HYPERLINK("https://klasma.github.io/Logging_HARJEDALEN/tillsyn/A 51061-2019.docx")</f>
        <v/>
      </c>
      <c r="Y169">
        <f>HYPERLINK("https://klasma.github.io/Logging_HARJEDALEN/tillsynsmail/A 51061-2019.docx")</f>
        <v/>
      </c>
    </row>
    <row r="170" ht="15" customHeight="1">
      <c r="A170" t="inlineStr">
        <is>
          <t>A 55158-2019</t>
        </is>
      </c>
      <c r="B170" s="1" t="n">
        <v>43756</v>
      </c>
      <c r="C170" s="1" t="n">
        <v>45182</v>
      </c>
      <c r="D170" t="inlineStr">
        <is>
          <t>JÄMTLANDS LÄN</t>
        </is>
      </c>
      <c r="E170" t="inlineStr">
        <is>
          <t>HÄRJEDALEN</t>
        </is>
      </c>
      <c r="G170" t="n">
        <v>11.5</v>
      </c>
      <c r="H170" t="n">
        <v>0</v>
      </c>
      <c r="I170" t="n">
        <v>2</v>
      </c>
      <c r="J170" t="n">
        <v>8</v>
      </c>
      <c r="K170" t="n">
        <v>0</v>
      </c>
      <c r="L170" t="n">
        <v>0</v>
      </c>
      <c r="M170" t="n">
        <v>0</v>
      </c>
      <c r="N170" t="n">
        <v>0</v>
      </c>
      <c r="O170" t="n">
        <v>8</v>
      </c>
      <c r="P170" t="n">
        <v>0</v>
      </c>
      <c r="Q170" t="n">
        <v>10</v>
      </c>
      <c r="R170" s="2" t="inlineStr">
        <is>
          <t>Garnlav
Kolflarnlav
Lunglav
Mörk kolflarnlav
Skrovellav
Vaddporing
Vedflamlav
Vedskivlav
Dropptaggsvamp
Luddlav</t>
        </is>
      </c>
      <c r="S170">
        <f>HYPERLINK("https://klasma.github.io/Logging_HARJEDALEN/artfynd/A 55158-2019.xlsx")</f>
        <v/>
      </c>
      <c r="T170">
        <f>HYPERLINK("https://klasma.github.io/Logging_HARJEDALEN/kartor/A 55158-2019.png")</f>
        <v/>
      </c>
      <c r="V170">
        <f>HYPERLINK("https://klasma.github.io/Logging_HARJEDALEN/klagomål/A 55158-2019.docx")</f>
        <v/>
      </c>
      <c r="W170">
        <f>HYPERLINK("https://klasma.github.io/Logging_HARJEDALEN/klagomålsmail/A 55158-2019.docx")</f>
        <v/>
      </c>
      <c r="X170">
        <f>HYPERLINK("https://klasma.github.io/Logging_HARJEDALEN/tillsyn/A 55158-2019.docx")</f>
        <v/>
      </c>
      <c r="Y170">
        <f>HYPERLINK("https://klasma.github.io/Logging_HARJEDALEN/tillsynsmail/A 55158-2019.docx")</f>
        <v/>
      </c>
    </row>
    <row r="171" ht="15" customHeight="1">
      <c r="A171" t="inlineStr">
        <is>
          <t>A 61229-2019</t>
        </is>
      </c>
      <c r="B171" s="1" t="n">
        <v>43783</v>
      </c>
      <c r="C171" s="1" t="n">
        <v>45182</v>
      </c>
      <c r="D171" t="inlineStr">
        <is>
          <t>JÄMTLANDS LÄN</t>
        </is>
      </c>
      <c r="E171" t="inlineStr">
        <is>
          <t>ÅRE</t>
        </is>
      </c>
      <c r="G171" t="n">
        <v>42.1</v>
      </c>
      <c r="H171" t="n">
        <v>0</v>
      </c>
      <c r="I171" t="n">
        <v>2</v>
      </c>
      <c r="J171" t="n">
        <v>8</v>
      </c>
      <c r="K171" t="n">
        <v>0</v>
      </c>
      <c r="L171" t="n">
        <v>0</v>
      </c>
      <c r="M171" t="n">
        <v>0</v>
      </c>
      <c r="N171" t="n">
        <v>0</v>
      </c>
      <c r="O171" t="n">
        <v>8</v>
      </c>
      <c r="P171" t="n">
        <v>0</v>
      </c>
      <c r="Q171" t="n">
        <v>10</v>
      </c>
      <c r="R171" s="2" t="inlineStr">
        <is>
          <t>Gränsticka
Harticka
Rödbrun blekspik
Skrovellav
Ullticka
Vedflikmossa
Vitgrynig nållav
Äggvaxskivling
Kambräken
Vedticka</t>
        </is>
      </c>
      <c r="S171">
        <f>HYPERLINK("https://klasma.github.io/Logging_ARE/artfynd/A 61229-2019.xlsx")</f>
        <v/>
      </c>
      <c r="T171">
        <f>HYPERLINK("https://klasma.github.io/Logging_ARE/kartor/A 61229-2019.png")</f>
        <v/>
      </c>
      <c r="V171">
        <f>HYPERLINK("https://klasma.github.io/Logging_ARE/klagomål/A 61229-2019.docx")</f>
        <v/>
      </c>
      <c r="W171">
        <f>HYPERLINK("https://klasma.github.io/Logging_ARE/klagomålsmail/A 61229-2019.docx")</f>
        <v/>
      </c>
      <c r="X171">
        <f>HYPERLINK("https://klasma.github.io/Logging_ARE/tillsyn/A 61229-2019.docx")</f>
        <v/>
      </c>
      <c r="Y171">
        <f>HYPERLINK("https://klasma.github.io/Logging_ARE/tillsynsmail/A 61229-2019.docx")</f>
        <v/>
      </c>
    </row>
    <row r="172" ht="15" customHeight="1">
      <c r="A172" t="inlineStr">
        <is>
          <t>A 68085-2019</t>
        </is>
      </c>
      <c r="B172" s="1" t="n">
        <v>43816</v>
      </c>
      <c r="C172" s="1" t="n">
        <v>45182</v>
      </c>
      <c r="D172" t="inlineStr">
        <is>
          <t>JÄMTLANDS LÄN</t>
        </is>
      </c>
      <c r="E172" t="inlineStr">
        <is>
          <t>KROKOM</t>
        </is>
      </c>
      <c r="F172" t="inlineStr">
        <is>
          <t>SCA</t>
        </is>
      </c>
      <c r="G172" t="n">
        <v>8.9</v>
      </c>
      <c r="H172" t="n">
        <v>1</v>
      </c>
      <c r="I172" t="n">
        <v>4</v>
      </c>
      <c r="J172" t="n">
        <v>6</v>
      </c>
      <c r="K172" t="n">
        <v>0</v>
      </c>
      <c r="L172" t="n">
        <v>0</v>
      </c>
      <c r="M172" t="n">
        <v>0</v>
      </c>
      <c r="N172" t="n">
        <v>0</v>
      </c>
      <c r="O172" t="n">
        <v>6</v>
      </c>
      <c r="P172" t="n">
        <v>0</v>
      </c>
      <c r="Q172" t="n">
        <v>10</v>
      </c>
      <c r="R172" s="2" t="inlineStr">
        <is>
          <t>Garnlav
Gränsticka
Skrovellav
Tretåig hackspett
Ullticka
Vitgrynig nållav
Bårdlav
Gytterlav
Luddlav
Stuplav</t>
        </is>
      </c>
      <c r="S172">
        <f>HYPERLINK("https://klasma.github.io/Logging_KROKOM/artfynd/A 68085-2019.xlsx")</f>
        <v/>
      </c>
      <c r="T172">
        <f>HYPERLINK("https://klasma.github.io/Logging_KROKOM/kartor/A 68085-2019.png")</f>
        <v/>
      </c>
      <c r="V172">
        <f>HYPERLINK("https://klasma.github.io/Logging_KROKOM/klagomål/A 68085-2019.docx")</f>
        <v/>
      </c>
      <c r="W172">
        <f>HYPERLINK("https://klasma.github.io/Logging_KROKOM/klagomålsmail/A 68085-2019.docx")</f>
        <v/>
      </c>
      <c r="X172">
        <f>HYPERLINK("https://klasma.github.io/Logging_KROKOM/tillsyn/A 68085-2019.docx")</f>
        <v/>
      </c>
      <c r="Y172">
        <f>HYPERLINK("https://klasma.github.io/Logging_KROKOM/tillsynsmail/A 68085-2019.docx")</f>
        <v/>
      </c>
    </row>
    <row r="173" ht="15" customHeight="1">
      <c r="A173" t="inlineStr">
        <is>
          <t>A 31899-2020</t>
        </is>
      </c>
      <c r="B173" s="1" t="n">
        <v>44014</v>
      </c>
      <c r="C173" s="1" t="n">
        <v>45182</v>
      </c>
      <c r="D173" t="inlineStr">
        <is>
          <t>JÄMTLANDS LÄN</t>
        </is>
      </c>
      <c r="E173" t="inlineStr">
        <is>
          <t>KROKOM</t>
        </is>
      </c>
      <c r="G173" t="n">
        <v>12.8</v>
      </c>
      <c r="H173" t="n">
        <v>0</v>
      </c>
      <c r="I173" t="n">
        <v>0</v>
      </c>
      <c r="J173" t="n">
        <v>7</v>
      </c>
      <c r="K173" t="n">
        <v>3</v>
      </c>
      <c r="L173" t="n">
        <v>0</v>
      </c>
      <c r="M173" t="n">
        <v>0</v>
      </c>
      <c r="N173" t="n">
        <v>0</v>
      </c>
      <c r="O173" t="n">
        <v>10</v>
      </c>
      <c r="P173" t="n">
        <v>3</v>
      </c>
      <c r="Q173" t="n">
        <v>10</v>
      </c>
      <c r="R173" s="2" t="inlineStr">
        <is>
          <t>Lappticka
Liten hornflikmossa
Rynkskinn
Gränsticka
Harticka
Rosenticka
Skrovellav
Ullticka
Vedtrappmossa
Vitgrynig nållav</t>
        </is>
      </c>
      <c r="S173">
        <f>HYPERLINK("https://klasma.github.io/Logging_KROKOM/artfynd/A 31899-2020.xlsx")</f>
        <v/>
      </c>
      <c r="T173">
        <f>HYPERLINK("https://klasma.github.io/Logging_KROKOM/kartor/A 31899-2020.png")</f>
        <v/>
      </c>
      <c r="V173">
        <f>HYPERLINK("https://klasma.github.io/Logging_KROKOM/klagomål/A 31899-2020.docx")</f>
        <v/>
      </c>
      <c r="W173">
        <f>HYPERLINK("https://klasma.github.io/Logging_KROKOM/klagomålsmail/A 31899-2020.docx")</f>
        <v/>
      </c>
      <c r="X173">
        <f>HYPERLINK("https://klasma.github.io/Logging_KROKOM/tillsyn/A 31899-2020.docx")</f>
        <v/>
      </c>
      <c r="Y173">
        <f>HYPERLINK("https://klasma.github.io/Logging_KROKOM/tillsynsmail/A 31899-2020.docx")</f>
        <v/>
      </c>
    </row>
    <row r="174" ht="15" customHeight="1">
      <c r="A174" t="inlineStr">
        <is>
          <t>A 49729-2020</t>
        </is>
      </c>
      <c r="B174" s="1" t="n">
        <v>44106</v>
      </c>
      <c r="C174" s="1" t="n">
        <v>45182</v>
      </c>
      <c r="D174" t="inlineStr">
        <is>
          <t>JÄMTLANDS LÄN</t>
        </is>
      </c>
      <c r="E174" t="inlineStr">
        <is>
          <t>ÖSTERSUND</t>
        </is>
      </c>
      <c r="G174" t="n">
        <v>12.4</v>
      </c>
      <c r="H174" t="n">
        <v>2</v>
      </c>
      <c r="I174" t="n">
        <v>3</v>
      </c>
      <c r="J174" t="n">
        <v>1</v>
      </c>
      <c r="K174" t="n">
        <v>4</v>
      </c>
      <c r="L174" t="n">
        <v>0</v>
      </c>
      <c r="M174" t="n">
        <v>0</v>
      </c>
      <c r="N174" t="n">
        <v>0</v>
      </c>
      <c r="O174" t="n">
        <v>5</v>
      </c>
      <c r="P174" t="n">
        <v>4</v>
      </c>
      <c r="Q174" t="n">
        <v>10</v>
      </c>
      <c r="R174" s="2" t="inlineStr">
        <is>
          <t>Kopparspindling
Läderdoftande fingersvamp
Stor odörspindling
Tvillingspindling
Persiljespindling
Kamjordstjärna
Kryddspindling
Strimspindling
Fläcknycklar
Nattviol</t>
        </is>
      </c>
      <c r="S174">
        <f>HYPERLINK("https://klasma.github.io/Logging_OSTERSUND/artfynd/A 49729-2020.xlsx")</f>
        <v/>
      </c>
      <c r="T174">
        <f>HYPERLINK("https://klasma.github.io/Logging_OSTERSUND/kartor/A 49729-2020.png")</f>
        <v/>
      </c>
      <c r="V174">
        <f>HYPERLINK("https://klasma.github.io/Logging_OSTERSUND/klagomål/A 49729-2020.docx")</f>
        <v/>
      </c>
      <c r="W174">
        <f>HYPERLINK("https://klasma.github.io/Logging_OSTERSUND/klagomålsmail/A 49729-2020.docx")</f>
        <v/>
      </c>
      <c r="X174">
        <f>HYPERLINK("https://klasma.github.io/Logging_OSTERSUND/tillsyn/A 49729-2020.docx")</f>
        <v/>
      </c>
      <c r="Y174">
        <f>HYPERLINK("https://klasma.github.io/Logging_OSTERSUND/tillsynsmail/A 49729-2020.docx")</f>
        <v/>
      </c>
    </row>
    <row r="175" ht="15" customHeight="1">
      <c r="A175" t="inlineStr">
        <is>
          <t>A 66118-2020</t>
        </is>
      </c>
      <c r="B175" s="1" t="n">
        <v>44175</v>
      </c>
      <c r="C175" s="1" t="n">
        <v>45182</v>
      </c>
      <c r="D175" t="inlineStr">
        <is>
          <t>JÄMTLANDS LÄN</t>
        </is>
      </c>
      <c r="E175" t="inlineStr">
        <is>
          <t>STRÖMSUND</t>
        </is>
      </c>
      <c r="F175" t="inlineStr">
        <is>
          <t>Holmen skog AB</t>
        </is>
      </c>
      <c r="G175" t="n">
        <v>24.6</v>
      </c>
      <c r="H175" t="n">
        <v>2</v>
      </c>
      <c r="I175" t="n">
        <v>1</v>
      </c>
      <c r="J175" t="n">
        <v>6</v>
      </c>
      <c r="K175" t="n">
        <v>2</v>
      </c>
      <c r="L175" t="n">
        <v>0</v>
      </c>
      <c r="M175" t="n">
        <v>0</v>
      </c>
      <c r="N175" t="n">
        <v>0</v>
      </c>
      <c r="O175" t="n">
        <v>8</v>
      </c>
      <c r="P175" t="n">
        <v>2</v>
      </c>
      <c r="Q175" t="n">
        <v>10</v>
      </c>
      <c r="R175" s="2" t="inlineStr">
        <is>
          <t>Liten sotlav
Norsk näverlav
Brunpudrad nållav
Garnlav
Granticka
Rödbrun blekspik
Skrovellav
Tretåig hackspett
Luddlav
Lopplummer</t>
        </is>
      </c>
      <c r="S175">
        <f>HYPERLINK("https://klasma.github.io/Logging_STROMSUND/artfynd/A 66118-2020.xlsx")</f>
        <v/>
      </c>
      <c r="T175">
        <f>HYPERLINK("https://klasma.github.io/Logging_STROMSUND/kartor/A 66118-2020.png")</f>
        <v/>
      </c>
      <c r="V175">
        <f>HYPERLINK("https://klasma.github.io/Logging_STROMSUND/klagomål/A 66118-2020.docx")</f>
        <v/>
      </c>
      <c r="W175">
        <f>HYPERLINK("https://klasma.github.io/Logging_STROMSUND/klagomålsmail/A 66118-2020.docx")</f>
        <v/>
      </c>
      <c r="X175">
        <f>HYPERLINK("https://klasma.github.io/Logging_STROMSUND/tillsyn/A 66118-2020.docx")</f>
        <v/>
      </c>
      <c r="Y175">
        <f>HYPERLINK("https://klasma.github.io/Logging_STROMSUND/tillsynsmail/A 66118-2020.docx")</f>
        <v/>
      </c>
    </row>
    <row r="176" ht="15" customHeight="1">
      <c r="A176" t="inlineStr">
        <is>
          <t>A 5877-2021</t>
        </is>
      </c>
      <c r="B176" s="1" t="n">
        <v>44231</v>
      </c>
      <c r="C176" s="1" t="n">
        <v>45182</v>
      </c>
      <c r="D176" t="inlineStr">
        <is>
          <t>JÄMTLANDS LÄN</t>
        </is>
      </c>
      <c r="E176" t="inlineStr">
        <is>
          <t>KROKOM</t>
        </is>
      </c>
      <c r="G176" t="n">
        <v>10.5</v>
      </c>
      <c r="H176" t="n">
        <v>2</v>
      </c>
      <c r="I176" t="n">
        <v>1</v>
      </c>
      <c r="J176" t="n">
        <v>5</v>
      </c>
      <c r="K176" t="n">
        <v>4</v>
      </c>
      <c r="L176" t="n">
        <v>0</v>
      </c>
      <c r="M176" t="n">
        <v>0</v>
      </c>
      <c r="N176" t="n">
        <v>0</v>
      </c>
      <c r="O176" t="n">
        <v>9</v>
      </c>
      <c r="P176" t="n">
        <v>4</v>
      </c>
      <c r="Q176" t="n">
        <v>10</v>
      </c>
      <c r="R176" s="2" t="inlineStr">
        <is>
          <t>Borsttagging
Doftticka
Läderlappslav
Smalskaftslav
Garnlav
Lunglav
Solfjäderlav
Spillkråka
Vitgrynig nållav
Korallblylav</t>
        </is>
      </c>
      <c r="S176">
        <f>HYPERLINK("https://klasma.github.io/Logging_KROKOM/artfynd/A 5877-2021.xlsx")</f>
        <v/>
      </c>
      <c r="T176">
        <f>HYPERLINK("https://klasma.github.io/Logging_KROKOM/kartor/A 5877-2021.png")</f>
        <v/>
      </c>
      <c r="V176">
        <f>HYPERLINK("https://klasma.github.io/Logging_KROKOM/klagomål/A 5877-2021.docx")</f>
        <v/>
      </c>
      <c r="W176">
        <f>HYPERLINK("https://klasma.github.io/Logging_KROKOM/klagomålsmail/A 5877-2021.docx")</f>
        <v/>
      </c>
      <c r="X176">
        <f>HYPERLINK("https://klasma.github.io/Logging_KROKOM/tillsyn/A 5877-2021.docx")</f>
        <v/>
      </c>
      <c r="Y176">
        <f>HYPERLINK("https://klasma.github.io/Logging_KROKOM/tillsynsmail/A 5877-2021.docx")</f>
        <v/>
      </c>
    </row>
    <row r="177" ht="15" customHeight="1">
      <c r="A177" t="inlineStr">
        <is>
          <t>A 9919-2021</t>
        </is>
      </c>
      <c r="B177" s="1" t="n">
        <v>44253</v>
      </c>
      <c r="C177" s="1" t="n">
        <v>45182</v>
      </c>
      <c r="D177" t="inlineStr">
        <is>
          <t>JÄMTLANDS LÄN</t>
        </is>
      </c>
      <c r="E177" t="inlineStr">
        <is>
          <t>BERG</t>
        </is>
      </c>
      <c r="G177" t="n">
        <v>29</v>
      </c>
      <c r="H177" t="n">
        <v>2</v>
      </c>
      <c r="I177" t="n">
        <v>4</v>
      </c>
      <c r="J177" t="n">
        <v>6</v>
      </c>
      <c r="K177" t="n">
        <v>0</v>
      </c>
      <c r="L177" t="n">
        <v>0</v>
      </c>
      <c r="M177" t="n">
        <v>0</v>
      </c>
      <c r="N177" t="n">
        <v>0</v>
      </c>
      <c r="O177" t="n">
        <v>6</v>
      </c>
      <c r="P177" t="n">
        <v>0</v>
      </c>
      <c r="Q177" t="n">
        <v>10</v>
      </c>
      <c r="R177" s="2" t="inlineStr">
        <is>
          <t>Gammelgransskål
Garnlav
Granticka
Skrovellav
Tretåig hackspett
Ullticka
Luddlav
Mörk husmossa
Spindelblomster
Tibast</t>
        </is>
      </c>
      <c r="S177">
        <f>HYPERLINK("https://klasma.github.io/Logging_BERG/artfynd/A 9919-2021.xlsx")</f>
        <v/>
      </c>
      <c r="T177">
        <f>HYPERLINK("https://klasma.github.io/Logging_BERG/kartor/A 9919-2021.png")</f>
        <v/>
      </c>
      <c r="V177">
        <f>HYPERLINK("https://klasma.github.io/Logging_BERG/klagomål/A 9919-2021.docx")</f>
        <v/>
      </c>
      <c r="W177">
        <f>HYPERLINK("https://klasma.github.io/Logging_BERG/klagomålsmail/A 9919-2021.docx")</f>
        <v/>
      </c>
      <c r="X177">
        <f>HYPERLINK("https://klasma.github.io/Logging_BERG/tillsyn/A 9919-2021.docx")</f>
        <v/>
      </c>
      <c r="Y177">
        <f>HYPERLINK("https://klasma.github.io/Logging_BERG/tillsynsmail/A 9919-2021.docx")</f>
        <v/>
      </c>
    </row>
    <row r="178" ht="15" customHeight="1">
      <c r="A178" t="inlineStr">
        <is>
          <t>A 20658-2021</t>
        </is>
      </c>
      <c r="B178" s="1" t="n">
        <v>44316</v>
      </c>
      <c r="C178" s="1" t="n">
        <v>45182</v>
      </c>
      <c r="D178" t="inlineStr">
        <is>
          <t>JÄMTLANDS LÄN</t>
        </is>
      </c>
      <c r="E178" t="inlineStr">
        <is>
          <t>ÅRE</t>
        </is>
      </c>
      <c r="G178" t="n">
        <v>32.2</v>
      </c>
      <c r="H178" t="n">
        <v>4</v>
      </c>
      <c r="I178" t="n">
        <v>3</v>
      </c>
      <c r="J178" t="n">
        <v>6</v>
      </c>
      <c r="K178" t="n">
        <v>0</v>
      </c>
      <c r="L178" t="n">
        <v>0</v>
      </c>
      <c r="M178" t="n">
        <v>0</v>
      </c>
      <c r="N178" t="n">
        <v>0</v>
      </c>
      <c r="O178" t="n">
        <v>6</v>
      </c>
      <c r="P178" t="n">
        <v>0</v>
      </c>
      <c r="Q178" t="n">
        <v>10</v>
      </c>
      <c r="R178" s="2" t="inlineStr">
        <is>
          <t>Gammelgransskål
Garnlav
Skrovellav
Spillkråka
Talltita
Tretåig hackspett
Gytterlav
Stor revmossa
Stuplav
Revlummer</t>
        </is>
      </c>
      <c r="S178">
        <f>HYPERLINK("https://klasma.github.io/Logging_ARE/artfynd/A 20658-2021.xlsx")</f>
        <v/>
      </c>
      <c r="T178">
        <f>HYPERLINK("https://klasma.github.io/Logging_ARE/kartor/A 20658-2021.png")</f>
        <v/>
      </c>
      <c r="V178">
        <f>HYPERLINK("https://klasma.github.io/Logging_ARE/klagomål/A 20658-2021.docx")</f>
        <v/>
      </c>
      <c r="W178">
        <f>HYPERLINK("https://klasma.github.io/Logging_ARE/klagomålsmail/A 20658-2021.docx")</f>
        <v/>
      </c>
      <c r="X178">
        <f>HYPERLINK("https://klasma.github.io/Logging_ARE/tillsyn/A 20658-2021.docx")</f>
        <v/>
      </c>
      <c r="Y178">
        <f>HYPERLINK("https://klasma.github.io/Logging_ARE/tillsynsmail/A 20658-2021.docx")</f>
        <v/>
      </c>
    </row>
    <row r="179" ht="15" customHeight="1">
      <c r="A179" t="inlineStr">
        <is>
          <t>A 13484-2022</t>
        </is>
      </c>
      <c r="B179" s="1" t="n">
        <v>44645</v>
      </c>
      <c r="C179" s="1" t="n">
        <v>45182</v>
      </c>
      <c r="D179" t="inlineStr">
        <is>
          <t>JÄMTLANDS LÄN</t>
        </is>
      </c>
      <c r="E179" t="inlineStr">
        <is>
          <t>RAGUNDA</t>
        </is>
      </c>
      <c r="F179" t="inlineStr">
        <is>
          <t>SCA</t>
        </is>
      </c>
      <c r="G179" t="n">
        <v>10.7</v>
      </c>
      <c r="H179" t="n">
        <v>0</v>
      </c>
      <c r="I179" t="n">
        <v>2</v>
      </c>
      <c r="J179" t="n">
        <v>8</v>
      </c>
      <c r="K179" t="n">
        <v>0</v>
      </c>
      <c r="L179" t="n">
        <v>0</v>
      </c>
      <c r="M179" t="n">
        <v>0</v>
      </c>
      <c r="N179" t="n">
        <v>0</v>
      </c>
      <c r="O179" t="n">
        <v>8</v>
      </c>
      <c r="P179" t="n">
        <v>0</v>
      </c>
      <c r="Q179" t="n">
        <v>10</v>
      </c>
      <c r="R179" s="2" t="inlineStr">
        <is>
          <t>Blanksvart spiklav
Dvärgbägarlav
Garnlav
Kolflarnlav
Mörk kolflarnlav
Skrovellav
Vedflamlav
Vedskivlav
Dropptaggsvamp
Skuggblåslav</t>
        </is>
      </c>
      <c r="S179">
        <f>HYPERLINK("https://klasma.github.io/Logging_RAGUNDA/artfynd/A 13484-2022.xlsx")</f>
        <v/>
      </c>
      <c r="T179">
        <f>HYPERLINK("https://klasma.github.io/Logging_RAGUNDA/kartor/A 13484-2022.png")</f>
        <v/>
      </c>
      <c r="V179">
        <f>HYPERLINK("https://klasma.github.io/Logging_RAGUNDA/klagomål/A 13484-2022.docx")</f>
        <v/>
      </c>
      <c r="W179">
        <f>HYPERLINK("https://klasma.github.io/Logging_RAGUNDA/klagomålsmail/A 13484-2022.docx")</f>
        <v/>
      </c>
      <c r="X179">
        <f>HYPERLINK("https://klasma.github.io/Logging_RAGUNDA/tillsyn/A 13484-2022.docx")</f>
        <v/>
      </c>
      <c r="Y179">
        <f>HYPERLINK("https://klasma.github.io/Logging_RAGUNDA/tillsynsmail/A 13484-2022.docx")</f>
        <v/>
      </c>
    </row>
    <row r="180" ht="15" customHeight="1">
      <c r="A180" t="inlineStr">
        <is>
          <t>A 17749-2022</t>
        </is>
      </c>
      <c r="B180" s="1" t="n">
        <v>44680</v>
      </c>
      <c r="C180" s="1" t="n">
        <v>45182</v>
      </c>
      <c r="D180" t="inlineStr">
        <is>
          <t>JÄMTLANDS LÄN</t>
        </is>
      </c>
      <c r="E180" t="inlineStr">
        <is>
          <t>HÄRJEDALEN</t>
        </is>
      </c>
      <c r="F180" t="inlineStr">
        <is>
          <t>SCA</t>
        </is>
      </c>
      <c r="G180" t="n">
        <v>17.6</v>
      </c>
      <c r="H180" t="n">
        <v>0</v>
      </c>
      <c r="I180" t="n">
        <v>2</v>
      </c>
      <c r="J180" t="n">
        <v>6</v>
      </c>
      <c r="K180" t="n">
        <v>2</v>
      </c>
      <c r="L180" t="n">
        <v>0</v>
      </c>
      <c r="M180" t="n">
        <v>0</v>
      </c>
      <c r="N180" t="n">
        <v>0</v>
      </c>
      <c r="O180" t="n">
        <v>8</v>
      </c>
      <c r="P180" t="n">
        <v>2</v>
      </c>
      <c r="Q180" t="n">
        <v>10</v>
      </c>
      <c r="R180" s="2" t="inlineStr">
        <is>
          <t>Goliatmusseron
Tallgråticka
Blå taggsvamp
Orange taggsvamp
Skrovlig taggsvamp
Tallriska
Talltaggsvamp
Vaddporing
Dropptaggsvamp
Skarp dropptaggsvamp</t>
        </is>
      </c>
      <c r="S180">
        <f>HYPERLINK("https://klasma.github.io/Logging_HARJEDALEN/artfynd/A 17749-2022.xlsx")</f>
        <v/>
      </c>
      <c r="T180">
        <f>HYPERLINK("https://klasma.github.io/Logging_HARJEDALEN/kartor/A 17749-2022.png")</f>
        <v/>
      </c>
      <c r="V180">
        <f>HYPERLINK("https://klasma.github.io/Logging_HARJEDALEN/klagomål/A 17749-2022.docx")</f>
        <v/>
      </c>
      <c r="W180">
        <f>HYPERLINK("https://klasma.github.io/Logging_HARJEDALEN/klagomålsmail/A 17749-2022.docx")</f>
        <v/>
      </c>
      <c r="X180">
        <f>HYPERLINK("https://klasma.github.io/Logging_HARJEDALEN/tillsyn/A 17749-2022.docx")</f>
        <v/>
      </c>
      <c r="Y180">
        <f>HYPERLINK("https://klasma.github.io/Logging_HARJEDALEN/tillsynsmail/A 17749-2022.docx")</f>
        <v/>
      </c>
    </row>
    <row r="181" ht="15" customHeight="1">
      <c r="A181" t="inlineStr">
        <is>
          <t>A 26141-2022</t>
        </is>
      </c>
      <c r="B181" s="1" t="n">
        <v>44734</v>
      </c>
      <c r="C181" s="1" t="n">
        <v>45182</v>
      </c>
      <c r="D181" t="inlineStr">
        <is>
          <t>JÄMTLANDS LÄN</t>
        </is>
      </c>
      <c r="E181" t="inlineStr">
        <is>
          <t>STRÖMSUND</t>
        </is>
      </c>
      <c r="F181" t="inlineStr">
        <is>
          <t>SCA</t>
        </is>
      </c>
      <c r="G181" t="n">
        <v>7.5</v>
      </c>
      <c r="H181" t="n">
        <v>2</v>
      </c>
      <c r="I181" t="n">
        <v>1</v>
      </c>
      <c r="J181" t="n">
        <v>9</v>
      </c>
      <c r="K181" t="n">
        <v>0</v>
      </c>
      <c r="L181" t="n">
        <v>0</v>
      </c>
      <c r="M181" t="n">
        <v>0</v>
      </c>
      <c r="N181" t="n">
        <v>0</v>
      </c>
      <c r="O181" t="n">
        <v>9</v>
      </c>
      <c r="P181" t="n">
        <v>0</v>
      </c>
      <c r="Q181" t="n">
        <v>10</v>
      </c>
      <c r="R181" s="2" t="inlineStr">
        <is>
          <t>Doftskinn
Gammelgransskål
Garnlav
Granticka
Gränsticka
Talltita
Tretåig hackspett
Ullticka
Vitgrynig nållav
Vedticka</t>
        </is>
      </c>
      <c r="S181">
        <f>HYPERLINK("https://klasma.github.io/Logging_STROMSUND/artfynd/A 26141-2022.xlsx")</f>
        <v/>
      </c>
      <c r="T181">
        <f>HYPERLINK("https://klasma.github.io/Logging_STROMSUND/kartor/A 26141-2022.png")</f>
        <v/>
      </c>
      <c r="V181">
        <f>HYPERLINK("https://klasma.github.io/Logging_STROMSUND/klagomål/A 26141-2022.docx")</f>
        <v/>
      </c>
      <c r="W181">
        <f>HYPERLINK("https://klasma.github.io/Logging_STROMSUND/klagomålsmail/A 26141-2022.docx")</f>
        <v/>
      </c>
      <c r="X181">
        <f>HYPERLINK("https://klasma.github.io/Logging_STROMSUND/tillsyn/A 26141-2022.docx")</f>
        <v/>
      </c>
      <c r="Y181">
        <f>HYPERLINK("https://klasma.github.io/Logging_STROMSUND/tillsynsmail/A 26141-2022.docx")</f>
        <v/>
      </c>
    </row>
    <row r="182" ht="15" customHeight="1">
      <c r="A182" t="inlineStr">
        <is>
          <t>A 34678-2022</t>
        </is>
      </c>
      <c r="B182" s="1" t="n">
        <v>44795</v>
      </c>
      <c r="C182" s="1" t="n">
        <v>45182</v>
      </c>
      <c r="D182" t="inlineStr">
        <is>
          <t>JÄMTLANDS LÄN</t>
        </is>
      </c>
      <c r="E182" t="inlineStr">
        <is>
          <t>KROKOM</t>
        </is>
      </c>
      <c r="F182" t="inlineStr">
        <is>
          <t>Övriga Aktiebolag</t>
        </is>
      </c>
      <c r="G182" t="n">
        <v>16.9</v>
      </c>
      <c r="H182" t="n">
        <v>1</v>
      </c>
      <c r="I182" t="n">
        <v>2</v>
      </c>
      <c r="J182" t="n">
        <v>6</v>
      </c>
      <c r="K182" t="n">
        <v>2</v>
      </c>
      <c r="L182" t="n">
        <v>0</v>
      </c>
      <c r="M182" t="n">
        <v>0</v>
      </c>
      <c r="N182" t="n">
        <v>0</v>
      </c>
      <c r="O182" t="n">
        <v>8</v>
      </c>
      <c r="P182" t="n">
        <v>2</v>
      </c>
      <c r="Q182" t="n">
        <v>10</v>
      </c>
      <c r="R182" s="2" t="inlineStr">
        <is>
          <t>Goliatmusseron
Ulltickeporing
Blå taggsvamp
Doftskinn
Grantaggsvamp
Nordlig nållav
Skrovlig taggsvamp
Stjärntagging
Grönpyrola
Plattlummer</t>
        </is>
      </c>
      <c r="S182">
        <f>HYPERLINK("https://klasma.github.io/Logging_KROKOM/artfynd/A 34678-2022.xlsx")</f>
        <v/>
      </c>
      <c r="T182">
        <f>HYPERLINK("https://klasma.github.io/Logging_KROKOM/kartor/A 34678-2022.png")</f>
        <v/>
      </c>
      <c r="V182">
        <f>HYPERLINK("https://klasma.github.io/Logging_KROKOM/klagomål/A 34678-2022.docx")</f>
        <v/>
      </c>
      <c r="W182">
        <f>HYPERLINK("https://klasma.github.io/Logging_KROKOM/klagomålsmail/A 34678-2022.docx")</f>
        <v/>
      </c>
      <c r="X182">
        <f>HYPERLINK("https://klasma.github.io/Logging_KROKOM/tillsyn/A 34678-2022.docx")</f>
        <v/>
      </c>
      <c r="Y182">
        <f>HYPERLINK("https://klasma.github.io/Logging_KROKOM/tillsynsmail/A 34678-2022.docx")</f>
        <v/>
      </c>
    </row>
    <row r="183" ht="15" customHeight="1">
      <c r="A183" t="inlineStr">
        <is>
          <t>A 36371-2022</t>
        </is>
      </c>
      <c r="B183" s="1" t="n">
        <v>44803</v>
      </c>
      <c r="C183" s="1" t="n">
        <v>45182</v>
      </c>
      <c r="D183" t="inlineStr">
        <is>
          <t>JÄMTLANDS LÄN</t>
        </is>
      </c>
      <c r="E183" t="inlineStr">
        <is>
          <t>BRÄCKE</t>
        </is>
      </c>
      <c r="F183" t="inlineStr">
        <is>
          <t>SCA</t>
        </is>
      </c>
      <c r="G183" t="n">
        <v>33.6</v>
      </c>
      <c r="H183" t="n">
        <v>2</v>
      </c>
      <c r="I183" t="n">
        <v>2</v>
      </c>
      <c r="J183" t="n">
        <v>5</v>
      </c>
      <c r="K183" t="n">
        <v>3</v>
      </c>
      <c r="L183" t="n">
        <v>0</v>
      </c>
      <c r="M183" t="n">
        <v>0</v>
      </c>
      <c r="N183" t="n">
        <v>0</v>
      </c>
      <c r="O183" t="n">
        <v>8</v>
      </c>
      <c r="P183" t="n">
        <v>3</v>
      </c>
      <c r="Q183" t="n">
        <v>10</v>
      </c>
      <c r="R183" s="2" t="inlineStr">
        <is>
          <t>Borsttagging
Knärot
Rynkskinn
Kolflarnlav
Lunglav
Rosenticka
Talltita
Ullticka
Stor aspticka
Vedticka</t>
        </is>
      </c>
      <c r="S183">
        <f>HYPERLINK("https://klasma.github.io/Logging_BRACKE/artfynd/A 36371-2022.xlsx")</f>
        <v/>
      </c>
      <c r="T183">
        <f>HYPERLINK("https://klasma.github.io/Logging_BRACKE/kartor/A 36371-2022.png")</f>
        <v/>
      </c>
      <c r="U183">
        <f>HYPERLINK("https://klasma.github.io/Logging_BRACKE/knärot/A 36371-2022.png")</f>
        <v/>
      </c>
      <c r="V183">
        <f>HYPERLINK("https://klasma.github.io/Logging_BRACKE/klagomål/A 36371-2022.docx")</f>
        <v/>
      </c>
      <c r="W183">
        <f>HYPERLINK("https://klasma.github.io/Logging_BRACKE/klagomålsmail/A 36371-2022.docx")</f>
        <v/>
      </c>
      <c r="X183">
        <f>HYPERLINK("https://klasma.github.io/Logging_BRACKE/tillsyn/A 36371-2022.docx")</f>
        <v/>
      </c>
      <c r="Y183">
        <f>HYPERLINK("https://klasma.github.io/Logging_BRACKE/tillsynsmail/A 36371-2022.docx")</f>
        <v/>
      </c>
    </row>
    <row r="184" ht="15" customHeight="1">
      <c r="A184" t="inlineStr">
        <is>
          <t>A 54246-2022</t>
        </is>
      </c>
      <c r="B184" s="1" t="n">
        <v>44881</v>
      </c>
      <c r="C184" s="1" t="n">
        <v>45182</v>
      </c>
      <c r="D184" t="inlineStr">
        <is>
          <t>JÄMTLANDS LÄN</t>
        </is>
      </c>
      <c r="E184" t="inlineStr">
        <is>
          <t>STRÖMSUND</t>
        </is>
      </c>
      <c r="F184" t="inlineStr">
        <is>
          <t>SCA</t>
        </is>
      </c>
      <c r="G184" t="n">
        <v>8.199999999999999</v>
      </c>
      <c r="H184" t="n">
        <v>3</v>
      </c>
      <c r="I184" t="n">
        <v>3</v>
      </c>
      <c r="J184" t="n">
        <v>7</v>
      </c>
      <c r="K184" t="n">
        <v>0</v>
      </c>
      <c r="L184" t="n">
        <v>0</v>
      </c>
      <c r="M184" t="n">
        <v>0</v>
      </c>
      <c r="N184" t="n">
        <v>0</v>
      </c>
      <c r="O184" t="n">
        <v>7</v>
      </c>
      <c r="P184" t="n">
        <v>0</v>
      </c>
      <c r="Q184" t="n">
        <v>10</v>
      </c>
      <c r="R184" s="2" t="inlineStr">
        <is>
          <t>Gammelgransskål
Garnlav
Granticka
Lunglav
Skrovellav
Spillkråka
Tretåig hackspett
Bårdlav
Spindelblomster
Stuplav</t>
        </is>
      </c>
      <c r="S184">
        <f>HYPERLINK("https://klasma.github.io/Logging_STROMSUND/artfynd/A 54246-2022.xlsx")</f>
        <v/>
      </c>
      <c r="T184">
        <f>HYPERLINK("https://klasma.github.io/Logging_STROMSUND/kartor/A 54246-2022.png")</f>
        <v/>
      </c>
      <c r="V184">
        <f>HYPERLINK("https://klasma.github.io/Logging_STROMSUND/klagomål/A 54246-2022.docx")</f>
        <v/>
      </c>
      <c r="W184">
        <f>HYPERLINK("https://klasma.github.io/Logging_STROMSUND/klagomålsmail/A 54246-2022.docx")</f>
        <v/>
      </c>
      <c r="X184">
        <f>HYPERLINK("https://klasma.github.io/Logging_STROMSUND/tillsyn/A 54246-2022.docx")</f>
        <v/>
      </c>
      <c r="Y184">
        <f>HYPERLINK("https://klasma.github.io/Logging_STROMSUND/tillsynsmail/A 54246-2022.docx")</f>
        <v/>
      </c>
    </row>
    <row r="185" ht="15" customHeight="1">
      <c r="A185" t="inlineStr">
        <is>
          <t>A 54906-2022</t>
        </is>
      </c>
      <c r="B185" s="1" t="n">
        <v>44886</v>
      </c>
      <c r="C185" s="1" t="n">
        <v>45182</v>
      </c>
      <c r="D185" t="inlineStr">
        <is>
          <t>JÄMTLANDS LÄN</t>
        </is>
      </c>
      <c r="E185" t="inlineStr">
        <is>
          <t>STRÖMSUND</t>
        </is>
      </c>
      <c r="G185" t="n">
        <v>20.9</v>
      </c>
      <c r="H185" t="n">
        <v>5</v>
      </c>
      <c r="I185" t="n">
        <v>6</v>
      </c>
      <c r="J185" t="n">
        <v>2</v>
      </c>
      <c r="K185" t="n">
        <v>1</v>
      </c>
      <c r="L185" t="n">
        <v>0</v>
      </c>
      <c r="M185" t="n">
        <v>0</v>
      </c>
      <c r="N185" t="n">
        <v>0</v>
      </c>
      <c r="O185" t="n">
        <v>3</v>
      </c>
      <c r="P185" t="n">
        <v>1</v>
      </c>
      <c r="Q185" t="n">
        <v>10</v>
      </c>
      <c r="R185" s="2" t="inlineStr">
        <is>
          <t>Finnstarr
Lunglav
Tretåig hackspett
Finbräken
Gytterlav
Korallrot
Kransrams
Spindelblomster
Stuplav
Lopplummer</t>
        </is>
      </c>
      <c r="S185">
        <f>HYPERLINK("https://klasma.github.io/Logging_STROMSUND/artfynd/A 54906-2022.xlsx")</f>
        <v/>
      </c>
      <c r="T185">
        <f>HYPERLINK("https://klasma.github.io/Logging_STROMSUND/kartor/A 54906-2022.png")</f>
        <v/>
      </c>
      <c r="V185">
        <f>HYPERLINK("https://klasma.github.io/Logging_STROMSUND/klagomål/A 54906-2022.docx")</f>
        <v/>
      </c>
      <c r="W185">
        <f>HYPERLINK("https://klasma.github.io/Logging_STROMSUND/klagomålsmail/A 54906-2022.docx")</f>
        <v/>
      </c>
      <c r="X185">
        <f>HYPERLINK("https://klasma.github.io/Logging_STROMSUND/tillsyn/A 54906-2022.docx")</f>
        <v/>
      </c>
      <c r="Y185">
        <f>HYPERLINK("https://klasma.github.io/Logging_STROMSUND/tillsynsmail/A 54906-2022.docx")</f>
        <v/>
      </c>
    </row>
    <row r="186" ht="15" customHeight="1">
      <c r="A186" t="inlineStr">
        <is>
          <t>A 55894-2022</t>
        </is>
      </c>
      <c r="B186" s="1" t="n">
        <v>44888</v>
      </c>
      <c r="C186" s="1" t="n">
        <v>45182</v>
      </c>
      <c r="D186" t="inlineStr">
        <is>
          <t>JÄMTLANDS LÄN</t>
        </is>
      </c>
      <c r="E186" t="inlineStr">
        <is>
          <t>RAGUNDA</t>
        </is>
      </c>
      <c r="F186" t="inlineStr">
        <is>
          <t>SCA</t>
        </is>
      </c>
      <c r="G186" t="n">
        <v>3.8</v>
      </c>
      <c r="H186" t="n">
        <v>2</v>
      </c>
      <c r="I186" t="n">
        <v>5</v>
      </c>
      <c r="J186" t="n">
        <v>4</v>
      </c>
      <c r="K186" t="n">
        <v>0</v>
      </c>
      <c r="L186" t="n">
        <v>0</v>
      </c>
      <c r="M186" t="n">
        <v>0</v>
      </c>
      <c r="N186" t="n">
        <v>0</v>
      </c>
      <c r="O186" t="n">
        <v>4</v>
      </c>
      <c r="P186" t="n">
        <v>0</v>
      </c>
      <c r="Q186" t="n">
        <v>10</v>
      </c>
      <c r="R186" s="2" t="inlineStr">
        <is>
          <t>Garnlav
Granticka
Lunglav
Spillkråka
Källmossa
Luddlav
Stuplav
Vedticka
Ögonpyrola
Revlummer</t>
        </is>
      </c>
      <c r="S186">
        <f>HYPERLINK("https://klasma.github.io/Logging_RAGUNDA/artfynd/A 55894-2022.xlsx")</f>
        <v/>
      </c>
      <c r="T186">
        <f>HYPERLINK("https://klasma.github.io/Logging_RAGUNDA/kartor/A 55894-2022.png")</f>
        <v/>
      </c>
      <c r="V186">
        <f>HYPERLINK("https://klasma.github.io/Logging_RAGUNDA/klagomål/A 55894-2022.docx")</f>
        <v/>
      </c>
      <c r="W186">
        <f>HYPERLINK("https://klasma.github.io/Logging_RAGUNDA/klagomålsmail/A 55894-2022.docx")</f>
        <v/>
      </c>
      <c r="X186">
        <f>HYPERLINK("https://klasma.github.io/Logging_RAGUNDA/tillsyn/A 55894-2022.docx")</f>
        <v/>
      </c>
      <c r="Y186">
        <f>HYPERLINK("https://klasma.github.io/Logging_RAGUNDA/tillsynsmail/A 55894-2022.docx")</f>
        <v/>
      </c>
    </row>
    <row r="187" ht="15" customHeight="1">
      <c r="A187" t="inlineStr">
        <is>
          <t>A 1470-2023</t>
        </is>
      </c>
      <c r="B187" s="1" t="n">
        <v>44931</v>
      </c>
      <c r="C187" s="1" t="n">
        <v>45182</v>
      </c>
      <c r="D187" t="inlineStr">
        <is>
          <t>JÄMTLANDS LÄN</t>
        </is>
      </c>
      <c r="E187" t="inlineStr">
        <is>
          <t>STRÖMSUND</t>
        </is>
      </c>
      <c r="G187" t="n">
        <v>39.8</v>
      </c>
      <c r="H187" t="n">
        <v>3</v>
      </c>
      <c r="I187" t="n">
        <v>3</v>
      </c>
      <c r="J187" t="n">
        <v>6</v>
      </c>
      <c r="K187" t="n">
        <v>0</v>
      </c>
      <c r="L187" t="n">
        <v>0</v>
      </c>
      <c r="M187" t="n">
        <v>0</v>
      </c>
      <c r="N187" t="n">
        <v>0</v>
      </c>
      <c r="O187" t="n">
        <v>6</v>
      </c>
      <c r="P187" t="n">
        <v>0</v>
      </c>
      <c r="Q187" t="n">
        <v>10</v>
      </c>
      <c r="R187" s="2" t="inlineStr">
        <is>
          <t>Doftskinn
Garnlav
Granticka
Harticka
Talltita
Tretåig hackspett
Kransrams
Stuplav
Ögonpyrola
Fläcknycklar</t>
        </is>
      </c>
      <c r="S187">
        <f>HYPERLINK("https://klasma.github.io/Logging_STROMSUND/artfynd/A 1470-2023.xlsx")</f>
        <v/>
      </c>
      <c r="T187">
        <f>HYPERLINK("https://klasma.github.io/Logging_STROMSUND/kartor/A 1470-2023.png")</f>
        <v/>
      </c>
      <c r="V187">
        <f>HYPERLINK("https://klasma.github.io/Logging_STROMSUND/klagomål/A 1470-2023.docx")</f>
        <v/>
      </c>
      <c r="W187">
        <f>HYPERLINK("https://klasma.github.io/Logging_STROMSUND/klagomålsmail/A 1470-2023.docx")</f>
        <v/>
      </c>
      <c r="X187">
        <f>HYPERLINK("https://klasma.github.io/Logging_STROMSUND/tillsyn/A 1470-2023.docx")</f>
        <v/>
      </c>
      <c r="Y187">
        <f>HYPERLINK("https://klasma.github.io/Logging_STROMSUND/tillsynsmail/A 1470-2023.docx")</f>
        <v/>
      </c>
    </row>
    <row r="188" ht="15" customHeight="1">
      <c r="A188" t="inlineStr">
        <is>
          <t>A 18460-2023</t>
        </is>
      </c>
      <c r="B188" s="1" t="n">
        <v>45041</v>
      </c>
      <c r="C188" s="1" t="n">
        <v>45182</v>
      </c>
      <c r="D188" t="inlineStr">
        <is>
          <t>JÄMTLANDS LÄN</t>
        </is>
      </c>
      <c r="E188" t="inlineStr">
        <is>
          <t>KROKOM</t>
        </is>
      </c>
      <c r="G188" t="n">
        <v>23.8</v>
      </c>
      <c r="H188" t="n">
        <v>1</v>
      </c>
      <c r="I188" t="n">
        <v>2</v>
      </c>
      <c r="J188" t="n">
        <v>8</v>
      </c>
      <c r="K188" t="n">
        <v>0</v>
      </c>
      <c r="L188" t="n">
        <v>0</v>
      </c>
      <c r="M188" t="n">
        <v>0</v>
      </c>
      <c r="N188" t="n">
        <v>0</v>
      </c>
      <c r="O188" t="n">
        <v>8</v>
      </c>
      <c r="P188" t="n">
        <v>0</v>
      </c>
      <c r="Q188" t="n">
        <v>10</v>
      </c>
      <c r="R188" s="2" t="inlineStr">
        <is>
          <t>Brunpudrad nållav
Garnlav
Granticka
Harticka
Rödbrun blekspik
Tretåig hackspett
Ullticka
Vitskaftad svartspik
Gulnål
Vedticka</t>
        </is>
      </c>
      <c r="S188">
        <f>HYPERLINK("https://klasma.github.io/Logging_KROKOM/artfynd/A 18460-2023.xlsx")</f>
        <v/>
      </c>
      <c r="T188">
        <f>HYPERLINK("https://klasma.github.io/Logging_KROKOM/kartor/A 18460-2023.png")</f>
        <v/>
      </c>
      <c r="V188">
        <f>HYPERLINK("https://klasma.github.io/Logging_KROKOM/klagomål/A 18460-2023.docx")</f>
        <v/>
      </c>
      <c r="W188">
        <f>HYPERLINK("https://klasma.github.io/Logging_KROKOM/klagomålsmail/A 18460-2023.docx")</f>
        <v/>
      </c>
      <c r="X188">
        <f>HYPERLINK("https://klasma.github.io/Logging_KROKOM/tillsyn/A 18460-2023.docx")</f>
        <v/>
      </c>
      <c r="Y188">
        <f>HYPERLINK("https://klasma.github.io/Logging_KROKOM/tillsynsmail/A 18460-2023.docx")</f>
        <v/>
      </c>
    </row>
    <row r="189" ht="15" customHeight="1">
      <c r="A189" t="inlineStr">
        <is>
          <t>A 30201-2023</t>
        </is>
      </c>
      <c r="B189" s="1" t="n">
        <v>45099</v>
      </c>
      <c r="C189" s="1" t="n">
        <v>45182</v>
      </c>
      <c r="D189" t="inlineStr">
        <is>
          <t>JÄMTLANDS LÄN</t>
        </is>
      </c>
      <c r="E189" t="inlineStr">
        <is>
          <t>ÖSTERSUND</t>
        </is>
      </c>
      <c r="G189" t="n">
        <v>6.5</v>
      </c>
      <c r="H189" t="n">
        <v>3</v>
      </c>
      <c r="I189" t="n">
        <v>7</v>
      </c>
      <c r="J189" t="n">
        <v>1</v>
      </c>
      <c r="K189" t="n">
        <v>0</v>
      </c>
      <c r="L189" t="n">
        <v>1</v>
      </c>
      <c r="M189" t="n">
        <v>0</v>
      </c>
      <c r="N189" t="n">
        <v>0</v>
      </c>
      <c r="O189" t="n">
        <v>2</v>
      </c>
      <c r="P189" t="n">
        <v>1</v>
      </c>
      <c r="Q189" t="n">
        <v>10</v>
      </c>
      <c r="R189" s="2" t="inlineStr">
        <is>
          <t>Trolldruvemätare
Granticka
Guckusko
Kransrams
Svart trolldruva
Tibast
Tvåblad
Underviol
Vårärt
Blåsippa</t>
        </is>
      </c>
      <c r="S189">
        <f>HYPERLINK("https://klasma.github.io/Logging_OSTERSUND/artfynd/A 30201-2023.xlsx")</f>
        <v/>
      </c>
      <c r="T189">
        <f>HYPERLINK("https://klasma.github.io/Logging_OSTERSUND/kartor/A 30201-2023.png")</f>
        <v/>
      </c>
      <c r="V189">
        <f>HYPERLINK("https://klasma.github.io/Logging_OSTERSUND/klagomål/A 30201-2023.docx")</f>
        <v/>
      </c>
      <c r="W189">
        <f>HYPERLINK("https://klasma.github.io/Logging_OSTERSUND/klagomålsmail/A 30201-2023.docx")</f>
        <v/>
      </c>
      <c r="X189">
        <f>HYPERLINK("https://klasma.github.io/Logging_OSTERSUND/tillsyn/A 30201-2023.docx")</f>
        <v/>
      </c>
      <c r="Y189">
        <f>HYPERLINK("https://klasma.github.io/Logging_OSTERSUND/tillsynsmail/A 30201-2023.docx")</f>
        <v/>
      </c>
    </row>
    <row r="190" ht="15" customHeight="1">
      <c r="A190" t="inlineStr">
        <is>
          <t>A 42184-2018</t>
        </is>
      </c>
      <c r="B190" s="1" t="n">
        <v>43353</v>
      </c>
      <c r="C190" s="1" t="n">
        <v>45182</v>
      </c>
      <c r="D190" t="inlineStr">
        <is>
          <t>JÄMTLANDS LÄN</t>
        </is>
      </c>
      <c r="E190" t="inlineStr">
        <is>
          <t>RAGUNDA</t>
        </is>
      </c>
      <c r="F190" t="inlineStr">
        <is>
          <t>SCA</t>
        </is>
      </c>
      <c r="G190" t="n">
        <v>31.6</v>
      </c>
      <c r="H190" t="n">
        <v>0</v>
      </c>
      <c r="I190" t="n">
        <v>1</v>
      </c>
      <c r="J190" t="n">
        <v>8</v>
      </c>
      <c r="K190" t="n">
        <v>0</v>
      </c>
      <c r="L190" t="n">
        <v>0</v>
      </c>
      <c r="M190" t="n">
        <v>0</v>
      </c>
      <c r="N190" t="n">
        <v>0</v>
      </c>
      <c r="O190" t="n">
        <v>8</v>
      </c>
      <c r="P190" t="n">
        <v>0</v>
      </c>
      <c r="Q190" t="n">
        <v>9</v>
      </c>
      <c r="R190" s="2" t="inlineStr">
        <is>
          <t>Blanksvart spiklav
Gammelgransskål
Garnlav
Granticka
Lunglav
Ullticka
Vedflamlav
Vedskivlav
Stor aspticka</t>
        </is>
      </c>
      <c r="S190">
        <f>HYPERLINK("https://klasma.github.io/Logging_RAGUNDA/artfynd/A 42184-2018.xlsx")</f>
        <v/>
      </c>
      <c r="T190">
        <f>HYPERLINK("https://klasma.github.io/Logging_RAGUNDA/kartor/A 42184-2018.png")</f>
        <v/>
      </c>
      <c r="V190">
        <f>HYPERLINK("https://klasma.github.io/Logging_RAGUNDA/klagomål/A 42184-2018.docx")</f>
        <v/>
      </c>
      <c r="W190">
        <f>HYPERLINK("https://klasma.github.io/Logging_RAGUNDA/klagomålsmail/A 42184-2018.docx")</f>
        <v/>
      </c>
      <c r="X190">
        <f>HYPERLINK("https://klasma.github.io/Logging_RAGUNDA/tillsyn/A 42184-2018.docx")</f>
        <v/>
      </c>
      <c r="Y190">
        <f>HYPERLINK("https://klasma.github.io/Logging_RAGUNDA/tillsynsmail/A 42184-2018.docx")</f>
        <v/>
      </c>
    </row>
    <row r="191" ht="15" customHeight="1">
      <c r="A191" t="inlineStr">
        <is>
          <t>A 59998-2018</t>
        </is>
      </c>
      <c r="B191" s="1" t="n">
        <v>43411</v>
      </c>
      <c r="C191" s="1" t="n">
        <v>45182</v>
      </c>
      <c r="D191" t="inlineStr">
        <is>
          <t>JÄMTLANDS LÄN</t>
        </is>
      </c>
      <c r="E191" t="inlineStr">
        <is>
          <t>STRÖMSUND</t>
        </is>
      </c>
      <c r="F191" t="inlineStr">
        <is>
          <t>SCA</t>
        </is>
      </c>
      <c r="G191" t="n">
        <v>3.5</v>
      </c>
      <c r="H191" t="n">
        <v>0</v>
      </c>
      <c r="I191" t="n">
        <v>3</v>
      </c>
      <c r="J191" t="n">
        <v>6</v>
      </c>
      <c r="K191" t="n">
        <v>0</v>
      </c>
      <c r="L191" t="n">
        <v>0</v>
      </c>
      <c r="M191" t="n">
        <v>0</v>
      </c>
      <c r="N191" t="n">
        <v>0</v>
      </c>
      <c r="O191" t="n">
        <v>6</v>
      </c>
      <c r="P191" t="n">
        <v>0</v>
      </c>
      <c r="Q191" t="n">
        <v>9</v>
      </c>
      <c r="R191" s="2" t="inlineStr">
        <is>
          <t>Gammelgransskål
Lunglav
Skrovellav
Ullticka
Vedskivlav
Vedtrappmossa
Bårdlav
Luddlav
Vedticka</t>
        </is>
      </c>
      <c r="S191">
        <f>HYPERLINK("https://klasma.github.io/Logging_STROMSUND/artfynd/A 59998-2018.xlsx")</f>
        <v/>
      </c>
      <c r="T191">
        <f>HYPERLINK("https://klasma.github.io/Logging_STROMSUND/kartor/A 59998-2018.png")</f>
        <v/>
      </c>
      <c r="V191">
        <f>HYPERLINK("https://klasma.github.io/Logging_STROMSUND/klagomål/A 59998-2018.docx")</f>
        <v/>
      </c>
      <c r="W191">
        <f>HYPERLINK("https://klasma.github.io/Logging_STROMSUND/klagomålsmail/A 59998-2018.docx")</f>
        <v/>
      </c>
      <c r="X191">
        <f>HYPERLINK("https://klasma.github.io/Logging_STROMSUND/tillsyn/A 59998-2018.docx")</f>
        <v/>
      </c>
      <c r="Y191">
        <f>HYPERLINK("https://klasma.github.io/Logging_STROMSUND/tillsynsmail/A 59998-2018.docx")</f>
        <v/>
      </c>
    </row>
    <row r="192" ht="15" customHeight="1">
      <c r="A192" t="inlineStr">
        <is>
          <t>A 62518-2018</t>
        </is>
      </c>
      <c r="B192" s="1" t="n">
        <v>43413</v>
      </c>
      <c r="C192" s="1" t="n">
        <v>45182</v>
      </c>
      <c r="D192" t="inlineStr">
        <is>
          <t>JÄMTLANDS LÄN</t>
        </is>
      </c>
      <c r="E192" t="inlineStr">
        <is>
          <t>STRÖMSUND</t>
        </is>
      </c>
      <c r="F192" t="inlineStr">
        <is>
          <t>SCA</t>
        </is>
      </c>
      <c r="G192" t="n">
        <v>3.5</v>
      </c>
      <c r="H192" t="n">
        <v>0</v>
      </c>
      <c r="I192" t="n">
        <v>3</v>
      </c>
      <c r="J192" t="n">
        <v>6</v>
      </c>
      <c r="K192" t="n">
        <v>0</v>
      </c>
      <c r="L192" t="n">
        <v>0</v>
      </c>
      <c r="M192" t="n">
        <v>0</v>
      </c>
      <c r="N192" t="n">
        <v>0</v>
      </c>
      <c r="O192" t="n">
        <v>6</v>
      </c>
      <c r="P192" t="n">
        <v>0</v>
      </c>
      <c r="Q192" t="n">
        <v>9</v>
      </c>
      <c r="R192" s="2" t="inlineStr">
        <is>
          <t>Gammelgransskål
Lunglav
Skrovellav
Ullticka
Vedskivlav
Vedtrappmossa
Bårdlav
Luddlav
Vedticka</t>
        </is>
      </c>
      <c r="S192">
        <f>HYPERLINK("https://klasma.github.io/Logging_STROMSUND/artfynd/A 62518-2018.xlsx")</f>
        <v/>
      </c>
      <c r="T192">
        <f>HYPERLINK("https://klasma.github.io/Logging_STROMSUND/kartor/A 62518-2018.png")</f>
        <v/>
      </c>
      <c r="V192">
        <f>HYPERLINK("https://klasma.github.io/Logging_STROMSUND/klagomål/A 62518-2018.docx")</f>
        <v/>
      </c>
      <c r="W192">
        <f>HYPERLINK("https://klasma.github.io/Logging_STROMSUND/klagomålsmail/A 62518-2018.docx")</f>
        <v/>
      </c>
      <c r="X192">
        <f>HYPERLINK("https://klasma.github.io/Logging_STROMSUND/tillsyn/A 62518-2018.docx")</f>
        <v/>
      </c>
      <c r="Y192">
        <f>HYPERLINK("https://klasma.github.io/Logging_STROMSUND/tillsynsmail/A 62518-2018.docx")</f>
        <v/>
      </c>
    </row>
    <row r="193" ht="15" customHeight="1">
      <c r="A193" t="inlineStr">
        <is>
          <t>A 68297-2018</t>
        </is>
      </c>
      <c r="B193" s="1" t="n">
        <v>43441</v>
      </c>
      <c r="C193" s="1" t="n">
        <v>45182</v>
      </c>
      <c r="D193" t="inlineStr">
        <is>
          <t>JÄMTLANDS LÄN</t>
        </is>
      </c>
      <c r="E193" t="inlineStr">
        <is>
          <t>KROKOM</t>
        </is>
      </c>
      <c r="F193" t="inlineStr">
        <is>
          <t>Övriga Aktiebolag</t>
        </is>
      </c>
      <c r="G193" t="n">
        <v>27.8</v>
      </c>
      <c r="H193" t="n">
        <v>1</v>
      </c>
      <c r="I193" t="n">
        <v>2</v>
      </c>
      <c r="J193" t="n">
        <v>6</v>
      </c>
      <c r="K193" t="n">
        <v>1</v>
      </c>
      <c r="L193" t="n">
        <v>0</v>
      </c>
      <c r="M193" t="n">
        <v>0</v>
      </c>
      <c r="N193" t="n">
        <v>0</v>
      </c>
      <c r="O193" t="n">
        <v>7</v>
      </c>
      <c r="P193" t="n">
        <v>1</v>
      </c>
      <c r="Q193" t="n">
        <v>9</v>
      </c>
      <c r="R193" s="2" t="inlineStr">
        <is>
          <t>Doftticka
Garnlav
Nordtagging
Skrovellav
Vedflamlav
Vedskivlav
Violmussling
Luddlav
Slanklav</t>
        </is>
      </c>
      <c r="S193">
        <f>HYPERLINK("https://klasma.github.io/Logging_KROKOM/artfynd/A 68297-2018.xlsx")</f>
        <v/>
      </c>
      <c r="T193">
        <f>HYPERLINK("https://klasma.github.io/Logging_KROKOM/kartor/A 68297-2018.png")</f>
        <v/>
      </c>
      <c r="V193">
        <f>HYPERLINK("https://klasma.github.io/Logging_KROKOM/klagomål/A 68297-2018.docx")</f>
        <v/>
      </c>
      <c r="W193">
        <f>HYPERLINK("https://klasma.github.io/Logging_KROKOM/klagomålsmail/A 68297-2018.docx")</f>
        <v/>
      </c>
      <c r="X193">
        <f>HYPERLINK("https://klasma.github.io/Logging_KROKOM/tillsyn/A 68297-2018.docx")</f>
        <v/>
      </c>
      <c r="Y193">
        <f>HYPERLINK("https://klasma.github.io/Logging_KROKOM/tillsynsmail/A 68297-2018.docx")</f>
        <v/>
      </c>
    </row>
    <row r="194" ht="15" customHeight="1">
      <c r="A194" t="inlineStr">
        <is>
          <t>A 22472-2019</t>
        </is>
      </c>
      <c r="B194" s="1" t="n">
        <v>43587</v>
      </c>
      <c r="C194" s="1" t="n">
        <v>45182</v>
      </c>
      <c r="D194" t="inlineStr">
        <is>
          <t>JÄMTLANDS LÄN</t>
        </is>
      </c>
      <c r="E194" t="inlineStr">
        <is>
          <t>KROKOM</t>
        </is>
      </c>
      <c r="G194" t="n">
        <v>11.1</v>
      </c>
      <c r="H194" t="n">
        <v>1</v>
      </c>
      <c r="I194" t="n">
        <v>4</v>
      </c>
      <c r="J194" t="n">
        <v>5</v>
      </c>
      <c r="K194" t="n">
        <v>0</v>
      </c>
      <c r="L194" t="n">
        <v>0</v>
      </c>
      <c r="M194" t="n">
        <v>0</v>
      </c>
      <c r="N194" t="n">
        <v>0</v>
      </c>
      <c r="O194" t="n">
        <v>5</v>
      </c>
      <c r="P194" t="n">
        <v>0</v>
      </c>
      <c r="Q194" t="n">
        <v>9</v>
      </c>
      <c r="R194" s="2" t="inlineStr">
        <is>
          <t>Brunpudrad nållav
Lunglav
Skrovellav
Tretåig hackspett
Vitskaftad svartspik
Bårdlav
Korallblylav
Luddlav
Stuplav</t>
        </is>
      </c>
      <c r="S194">
        <f>HYPERLINK("https://klasma.github.io/Logging_KROKOM/artfynd/A 22472-2019.xlsx")</f>
        <v/>
      </c>
      <c r="T194">
        <f>HYPERLINK("https://klasma.github.io/Logging_KROKOM/kartor/A 22472-2019.png")</f>
        <v/>
      </c>
      <c r="V194">
        <f>HYPERLINK("https://klasma.github.io/Logging_KROKOM/klagomål/A 22472-2019.docx")</f>
        <v/>
      </c>
      <c r="W194">
        <f>HYPERLINK("https://klasma.github.io/Logging_KROKOM/klagomålsmail/A 22472-2019.docx")</f>
        <v/>
      </c>
      <c r="X194">
        <f>HYPERLINK("https://klasma.github.io/Logging_KROKOM/tillsyn/A 22472-2019.docx")</f>
        <v/>
      </c>
      <c r="Y194">
        <f>HYPERLINK("https://klasma.github.io/Logging_KROKOM/tillsynsmail/A 22472-2019.docx")</f>
        <v/>
      </c>
    </row>
    <row r="195" ht="15" customHeight="1">
      <c r="A195" t="inlineStr">
        <is>
          <t>A 28319-2019</t>
        </is>
      </c>
      <c r="B195" s="1" t="n">
        <v>43623</v>
      </c>
      <c r="C195" s="1" t="n">
        <v>45182</v>
      </c>
      <c r="D195" t="inlineStr">
        <is>
          <t>JÄMTLANDS LÄN</t>
        </is>
      </c>
      <c r="E195" t="inlineStr">
        <is>
          <t>KROKOM</t>
        </is>
      </c>
      <c r="G195" t="n">
        <v>11.1</v>
      </c>
      <c r="H195" t="n">
        <v>1</v>
      </c>
      <c r="I195" t="n">
        <v>3</v>
      </c>
      <c r="J195" t="n">
        <v>6</v>
      </c>
      <c r="K195" t="n">
        <v>0</v>
      </c>
      <c r="L195" t="n">
        <v>0</v>
      </c>
      <c r="M195" t="n">
        <v>0</v>
      </c>
      <c r="N195" t="n">
        <v>0</v>
      </c>
      <c r="O195" t="n">
        <v>6</v>
      </c>
      <c r="P195" t="n">
        <v>0</v>
      </c>
      <c r="Q195" t="n">
        <v>9</v>
      </c>
      <c r="R195" s="2" t="inlineStr">
        <is>
          <t>Garnlav
Harticka
Lunglav
Skrovellav
Tretåig hackspett
Ullticka
Kransrams
Luddlav
Trådticka</t>
        </is>
      </c>
      <c r="S195">
        <f>HYPERLINK("https://klasma.github.io/Logging_KROKOM/artfynd/A 28319-2019.xlsx")</f>
        <v/>
      </c>
      <c r="T195">
        <f>HYPERLINK("https://klasma.github.io/Logging_KROKOM/kartor/A 28319-2019.png")</f>
        <v/>
      </c>
      <c r="V195">
        <f>HYPERLINK("https://klasma.github.io/Logging_KROKOM/klagomål/A 28319-2019.docx")</f>
        <v/>
      </c>
      <c r="W195">
        <f>HYPERLINK("https://klasma.github.io/Logging_KROKOM/klagomålsmail/A 28319-2019.docx")</f>
        <v/>
      </c>
      <c r="X195">
        <f>HYPERLINK("https://klasma.github.io/Logging_KROKOM/tillsyn/A 28319-2019.docx")</f>
        <v/>
      </c>
      <c r="Y195">
        <f>HYPERLINK("https://klasma.github.io/Logging_KROKOM/tillsynsmail/A 28319-2019.docx")</f>
        <v/>
      </c>
    </row>
    <row r="196" ht="15" customHeight="1">
      <c r="A196" t="inlineStr">
        <is>
          <t>A 46584-2019</t>
        </is>
      </c>
      <c r="B196" s="1" t="n">
        <v>43719</v>
      </c>
      <c r="C196" s="1" t="n">
        <v>45182</v>
      </c>
      <c r="D196" t="inlineStr">
        <is>
          <t>JÄMTLANDS LÄN</t>
        </is>
      </c>
      <c r="E196" t="inlineStr">
        <is>
          <t>ÖSTERSUND</t>
        </is>
      </c>
      <c r="G196" t="n">
        <v>10.1</v>
      </c>
      <c r="H196" t="n">
        <v>1</v>
      </c>
      <c r="I196" t="n">
        <v>1</v>
      </c>
      <c r="J196" t="n">
        <v>6</v>
      </c>
      <c r="K196" t="n">
        <v>1</v>
      </c>
      <c r="L196" t="n">
        <v>0</v>
      </c>
      <c r="M196" t="n">
        <v>0</v>
      </c>
      <c r="N196" t="n">
        <v>0</v>
      </c>
      <c r="O196" t="n">
        <v>7</v>
      </c>
      <c r="P196" t="n">
        <v>1</v>
      </c>
      <c r="Q196" t="n">
        <v>9</v>
      </c>
      <c r="R196" s="2" t="inlineStr">
        <is>
          <t>Rynkskinn
Doftskinn
Garnlav
Granticka
Lunglav
Ullticka
Vitgrynig nållav
Underviol
Blåsippa</t>
        </is>
      </c>
      <c r="S196">
        <f>HYPERLINK("https://klasma.github.io/Logging_OSTERSUND/artfynd/A 46584-2019.xlsx")</f>
        <v/>
      </c>
      <c r="T196">
        <f>HYPERLINK("https://klasma.github.io/Logging_OSTERSUND/kartor/A 46584-2019.png")</f>
        <v/>
      </c>
      <c r="V196">
        <f>HYPERLINK("https://klasma.github.io/Logging_OSTERSUND/klagomål/A 46584-2019.docx")</f>
        <v/>
      </c>
      <c r="W196">
        <f>HYPERLINK("https://klasma.github.io/Logging_OSTERSUND/klagomålsmail/A 46584-2019.docx")</f>
        <v/>
      </c>
      <c r="X196">
        <f>HYPERLINK("https://klasma.github.io/Logging_OSTERSUND/tillsyn/A 46584-2019.docx")</f>
        <v/>
      </c>
      <c r="Y196">
        <f>HYPERLINK("https://klasma.github.io/Logging_OSTERSUND/tillsynsmail/A 46584-2019.docx")</f>
        <v/>
      </c>
    </row>
    <row r="197" ht="15" customHeight="1">
      <c r="A197" t="inlineStr">
        <is>
          <t>A 51070-2019</t>
        </is>
      </c>
      <c r="B197" s="1" t="n">
        <v>43739</v>
      </c>
      <c r="C197" s="1" t="n">
        <v>45182</v>
      </c>
      <c r="D197" t="inlineStr">
        <is>
          <t>JÄMTLANDS LÄN</t>
        </is>
      </c>
      <c r="E197" t="inlineStr">
        <is>
          <t>BRÄCKE</t>
        </is>
      </c>
      <c r="F197" t="inlineStr">
        <is>
          <t>Övriga Aktiebolag</t>
        </is>
      </c>
      <c r="G197" t="n">
        <v>10.6</v>
      </c>
      <c r="H197" t="n">
        <v>0</v>
      </c>
      <c r="I197" t="n">
        <v>4</v>
      </c>
      <c r="J197" t="n">
        <v>5</v>
      </c>
      <c r="K197" t="n">
        <v>0</v>
      </c>
      <c r="L197" t="n">
        <v>0</v>
      </c>
      <c r="M197" t="n">
        <v>0</v>
      </c>
      <c r="N197" t="n">
        <v>0</v>
      </c>
      <c r="O197" t="n">
        <v>5</v>
      </c>
      <c r="P197" t="n">
        <v>0</v>
      </c>
      <c r="Q197" t="n">
        <v>9</v>
      </c>
      <c r="R197" s="2" t="inlineStr">
        <is>
          <t>Granticka
Grynig filtlav
Lunglav
Olivbrun gytterlav
Skrovellav
Bårdlav
Nordlig fjädermossa
Skuggblåslav
Stor aspticka</t>
        </is>
      </c>
      <c r="S197">
        <f>HYPERLINK("https://klasma.github.io/Logging_BRACKE/artfynd/A 51070-2019.xlsx")</f>
        <v/>
      </c>
      <c r="T197">
        <f>HYPERLINK("https://klasma.github.io/Logging_BRACKE/kartor/A 51070-2019.png")</f>
        <v/>
      </c>
      <c r="V197">
        <f>HYPERLINK("https://klasma.github.io/Logging_BRACKE/klagomål/A 51070-2019.docx")</f>
        <v/>
      </c>
      <c r="W197">
        <f>HYPERLINK("https://klasma.github.io/Logging_BRACKE/klagomålsmail/A 51070-2019.docx")</f>
        <v/>
      </c>
      <c r="X197">
        <f>HYPERLINK("https://klasma.github.io/Logging_BRACKE/tillsyn/A 51070-2019.docx")</f>
        <v/>
      </c>
      <c r="Y197">
        <f>HYPERLINK("https://klasma.github.io/Logging_BRACKE/tillsynsmail/A 51070-2019.docx")</f>
        <v/>
      </c>
    </row>
    <row r="198" ht="15" customHeight="1">
      <c r="A198" t="inlineStr">
        <is>
          <t>A 6776-2020</t>
        </is>
      </c>
      <c r="B198" s="1" t="n">
        <v>43867</v>
      </c>
      <c r="C198" s="1" t="n">
        <v>45182</v>
      </c>
      <c r="D198" t="inlineStr">
        <is>
          <t>JÄMTLANDS LÄN</t>
        </is>
      </c>
      <c r="E198" t="inlineStr">
        <is>
          <t>STRÖMSUND</t>
        </is>
      </c>
      <c r="G198" t="n">
        <v>10.7</v>
      </c>
      <c r="H198" t="n">
        <v>0</v>
      </c>
      <c r="I198" t="n">
        <v>4</v>
      </c>
      <c r="J198" t="n">
        <v>5</v>
      </c>
      <c r="K198" t="n">
        <v>0</v>
      </c>
      <c r="L198" t="n">
        <v>0</v>
      </c>
      <c r="M198" t="n">
        <v>0</v>
      </c>
      <c r="N198" t="n">
        <v>0</v>
      </c>
      <c r="O198" t="n">
        <v>5</v>
      </c>
      <c r="P198" t="n">
        <v>0</v>
      </c>
      <c r="Q198" t="n">
        <v>9</v>
      </c>
      <c r="R198" s="2" t="inlineStr">
        <is>
          <t>Granticka
Harticka
Lunglav
Skrovellav
Vedflikmossa
Bårdlav
Kransrams
Stuplav
Trådticka</t>
        </is>
      </c>
      <c r="S198">
        <f>HYPERLINK("https://klasma.github.io/Logging_STROMSUND/artfynd/A 6776-2020.xlsx")</f>
        <v/>
      </c>
      <c r="T198">
        <f>HYPERLINK("https://klasma.github.io/Logging_STROMSUND/kartor/A 6776-2020.png")</f>
        <v/>
      </c>
      <c r="V198">
        <f>HYPERLINK("https://klasma.github.io/Logging_STROMSUND/klagomål/A 6776-2020.docx")</f>
        <v/>
      </c>
      <c r="W198">
        <f>HYPERLINK("https://klasma.github.io/Logging_STROMSUND/klagomålsmail/A 6776-2020.docx")</f>
        <v/>
      </c>
      <c r="X198">
        <f>HYPERLINK("https://klasma.github.io/Logging_STROMSUND/tillsyn/A 6776-2020.docx")</f>
        <v/>
      </c>
      <c r="Y198">
        <f>HYPERLINK("https://klasma.github.io/Logging_STROMSUND/tillsynsmail/A 6776-2020.docx")</f>
        <v/>
      </c>
    </row>
    <row r="199" ht="15" customHeight="1">
      <c r="A199" t="inlineStr">
        <is>
          <t>A 36432-2020</t>
        </is>
      </c>
      <c r="B199" s="1" t="n">
        <v>44049</v>
      </c>
      <c r="C199" s="1" t="n">
        <v>45182</v>
      </c>
      <c r="D199" t="inlineStr">
        <is>
          <t>JÄMTLANDS LÄN</t>
        </is>
      </c>
      <c r="E199" t="inlineStr">
        <is>
          <t>ÅRE</t>
        </is>
      </c>
      <c r="G199" t="n">
        <v>8.800000000000001</v>
      </c>
      <c r="H199" t="n">
        <v>3</v>
      </c>
      <c r="I199" t="n">
        <v>1</v>
      </c>
      <c r="J199" t="n">
        <v>6</v>
      </c>
      <c r="K199" t="n">
        <v>1</v>
      </c>
      <c r="L199" t="n">
        <v>0</v>
      </c>
      <c r="M199" t="n">
        <v>0</v>
      </c>
      <c r="N199" t="n">
        <v>0</v>
      </c>
      <c r="O199" t="n">
        <v>7</v>
      </c>
      <c r="P199" t="n">
        <v>1</v>
      </c>
      <c r="Q199" t="n">
        <v>9</v>
      </c>
      <c r="R199" s="2" t="inlineStr">
        <is>
          <t>Knärot
Garnlav
Granticka
Gränsticka
Lunglav
Skrovellav
Spillkråka
Trådticka
Revlummer</t>
        </is>
      </c>
      <c r="S199">
        <f>HYPERLINK("https://klasma.github.io/Logging_ARE/artfynd/A 36432-2020.xlsx")</f>
        <v/>
      </c>
      <c r="T199">
        <f>HYPERLINK("https://klasma.github.io/Logging_ARE/kartor/A 36432-2020.png")</f>
        <v/>
      </c>
      <c r="U199">
        <f>HYPERLINK("https://klasma.github.io/Logging_ARE/knärot/A 36432-2020.png")</f>
        <v/>
      </c>
      <c r="V199">
        <f>HYPERLINK("https://klasma.github.io/Logging_ARE/klagomål/A 36432-2020.docx")</f>
        <v/>
      </c>
      <c r="W199">
        <f>HYPERLINK("https://klasma.github.io/Logging_ARE/klagomålsmail/A 36432-2020.docx")</f>
        <v/>
      </c>
      <c r="X199">
        <f>HYPERLINK("https://klasma.github.io/Logging_ARE/tillsyn/A 36432-2020.docx")</f>
        <v/>
      </c>
      <c r="Y199">
        <f>HYPERLINK("https://klasma.github.io/Logging_ARE/tillsynsmail/A 36432-2020.docx")</f>
        <v/>
      </c>
    </row>
    <row r="200" ht="15" customHeight="1">
      <c r="A200" t="inlineStr">
        <is>
          <t>A 36809-2020</t>
        </is>
      </c>
      <c r="B200" s="1" t="n">
        <v>44053</v>
      </c>
      <c r="C200" s="1" t="n">
        <v>45182</v>
      </c>
      <c r="D200" t="inlineStr">
        <is>
          <t>JÄMTLANDS LÄN</t>
        </is>
      </c>
      <c r="E200" t="inlineStr">
        <is>
          <t>STRÖMSUND</t>
        </is>
      </c>
      <c r="F200" t="inlineStr">
        <is>
          <t>Holmen skog AB</t>
        </is>
      </c>
      <c r="G200" t="n">
        <v>5.7</v>
      </c>
      <c r="H200" t="n">
        <v>3</v>
      </c>
      <c r="I200" t="n">
        <v>5</v>
      </c>
      <c r="J200" t="n">
        <v>3</v>
      </c>
      <c r="K200" t="n">
        <v>1</v>
      </c>
      <c r="L200" t="n">
        <v>0</v>
      </c>
      <c r="M200" t="n">
        <v>0</v>
      </c>
      <c r="N200" t="n">
        <v>0</v>
      </c>
      <c r="O200" t="n">
        <v>4</v>
      </c>
      <c r="P200" t="n">
        <v>1</v>
      </c>
      <c r="Q200" t="n">
        <v>9</v>
      </c>
      <c r="R200" s="2" t="inlineStr">
        <is>
          <t>Doftticka
Lunglav
Skrovellav
Tretåig hackspett
Bårdlav
Luddlav
Skinnlav
Spindelblomster
Stuplav</t>
        </is>
      </c>
      <c r="S200">
        <f>HYPERLINK("https://klasma.github.io/Logging_STROMSUND/artfynd/A 36809-2020.xlsx")</f>
        <v/>
      </c>
      <c r="T200">
        <f>HYPERLINK("https://klasma.github.io/Logging_STROMSUND/kartor/A 36809-2020.png")</f>
        <v/>
      </c>
      <c r="V200">
        <f>HYPERLINK("https://klasma.github.io/Logging_STROMSUND/klagomål/A 36809-2020.docx")</f>
        <v/>
      </c>
      <c r="W200">
        <f>HYPERLINK("https://klasma.github.io/Logging_STROMSUND/klagomålsmail/A 36809-2020.docx")</f>
        <v/>
      </c>
      <c r="X200">
        <f>HYPERLINK("https://klasma.github.io/Logging_STROMSUND/tillsyn/A 36809-2020.docx")</f>
        <v/>
      </c>
      <c r="Y200">
        <f>HYPERLINK("https://klasma.github.io/Logging_STROMSUND/tillsynsmail/A 36809-2020.docx")</f>
        <v/>
      </c>
    </row>
    <row r="201" ht="15" customHeight="1">
      <c r="A201" t="inlineStr">
        <is>
          <t>A 44983-2020</t>
        </is>
      </c>
      <c r="B201" s="1" t="n">
        <v>44083</v>
      </c>
      <c r="C201" s="1" t="n">
        <v>45182</v>
      </c>
      <c r="D201" t="inlineStr">
        <is>
          <t>JÄMTLANDS LÄN</t>
        </is>
      </c>
      <c r="E201" t="inlineStr">
        <is>
          <t>STRÖMSUND</t>
        </is>
      </c>
      <c r="G201" t="n">
        <v>8.5</v>
      </c>
      <c r="H201" t="n">
        <v>1</v>
      </c>
      <c r="I201" t="n">
        <v>4</v>
      </c>
      <c r="J201" t="n">
        <v>3</v>
      </c>
      <c r="K201" t="n">
        <v>1</v>
      </c>
      <c r="L201" t="n">
        <v>0</v>
      </c>
      <c r="M201" t="n">
        <v>0</v>
      </c>
      <c r="N201" t="n">
        <v>0</v>
      </c>
      <c r="O201" t="n">
        <v>4</v>
      </c>
      <c r="P201" t="n">
        <v>1</v>
      </c>
      <c r="Q201" t="n">
        <v>9</v>
      </c>
      <c r="R201" s="2" t="inlineStr">
        <is>
          <t>Norsk näverlav
Brunpudrad nållav
Garnlav
Skrovellav
Bårdlav
Gytterlav
Norrlandslav
Stuplav
Revlummer</t>
        </is>
      </c>
      <c r="S201">
        <f>HYPERLINK("https://klasma.github.io/Logging_STROMSUND/artfynd/A 44983-2020.xlsx")</f>
        <v/>
      </c>
      <c r="T201">
        <f>HYPERLINK("https://klasma.github.io/Logging_STROMSUND/kartor/A 44983-2020.png")</f>
        <v/>
      </c>
      <c r="V201">
        <f>HYPERLINK("https://klasma.github.io/Logging_STROMSUND/klagomål/A 44983-2020.docx")</f>
        <v/>
      </c>
      <c r="W201">
        <f>HYPERLINK("https://klasma.github.io/Logging_STROMSUND/klagomålsmail/A 44983-2020.docx")</f>
        <v/>
      </c>
      <c r="X201">
        <f>HYPERLINK("https://klasma.github.io/Logging_STROMSUND/tillsyn/A 44983-2020.docx")</f>
        <v/>
      </c>
      <c r="Y201">
        <f>HYPERLINK("https://klasma.github.io/Logging_STROMSUND/tillsynsmail/A 44983-2020.docx")</f>
        <v/>
      </c>
    </row>
    <row r="202" ht="15" customHeight="1">
      <c r="A202" t="inlineStr">
        <is>
          <t>A 52574-2020</t>
        </is>
      </c>
      <c r="B202" s="1" t="n">
        <v>44118</v>
      </c>
      <c r="C202" s="1" t="n">
        <v>45182</v>
      </c>
      <c r="D202" t="inlineStr">
        <is>
          <t>JÄMTLANDS LÄN</t>
        </is>
      </c>
      <c r="E202" t="inlineStr">
        <is>
          <t>KROKOM</t>
        </is>
      </c>
      <c r="G202" t="n">
        <v>80.5</v>
      </c>
      <c r="H202" t="n">
        <v>1</v>
      </c>
      <c r="I202" t="n">
        <v>5</v>
      </c>
      <c r="J202" t="n">
        <v>3</v>
      </c>
      <c r="K202" t="n">
        <v>0</v>
      </c>
      <c r="L202" t="n">
        <v>0</v>
      </c>
      <c r="M202" t="n">
        <v>0</v>
      </c>
      <c r="N202" t="n">
        <v>0</v>
      </c>
      <c r="O202" t="n">
        <v>3</v>
      </c>
      <c r="P202" t="n">
        <v>0</v>
      </c>
      <c r="Q202" t="n">
        <v>9</v>
      </c>
      <c r="R202" s="2" t="inlineStr">
        <is>
          <t>Garnlav
Granticka
Rödbrun blekspik
Gulnål
Mörk husmossa
Norrlandslav
Stuplav
Trådticka
Revlummer</t>
        </is>
      </c>
      <c r="S202">
        <f>HYPERLINK("https://klasma.github.io/Logging_KROKOM/artfynd/A 52574-2020.xlsx")</f>
        <v/>
      </c>
      <c r="T202">
        <f>HYPERLINK("https://klasma.github.io/Logging_KROKOM/kartor/A 52574-2020.png")</f>
        <v/>
      </c>
      <c r="V202">
        <f>HYPERLINK("https://klasma.github.io/Logging_KROKOM/klagomål/A 52574-2020.docx")</f>
        <v/>
      </c>
      <c r="W202">
        <f>HYPERLINK("https://klasma.github.io/Logging_KROKOM/klagomålsmail/A 52574-2020.docx")</f>
        <v/>
      </c>
      <c r="X202">
        <f>HYPERLINK("https://klasma.github.io/Logging_KROKOM/tillsyn/A 52574-2020.docx")</f>
        <v/>
      </c>
      <c r="Y202">
        <f>HYPERLINK("https://klasma.github.io/Logging_KROKOM/tillsynsmail/A 52574-2020.docx")</f>
        <v/>
      </c>
    </row>
    <row r="203" ht="15" customHeight="1">
      <c r="A203" t="inlineStr">
        <is>
          <t>A 54020-2020</t>
        </is>
      </c>
      <c r="B203" s="1" t="n">
        <v>44123</v>
      </c>
      <c r="C203" s="1" t="n">
        <v>45182</v>
      </c>
      <c r="D203" t="inlineStr">
        <is>
          <t>JÄMTLANDS LÄN</t>
        </is>
      </c>
      <c r="E203" t="inlineStr">
        <is>
          <t>BERG</t>
        </is>
      </c>
      <c r="G203" t="n">
        <v>42.9</v>
      </c>
      <c r="H203" t="n">
        <v>0</v>
      </c>
      <c r="I203" t="n">
        <v>2</v>
      </c>
      <c r="J203" t="n">
        <v>7</v>
      </c>
      <c r="K203" t="n">
        <v>0</v>
      </c>
      <c r="L203" t="n">
        <v>0</v>
      </c>
      <c r="M203" t="n">
        <v>0</v>
      </c>
      <c r="N203" t="n">
        <v>0</v>
      </c>
      <c r="O203" t="n">
        <v>7</v>
      </c>
      <c r="P203" t="n">
        <v>0</v>
      </c>
      <c r="Q203" t="n">
        <v>9</v>
      </c>
      <c r="R203" s="2" t="inlineStr">
        <is>
          <t>Gammelgransskål
Garnlav
Granticka
Gränsticka
Knottrig blåslav
Rosenticka
Rödbrun blekspik
Trådticka
Vedticka</t>
        </is>
      </c>
      <c r="S203">
        <f>HYPERLINK("https://klasma.github.io/Logging_BERG/artfynd/A 54020-2020.xlsx")</f>
        <v/>
      </c>
      <c r="T203">
        <f>HYPERLINK("https://klasma.github.io/Logging_BERG/kartor/A 54020-2020.png")</f>
        <v/>
      </c>
      <c r="V203">
        <f>HYPERLINK("https://klasma.github.io/Logging_BERG/klagomål/A 54020-2020.docx")</f>
        <v/>
      </c>
      <c r="W203">
        <f>HYPERLINK("https://klasma.github.io/Logging_BERG/klagomålsmail/A 54020-2020.docx")</f>
        <v/>
      </c>
      <c r="X203">
        <f>HYPERLINK("https://klasma.github.io/Logging_BERG/tillsyn/A 54020-2020.docx")</f>
        <v/>
      </c>
      <c r="Y203">
        <f>HYPERLINK("https://klasma.github.io/Logging_BERG/tillsynsmail/A 54020-2020.docx")</f>
        <v/>
      </c>
    </row>
    <row r="204" ht="15" customHeight="1">
      <c r="A204" t="inlineStr">
        <is>
          <t>A 174-2021</t>
        </is>
      </c>
      <c r="B204" s="1" t="n">
        <v>44200</v>
      </c>
      <c r="C204" s="1" t="n">
        <v>45182</v>
      </c>
      <c r="D204" t="inlineStr">
        <is>
          <t>JÄMTLANDS LÄN</t>
        </is>
      </c>
      <c r="E204" t="inlineStr">
        <is>
          <t>HÄRJEDALEN</t>
        </is>
      </c>
      <c r="G204" t="n">
        <v>16</v>
      </c>
      <c r="H204" t="n">
        <v>2</v>
      </c>
      <c r="I204" t="n">
        <v>0</v>
      </c>
      <c r="J204" t="n">
        <v>7</v>
      </c>
      <c r="K204" t="n">
        <v>2</v>
      </c>
      <c r="L204" t="n">
        <v>0</v>
      </c>
      <c r="M204" t="n">
        <v>0</v>
      </c>
      <c r="N204" t="n">
        <v>0</v>
      </c>
      <c r="O204" t="n">
        <v>9</v>
      </c>
      <c r="P204" t="n">
        <v>2</v>
      </c>
      <c r="Q204" t="n">
        <v>9</v>
      </c>
      <c r="R204" s="2" t="inlineStr">
        <is>
          <t>Rynkskinn
Urskogsmygga
Garnlav
Granticka
Knottrig blåslav
Rosenticka
Rödvingetrast
Svartvit flugsnappare
Vitgrynig nållav</t>
        </is>
      </c>
      <c r="S204">
        <f>HYPERLINK("https://klasma.github.io/Logging_HARJEDALEN/artfynd/A 174-2021.xlsx")</f>
        <v/>
      </c>
      <c r="T204">
        <f>HYPERLINK("https://klasma.github.io/Logging_HARJEDALEN/kartor/A 174-2021.png")</f>
        <v/>
      </c>
      <c r="V204">
        <f>HYPERLINK("https://klasma.github.io/Logging_HARJEDALEN/klagomål/A 174-2021.docx")</f>
        <v/>
      </c>
      <c r="W204">
        <f>HYPERLINK("https://klasma.github.io/Logging_HARJEDALEN/klagomålsmail/A 174-2021.docx")</f>
        <v/>
      </c>
      <c r="X204">
        <f>HYPERLINK("https://klasma.github.io/Logging_HARJEDALEN/tillsyn/A 174-2021.docx")</f>
        <v/>
      </c>
      <c r="Y204">
        <f>HYPERLINK("https://klasma.github.io/Logging_HARJEDALEN/tillsynsmail/A 174-2021.docx")</f>
        <v/>
      </c>
    </row>
    <row r="205" ht="15" customHeight="1">
      <c r="A205" t="inlineStr">
        <is>
          <t>A 718-2021</t>
        </is>
      </c>
      <c r="B205" s="1" t="n">
        <v>44204</v>
      </c>
      <c r="C205" s="1" t="n">
        <v>45182</v>
      </c>
      <c r="D205" t="inlineStr">
        <is>
          <t>JÄMTLANDS LÄN</t>
        </is>
      </c>
      <c r="E205" t="inlineStr">
        <is>
          <t>STRÖMSUND</t>
        </is>
      </c>
      <c r="F205" t="inlineStr">
        <is>
          <t>SCA</t>
        </is>
      </c>
      <c r="G205" t="n">
        <v>50.1</v>
      </c>
      <c r="H205" t="n">
        <v>1</v>
      </c>
      <c r="I205" t="n">
        <v>2</v>
      </c>
      <c r="J205" t="n">
        <v>5</v>
      </c>
      <c r="K205" t="n">
        <v>2</v>
      </c>
      <c r="L205" t="n">
        <v>0</v>
      </c>
      <c r="M205" t="n">
        <v>0</v>
      </c>
      <c r="N205" t="n">
        <v>0</v>
      </c>
      <c r="O205" t="n">
        <v>7</v>
      </c>
      <c r="P205" t="n">
        <v>2</v>
      </c>
      <c r="Q205" t="n">
        <v>9</v>
      </c>
      <c r="R205" s="2" t="inlineStr">
        <is>
          <t>Liten sotlav
Norsk näverlav
Gammelgransskål
Garnlav
Granticka
Tretåig hackspett
Vitgrynig nållav
Bårdlav
Luddlav</t>
        </is>
      </c>
      <c r="S205">
        <f>HYPERLINK("https://klasma.github.io/Logging_STROMSUND/artfynd/A 718-2021.xlsx")</f>
        <v/>
      </c>
      <c r="T205">
        <f>HYPERLINK("https://klasma.github.io/Logging_STROMSUND/kartor/A 718-2021.png")</f>
        <v/>
      </c>
      <c r="V205">
        <f>HYPERLINK("https://klasma.github.io/Logging_STROMSUND/klagomål/A 718-2021.docx")</f>
        <v/>
      </c>
      <c r="W205">
        <f>HYPERLINK("https://klasma.github.io/Logging_STROMSUND/klagomålsmail/A 718-2021.docx")</f>
        <v/>
      </c>
      <c r="X205">
        <f>HYPERLINK("https://klasma.github.io/Logging_STROMSUND/tillsyn/A 718-2021.docx")</f>
        <v/>
      </c>
      <c r="Y205">
        <f>HYPERLINK("https://klasma.github.io/Logging_STROMSUND/tillsynsmail/A 718-2021.docx")</f>
        <v/>
      </c>
    </row>
    <row r="206" ht="15" customHeight="1">
      <c r="A206" t="inlineStr">
        <is>
          <t>A 10763-2021</t>
        </is>
      </c>
      <c r="B206" s="1" t="n">
        <v>44259</v>
      </c>
      <c r="C206" s="1" t="n">
        <v>45182</v>
      </c>
      <c r="D206" t="inlineStr">
        <is>
          <t>JÄMTLANDS LÄN</t>
        </is>
      </c>
      <c r="E206" t="inlineStr">
        <is>
          <t>ÅRE</t>
        </is>
      </c>
      <c r="G206" t="n">
        <v>12.8</v>
      </c>
      <c r="H206" t="n">
        <v>1</v>
      </c>
      <c r="I206" t="n">
        <v>1</v>
      </c>
      <c r="J206" t="n">
        <v>7</v>
      </c>
      <c r="K206" t="n">
        <v>1</v>
      </c>
      <c r="L206" t="n">
        <v>0</v>
      </c>
      <c r="M206" t="n">
        <v>0</v>
      </c>
      <c r="N206" t="n">
        <v>0</v>
      </c>
      <c r="O206" t="n">
        <v>8</v>
      </c>
      <c r="P206" t="n">
        <v>1</v>
      </c>
      <c r="Q206" t="n">
        <v>9</v>
      </c>
      <c r="R206" s="2" t="inlineStr">
        <is>
          <t>Skuggnål
Gammelgransskål
Garnlav
Granticka
Kavernularia
Liten svartspik
Tretåig hackspett
Vitgrynig nållav
Nordlig tuffmossa</t>
        </is>
      </c>
      <c r="S206">
        <f>HYPERLINK("https://klasma.github.io/Logging_ARE/artfynd/A 10763-2021.xlsx")</f>
        <v/>
      </c>
      <c r="T206">
        <f>HYPERLINK("https://klasma.github.io/Logging_ARE/kartor/A 10763-2021.png")</f>
        <v/>
      </c>
      <c r="V206">
        <f>HYPERLINK("https://klasma.github.io/Logging_ARE/klagomål/A 10763-2021.docx")</f>
        <v/>
      </c>
      <c r="W206">
        <f>HYPERLINK("https://klasma.github.io/Logging_ARE/klagomålsmail/A 10763-2021.docx")</f>
        <v/>
      </c>
      <c r="X206">
        <f>HYPERLINK("https://klasma.github.io/Logging_ARE/tillsyn/A 10763-2021.docx")</f>
        <v/>
      </c>
      <c r="Y206">
        <f>HYPERLINK("https://klasma.github.io/Logging_ARE/tillsynsmail/A 10763-2021.docx")</f>
        <v/>
      </c>
    </row>
    <row r="207" ht="15" customHeight="1">
      <c r="A207" t="inlineStr">
        <is>
          <t>A 11089-2021</t>
        </is>
      </c>
      <c r="B207" s="1" t="n">
        <v>44260</v>
      </c>
      <c r="C207" s="1" t="n">
        <v>45182</v>
      </c>
      <c r="D207" t="inlineStr">
        <is>
          <t>JÄMTLANDS LÄN</t>
        </is>
      </c>
      <c r="E207" t="inlineStr">
        <is>
          <t>KROKOM</t>
        </is>
      </c>
      <c r="G207" t="n">
        <v>19</v>
      </c>
      <c r="H207" t="n">
        <v>1</v>
      </c>
      <c r="I207" t="n">
        <v>4</v>
      </c>
      <c r="J207" t="n">
        <v>5</v>
      </c>
      <c r="K207" t="n">
        <v>0</v>
      </c>
      <c r="L207" t="n">
        <v>0</v>
      </c>
      <c r="M207" t="n">
        <v>0</v>
      </c>
      <c r="N207" t="n">
        <v>0</v>
      </c>
      <c r="O207" t="n">
        <v>5</v>
      </c>
      <c r="P207" t="n">
        <v>0</v>
      </c>
      <c r="Q207" t="n">
        <v>9</v>
      </c>
      <c r="R207" s="2" t="inlineStr">
        <is>
          <t>Doftskinn
Granticka
Skrovellav
Tretåig hackspett
Ullticka
Gytterlav
Stuplav
Trådticka
Vedticka</t>
        </is>
      </c>
      <c r="S207">
        <f>HYPERLINK("https://klasma.github.io/Logging_KROKOM/artfynd/A 11089-2021.xlsx")</f>
        <v/>
      </c>
      <c r="T207">
        <f>HYPERLINK("https://klasma.github.io/Logging_KROKOM/kartor/A 11089-2021.png")</f>
        <v/>
      </c>
      <c r="V207">
        <f>HYPERLINK("https://klasma.github.io/Logging_KROKOM/klagomål/A 11089-2021.docx")</f>
        <v/>
      </c>
      <c r="W207">
        <f>HYPERLINK("https://klasma.github.io/Logging_KROKOM/klagomålsmail/A 11089-2021.docx")</f>
        <v/>
      </c>
      <c r="X207">
        <f>HYPERLINK("https://klasma.github.io/Logging_KROKOM/tillsyn/A 11089-2021.docx")</f>
        <v/>
      </c>
      <c r="Y207">
        <f>HYPERLINK("https://klasma.github.io/Logging_KROKOM/tillsynsmail/A 11089-2021.docx")</f>
        <v/>
      </c>
    </row>
    <row r="208" ht="15" customHeight="1">
      <c r="A208" t="inlineStr">
        <is>
          <t>A 62948-2021</t>
        </is>
      </c>
      <c r="B208" s="1" t="n">
        <v>44504</v>
      </c>
      <c r="C208" s="1" t="n">
        <v>45182</v>
      </c>
      <c r="D208" t="inlineStr">
        <is>
          <t>JÄMTLANDS LÄN</t>
        </is>
      </c>
      <c r="E208" t="inlineStr">
        <is>
          <t>RAGUNDA</t>
        </is>
      </c>
      <c r="F208" t="inlineStr">
        <is>
          <t>SCA</t>
        </is>
      </c>
      <c r="G208" t="n">
        <v>3.5</v>
      </c>
      <c r="H208" t="n">
        <v>2</v>
      </c>
      <c r="I208" t="n">
        <v>5</v>
      </c>
      <c r="J208" t="n">
        <v>4</v>
      </c>
      <c r="K208" t="n">
        <v>0</v>
      </c>
      <c r="L208" t="n">
        <v>0</v>
      </c>
      <c r="M208" t="n">
        <v>0</v>
      </c>
      <c r="N208" t="n">
        <v>0</v>
      </c>
      <c r="O208" t="n">
        <v>4</v>
      </c>
      <c r="P208" t="n">
        <v>0</v>
      </c>
      <c r="Q208" t="n">
        <v>9</v>
      </c>
      <c r="R208" s="2" t="inlineStr">
        <is>
          <t>Brunpudrad nållav
Garnlav
Ullticka
Vitgrynig nållav
Dropptaggsvamp
Grönkulla
Guckusko
Gulnål
Tibast</t>
        </is>
      </c>
      <c r="S208">
        <f>HYPERLINK("https://klasma.github.io/Logging_RAGUNDA/artfynd/A 62948-2021.xlsx")</f>
        <v/>
      </c>
      <c r="T208">
        <f>HYPERLINK("https://klasma.github.io/Logging_RAGUNDA/kartor/A 62948-2021.png")</f>
        <v/>
      </c>
      <c r="V208">
        <f>HYPERLINK("https://klasma.github.io/Logging_RAGUNDA/klagomål/A 62948-2021.docx")</f>
        <v/>
      </c>
      <c r="W208">
        <f>HYPERLINK("https://klasma.github.io/Logging_RAGUNDA/klagomålsmail/A 62948-2021.docx")</f>
        <v/>
      </c>
      <c r="X208">
        <f>HYPERLINK("https://klasma.github.io/Logging_RAGUNDA/tillsyn/A 62948-2021.docx")</f>
        <v/>
      </c>
      <c r="Y208">
        <f>HYPERLINK("https://klasma.github.io/Logging_RAGUNDA/tillsynsmail/A 62948-2021.docx")</f>
        <v/>
      </c>
    </row>
    <row r="209" ht="15" customHeight="1">
      <c r="A209" t="inlineStr">
        <is>
          <t>A 65905-2021</t>
        </is>
      </c>
      <c r="B209" s="1" t="n">
        <v>44517</v>
      </c>
      <c r="C209" s="1" t="n">
        <v>45182</v>
      </c>
      <c r="D209" t="inlineStr">
        <is>
          <t>JÄMTLANDS LÄN</t>
        </is>
      </c>
      <c r="E209" t="inlineStr">
        <is>
          <t>HÄRJEDALEN</t>
        </is>
      </c>
      <c r="G209" t="n">
        <v>13.8</v>
      </c>
      <c r="H209" t="n">
        <v>0</v>
      </c>
      <c r="I209" t="n">
        <v>0</v>
      </c>
      <c r="J209" t="n">
        <v>8</v>
      </c>
      <c r="K209" t="n">
        <v>1</v>
      </c>
      <c r="L209" t="n">
        <v>0</v>
      </c>
      <c r="M209" t="n">
        <v>0</v>
      </c>
      <c r="N209" t="n">
        <v>0</v>
      </c>
      <c r="O209" t="n">
        <v>9</v>
      </c>
      <c r="P209" t="n">
        <v>1</v>
      </c>
      <c r="Q209" t="n">
        <v>9</v>
      </c>
      <c r="R209" s="2" t="inlineStr">
        <is>
          <t>Rynkskinn
Gammelgransskål
Garnlav
Granticka
Gränsticka
Harticka
Knottrig blåslav
Rosenticka
Ullticka</t>
        </is>
      </c>
      <c r="S209">
        <f>HYPERLINK("https://klasma.github.io/Logging_HARJEDALEN/artfynd/A 65905-2021.xlsx")</f>
        <v/>
      </c>
      <c r="T209">
        <f>HYPERLINK("https://klasma.github.io/Logging_HARJEDALEN/kartor/A 65905-2021.png")</f>
        <v/>
      </c>
      <c r="V209">
        <f>HYPERLINK("https://klasma.github.io/Logging_HARJEDALEN/klagomål/A 65905-2021.docx")</f>
        <v/>
      </c>
      <c r="W209">
        <f>HYPERLINK("https://klasma.github.io/Logging_HARJEDALEN/klagomålsmail/A 65905-2021.docx")</f>
        <v/>
      </c>
      <c r="X209">
        <f>HYPERLINK("https://klasma.github.io/Logging_HARJEDALEN/tillsyn/A 65905-2021.docx")</f>
        <v/>
      </c>
      <c r="Y209">
        <f>HYPERLINK("https://klasma.github.io/Logging_HARJEDALEN/tillsynsmail/A 65905-2021.docx")</f>
        <v/>
      </c>
    </row>
    <row r="210" ht="15" customHeight="1">
      <c r="A210" t="inlineStr">
        <is>
          <t>A 69914-2021</t>
        </is>
      </c>
      <c r="B210" s="1" t="n">
        <v>44532</v>
      </c>
      <c r="C210" s="1" t="n">
        <v>45182</v>
      </c>
      <c r="D210" t="inlineStr">
        <is>
          <t>JÄMTLANDS LÄN</t>
        </is>
      </c>
      <c r="E210" t="inlineStr">
        <is>
          <t>STRÖMSUND</t>
        </is>
      </c>
      <c r="F210" t="inlineStr">
        <is>
          <t>SCA</t>
        </is>
      </c>
      <c r="G210" t="n">
        <v>4.9</v>
      </c>
      <c r="H210" t="n">
        <v>1</v>
      </c>
      <c r="I210" t="n">
        <v>4</v>
      </c>
      <c r="J210" t="n">
        <v>3</v>
      </c>
      <c r="K210" t="n">
        <v>2</v>
      </c>
      <c r="L210" t="n">
        <v>0</v>
      </c>
      <c r="M210" t="n">
        <v>0</v>
      </c>
      <c r="N210" t="n">
        <v>0</v>
      </c>
      <c r="O210" t="n">
        <v>5</v>
      </c>
      <c r="P210" t="n">
        <v>2</v>
      </c>
      <c r="Q210" t="n">
        <v>9</v>
      </c>
      <c r="R210" s="2" t="inlineStr">
        <is>
          <t>Knärot
Violettrandad spindling
Blå taggsvamp
Puderspindling
Rosenticka
Barrfagerspindling
Diskvaxskivling
Strimspindling
Zontaggsvamp</t>
        </is>
      </c>
      <c r="S210">
        <f>HYPERLINK("https://klasma.github.io/Logging_STROMSUND/artfynd/A 69914-2021.xlsx")</f>
        <v/>
      </c>
      <c r="T210">
        <f>HYPERLINK("https://klasma.github.io/Logging_STROMSUND/kartor/A 69914-2021.png")</f>
        <v/>
      </c>
      <c r="U210">
        <f>HYPERLINK("https://klasma.github.io/Logging_STROMSUND/knärot/A 69914-2021.png")</f>
        <v/>
      </c>
      <c r="V210">
        <f>HYPERLINK("https://klasma.github.io/Logging_STROMSUND/klagomål/A 69914-2021.docx")</f>
        <v/>
      </c>
      <c r="W210">
        <f>HYPERLINK("https://klasma.github.io/Logging_STROMSUND/klagomålsmail/A 69914-2021.docx")</f>
        <v/>
      </c>
      <c r="X210">
        <f>HYPERLINK("https://klasma.github.io/Logging_STROMSUND/tillsyn/A 69914-2021.docx")</f>
        <v/>
      </c>
      <c r="Y210">
        <f>HYPERLINK("https://klasma.github.io/Logging_STROMSUND/tillsynsmail/A 69914-2021.docx")</f>
        <v/>
      </c>
    </row>
    <row r="211" ht="15" customHeight="1">
      <c r="A211" t="inlineStr">
        <is>
          <t>A 74002-2021</t>
        </is>
      </c>
      <c r="B211" s="1" t="n">
        <v>44553</v>
      </c>
      <c r="C211" s="1" t="n">
        <v>45182</v>
      </c>
      <c r="D211" t="inlineStr">
        <is>
          <t>JÄMTLANDS LÄN</t>
        </is>
      </c>
      <c r="E211" t="inlineStr">
        <is>
          <t>HÄRJEDALEN</t>
        </is>
      </c>
      <c r="F211" t="inlineStr">
        <is>
          <t>Sveaskog</t>
        </is>
      </c>
      <c r="G211" t="n">
        <v>17.3</v>
      </c>
      <c r="H211" t="n">
        <v>1</v>
      </c>
      <c r="I211" t="n">
        <v>0</v>
      </c>
      <c r="J211" t="n">
        <v>8</v>
      </c>
      <c r="K211" t="n">
        <v>1</v>
      </c>
      <c r="L211" t="n">
        <v>0</v>
      </c>
      <c r="M211" t="n">
        <v>0</v>
      </c>
      <c r="N211" t="n">
        <v>0</v>
      </c>
      <c r="O211" t="n">
        <v>9</v>
      </c>
      <c r="P211" t="n">
        <v>1</v>
      </c>
      <c r="Q211" t="n">
        <v>9</v>
      </c>
      <c r="R211" s="2" t="inlineStr">
        <is>
          <t>Varglavsknöl
Blågrå svartspik
Garnlav
Kolflarnlav
Kortskaftad ärgspik
Mörk kolflarnlav
Varglav
Vedflamlav
Vedskivlav</t>
        </is>
      </c>
      <c r="S211">
        <f>HYPERLINK("https://klasma.github.io/Logging_HARJEDALEN/artfynd/A 74002-2021.xlsx")</f>
        <v/>
      </c>
      <c r="T211">
        <f>HYPERLINK("https://klasma.github.io/Logging_HARJEDALEN/kartor/A 74002-2021.png")</f>
        <v/>
      </c>
      <c r="V211">
        <f>HYPERLINK("https://klasma.github.io/Logging_HARJEDALEN/klagomål/A 74002-2021.docx")</f>
        <v/>
      </c>
      <c r="W211">
        <f>HYPERLINK("https://klasma.github.io/Logging_HARJEDALEN/klagomålsmail/A 74002-2021.docx")</f>
        <v/>
      </c>
      <c r="X211">
        <f>HYPERLINK("https://klasma.github.io/Logging_HARJEDALEN/tillsyn/A 74002-2021.docx")</f>
        <v/>
      </c>
      <c r="Y211">
        <f>HYPERLINK("https://klasma.github.io/Logging_HARJEDALEN/tillsynsmail/A 74002-2021.docx")</f>
        <v/>
      </c>
    </row>
    <row r="212" ht="15" customHeight="1">
      <c r="A212" t="inlineStr">
        <is>
          <t>A 7435-2022</t>
        </is>
      </c>
      <c r="B212" s="1" t="n">
        <v>44606</v>
      </c>
      <c r="C212" s="1" t="n">
        <v>45182</v>
      </c>
      <c r="D212" t="inlineStr">
        <is>
          <t>JÄMTLANDS LÄN</t>
        </is>
      </c>
      <c r="E212" t="inlineStr">
        <is>
          <t>BRÄCKE</t>
        </is>
      </c>
      <c r="G212" t="n">
        <v>14.7</v>
      </c>
      <c r="H212" t="n">
        <v>0</v>
      </c>
      <c r="I212" t="n">
        <v>5</v>
      </c>
      <c r="J212" t="n">
        <v>4</v>
      </c>
      <c r="K212" t="n">
        <v>0</v>
      </c>
      <c r="L212" t="n">
        <v>0</v>
      </c>
      <c r="M212" t="n">
        <v>0</v>
      </c>
      <c r="N212" t="n">
        <v>0</v>
      </c>
      <c r="O212" t="n">
        <v>4</v>
      </c>
      <c r="P212" t="n">
        <v>0</v>
      </c>
      <c r="Q212" t="n">
        <v>9</v>
      </c>
      <c r="R212" s="2" t="inlineStr">
        <is>
          <t>Garnlav
Granticka
Lunglav
Skrovellav
Bårdlav
Dropptaggsvamp
Rödgul trumpetsvamp
Skinnlav
Stuplav</t>
        </is>
      </c>
      <c r="S212">
        <f>HYPERLINK("https://klasma.github.io/Logging_BRACKE/artfynd/A 7435-2022.xlsx")</f>
        <v/>
      </c>
      <c r="T212">
        <f>HYPERLINK("https://klasma.github.io/Logging_BRACKE/kartor/A 7435-2022.png")</f>
        <v/>
      </c>
      <c r="U212">
        <f>HYPERLINK("https://klasma.github.io/Logging_BRACKE/knärot/A 7435-2022.png")</f>
        <v/>
      </c>
      <c r="V212">
        <f>HYPERLINK("https://klasma.github.io/Logging_BRACKE/klagomål/A 7435-2022.docx")</f>
        <v/>
      </c>
      <c r="W212">
        <f>HYPERLINK("https://klasma.github.io/Logging_BRACKE/klagomålsmail/A 7435-2022.docx")</f>
        <v/>
      </c>
      <c r="X212">
        <f>HYPERLINK("https://klasma.github.io/Logging_BRACKE/tillsyn/A 7435-2022.docx")</f>
        <v/>
      </c>
      <c r="Y212">
        <f>HYPERLINK("https://klasma.github.io/Logging_BRACKE/tillsynsmail/A 7435-2022.docx")</f>
        <v/>
      </c>
    </row>
    <row r="213" ht="15" customHeight="1">
      <c r="A213" t="inlineStr">
        <is>
          <t>A 11485-2022</t>
        </is>
      </c>
      <c r="B213" s="1" t="n">
        <v>44630</v>
      </c>
      <c r="C213" s="1" t="n">
        <v>45182</v>
      </c>
      <c r="D213" t="inlineStr">
        <is>
          <t>JÄMTLANDS LÄN</t>
        </is>
      </c>
      <c r="E213" t="inlineStr">
        <is>
          <t>STRÖMSUND</t>
        </is>
      </c>
      <c r="F213" t="inlineStr">
        <is>
          <t>SCA</t>
        </is>
      </c>
      <c r="G213" t="n">
        <v>9.4</v>
      </c>
      <c r="H213" t="n">
        <v>0</v>
      </c>
      <c r="I213" t="n">
        <v>5</v>
      </c>
      <c r="J213" t="n">
        <v>4</v>
      </c>
      <c r="K213" t="n">
        <v>0</v>
      </c>
      <c r="L213" t="n">
        <v>0</v>
      </c>
      <c r="M213" t="n">
        <v>0</v>
      </c>
      <c r="N213" t="n">
        <v>0</v>
      </c>
      <c r="O213" t="n">
        <v>4</v>
      </c>
      <c r="P213" t="n">
        <v>0</v>
      </c>
      <c r="Q213" t="n">
        <v>9</v>
      </c>
      <c r="R213" s="2" t="inlineStr">
        <is>
          <t>Garnlav
Granticka
Lunglav
Ullticka
Bårdlav
Källmossa
Källmossor
Stuplav
Vedticka</t>
        </is>
      </c>
      <c r="S213">
        <f>HYPERLINK("https://klasma.github.io/Logging_STROMSUND/artfynd/A 11485-2022.xlsx")</f>
        <v/>
      </c>
      <c r="T213">
        <f>HYPERLINK("https://klasma.github.io/Logging_STROMSUND/kartor/A 11485-2022.png")</f>
        <v/>
      </c>
      <c r="V213">
        <f>HYPERLINK("https://klasma.github.io/Logging_STROMSUND/klagomål/A 11485-2022.docx")</f>
        <v/>
      </c>
      <c r="W213">
        <f>HYPERLINK("https://klasma.github.io/Logging_STROMSUND/klagomålsmail/A 11485-2022.docx")</f>
        <v/>
      </c>
      <c r="X213">
        <f>HYPERLINK("https://klasma.github.io/Logging_STROMSUND/tillsyn/A 11485-2022.docx")</f>
        <v/>
      </c>
      <c r="Y213">
        <f>HYPERLINK("https://klasma.github.io/Logging_STROMSUND/tillsynsmail/A 11485-2022.docx")</f>
        <v/>
      </c>
    </row>
    <row r="214" ht="15" customHeight="1">
      <c r="A214" t="inlineStr">
        <is>
          <t>A 11604-2022</t>
        </is>
      </c>
      <c r="B214" s="1" t="n">
        <v>44631</v>
      </c>
      <c r="C214" s="1" t="n">
        <v>45182</v>
      </c>
      <c r="D214" t="inlineStr">
        <is>
          <t>JÄMTLANDS LÄN</t>
        </is>
      </c>
      <c r="E214" t="inlineStr">
        <is>
          <t>STRÖMSUND</t>
        </is>
      </c>
      <c r="G214" t="n">
        <v>6.9</v>
      </c>
      <c r="H214" t="n">
        <v>1</v>
      </c>
      <c r="I214" t="n">
        <v>2</v>
      </c>
      <c r="J214" t="n">
        <v>6</v>
      </c>
      <c r="K214" t="n">
        <v>1</v>
      </c>
      <c r="L214" t="n">
        <v>0</v>
      </c>
      <c r="M214" t="n">
        <v>0</v>
      </c>
      <c r="N214" t="n">
        <v>0</v>
      </c>
      <c r="O214" t="n">
        <v>7</v>
      </c>
      <c r="P214" t="n">
        <v>1</v>
      </c>
      <c r="Q214" t="n">
        <v>9</v>
      </c>
      <c r="R214" s="2" t="inlineStr">
        <is>
          <t>Smalskaftslav
Granticka
Lunglav
Tretåig hackspett
Vedtrappmossa
Vitgrynig nållav
Äggvaxskivling
Korallblylav
Svavelriska</t>
        </is>
      </c>
      <c r="S214">
        <f>HYPERLINK("https://klasma.github.io/Logging_STROMSUND/artfynd/A 11604-2022.xlsx")</f>
        <v/>
      </c>
      <c r="T214">
        <f>HYPERLINK("https://klasma.github.io/Logging_STROMSUND/kartor/A 11604-2022.png")</f>
        <v/>
      </c>
      <c r="V214">
        <f>HYPERLINK("https://klasma.github.io/Logging_STROMSUND/klagomål/A 11604-2022.docx")</f>
        <v/>
      </c>
      <c r="W214">
        <f>HYPERLINK("https://klasma.github.io/Logging_STROMSUND/klagomålsmail/A 11604-2022.docx")</f>
        <v/>
      </c>
      <c r="X214">
        <f>HYPERLINK("https://klasma.github.io/Logging_STROMSUND/tillsyn/A 11604-2022.docx")</f>
        <v/>
      </c>
      <c r="Y214">
        <f>HYPERLINK("https://klasma.github.io/Logging_STROMSUND/tillsynsmail/A 11604-2022.docx")</f>
        <v/>
      </c>
    </row>
    <row r="215" ht="15" customHeight="1">
      <c r="A215" t="inlineStr">
        <is>
          <t>A 21511-2022</t>
        </is>
      </c>
      <c r="B215" s="1" t="n">
        <v>44706</v>
      </c>
      <c r="C215" s="1" t="n">
        <v>45182</v>
      </c>
      <c r="D215" t="inlineStr">
        <is>
          <t>JÄMTLANDS LÄN</t>
        </is>
      </c>
      <c r="E215" t="inlineStr">
        <is>
          <t>ÖSTERSUND</t>
        </is>
      </c>
      <c r="G215" t="n">
        <v>24.7</v>
      </c>
      <c r="H215" t="n">
        <v>3</v>
      </c>
      <c r="I215" t="n">
        <v>2</v>
      </c>
      <c r="J215" t="n">
        <v>6</v>
      </c>
      <c r="K215" t="n">
        <v>1</v>
      </c>
      <c r="L215" t="n">
        <v>0</v>
      </c>
      <c r="M215" t="n">
        <v>0</v>
      </c>
      <c r="N215" t="n">
        <v>0</v>
      </c>
      <c r="O215" t="n">
        <v>7</v>
      </c>
      <c r="P215" t="n">
        <v>1</v>
      </c>
      <c r="Q215" t="n">
        <v>9</v>
      </c>
      <c r="R215" s="2" t="inlineStr">
        <is>
          <t>Knärot
Garnlav
Granticka
Lunglav
Rosenticka
Tretåig hackspett
Ullticka
Spindelblomster
Vedticka</t>
        </is>
      </c>
      <c r="S215">
        <f>HYPERLINK("https://klasma.github.io/Logging_OSTERSUND/artfynd/A 21511-2022.xlsx")</f>
        <v/>
      </c>
      <c r="T215">
        <f>HYPERLINK("https://klasma.github.io/Logging_OSTERSUND/kartor/A 21511-2022.png")</f>
        <v/>
      </c>
      <c r="U215">
        <f>HYPERLINK("https://klasma.github.io/Logging_OSTERSUND/knärot/A 21511-2022.png")</f>
        <v/>
      </c>
      <c r="V215">
        <f>HYPERLINK("https://klasma.github.io/Logging_OSTERSUND/klagomål/A 21511-2022.docx")</f>
        <v/>
      </c>
      <c r="W215">
        <f>HYPERLINK("https://klasma.github.io/Logging_OSTERSUND/klagomålsmail/A 21511-2022.docx")</f>
        <v/>
      </c>
      <c r="X215">
        <f>HYPERLINK("https://klasma.github.io/Logging_OSTERSUND/tillsyn/A 21511-2022.docx")</f>
        <v/>
      </c>
      <c r="Y215">
        <f>HYPERLINK("https://klasma.github.io/Logging_OSTERSUND/tillsynsmail/A 21511-2022.docx")</f>
        <v/>
      </c>
    </row>
    <row r="216" ht="15" customHeight="1">
      <c r="A216" t="inlineStr">
        <is>
          <t>A 29121-2022</t>
        </is>
      </c>
      <c r="B216" s="1" t="n">
        <v>44750</v>
      </c>
      <c r="C216" s="1" t="n">
        <v>45182</v>
      </c>
      <c r="D216" t="inlineStr">
        <is>
          <t>JÄMTLANDS LÄN</t>
        </is>
      </c>
      <c r="E216" t="inlineStr">
        <is>
          <t>ÅRE</t>
        </is>
      </c>
      <c r="F216" t="inlineStr">
        <is>
          <t>Övriga Aktiebolag</t>
        </is>
      </c>
      <c r="G216" t="n">
        <v>17.2</v>
      </c>
      <c r="H216" t="n">
        <v>2</v>
      </c>
      <c r="I216" t="n">
        <v>3</v>
      </c>
      <c r="J216" t="n">
        <v>6</v>
      </c>
      <c r="K216" t="n">
        <v>0</v>
      </c>
      <c r="L216" t="n">
        <v>0</v>
      </c>
      <c r="M216" t="n">
        <v>0</v>
      </c>
      <c r="N216" t="n">
        <v>0</v>
      </c>
      <c r="O216" t="n">
        <v>6</v>
      </c>
      <c r="P216" t="n">
        <v>0</v>
      </c>
      <c r="Q216" t="n">
        <v>9</v>
      </c>
      <c r="R216" s="2" t="inlineStr">
        <is>
          <t>Doftskinn
Granticka
Gränsticka
Skrovellav
Tretåig hackspett
Ullticka
Bårdlav
Spindelblomster
Stuplav</t>
        </is>
      </c>
      <c r="S216">
        <f>HYPERLINK("https://klasma.github.io/Logging_ARE/artfynd/A 29121-2022.xlsx")</f>
        <v/>
      </c>
      <c r="T216">
        <f>HYPERLINK("https://klasma.github.io/Logging_ARE/kartor/A 29121-2022.png")</f>
        <v/>
      </c>
      <c r="V216">
        <f>HYPERLINK("https://klasma.github.io/Logging_ARE/klagomål/A 29121-2022.docx")</f>
        <v/>
      </c>
      <c r="W216">
        <f>HYPERLINK("https://klasma.github.io/Logging_ARE/klagomålsmail/A 29121-2022.docx")</f>
        <v/>
      </c>
      <c r="X216">
        <f>HYPERLINK("https://klasma.github.io/Logging_ARE/tillsyn/A 29121-2022.docx")</f>
        <v/>
      </c>
      <c r="Y216">
        <f>HYPERLINK("https://klasma.github.io/Logging_ARE/tillsynsmail/A 29121-2022.docx")</f>
        <v/>
      </c>
    </row>
    <row r="217" ht="15" customHeight="1">
      <c r="A217" t="inlineStr">
        <is>
          <t>A 34270-2022</t>
        </is>
      </c>
      <c r="B217" s="1" t="n">
        <v>44791</v>
      </c>
      <c r="C217" s="1" t="n">
        <v>45182</v>
      </c>
      <c r="D217" t="inlineStr">
        <is>
          <t>JÄMTLANDS LÄN</t>
        </is>
      </c>
      <c r="E217" t="inlineStr">
        <is>
          <t>BERG</t>
        </is>
      </c>
      <c r="F217" t="inlineStr">
        <is>
          <t>SCA</t>
        </is>
      </c>
      <c r="G217" t="n">
        <v>39.8</v>
      </c>
      <c r="H217" t="n">
        <v>0</v>
      </c>
      <c r="I217" t="n">
        <v>1</v>
      </c>
      <c r="J217" t="n">
        <v>4</v>
      </c>
      <c r="K217" t="n">
        <v>3</v>
      </c>
      <c r="L217" t="n">
        <v>1</v>
      </c>
      <c r="M217" t="n">
        <v>0</v>
      </c>
      <c r="N217" t="n">
        <v>0</v>
      </c>
      <c r="O217" t="n">
        <v>8</v>
      </c>
      <c r="P217" t="n">
        <v>4</v>
      </c>
      <c r="Q217" t="n">
        <v>9</v>
      </c>
      <c r="R217" s="2" t="inlineStr">
        <is>
          <t>Urskogsporing
Fläckporing
Gräddporing
Smalfotad taggsvamp
Dvärgbägarlav
Garnlav
Gränsticka
Nordtagging
Dropptaggsvamp</t>
        </is>
      </c>
      <c r="S217">
        <f>HYPERLINK("https://klasma.github.io/Logging_BERG/artfynd/A 34270-2022.xlsx")</f>
        <v/>
      </c>
      <c r="T217">
        <f>HYPERLINK("https://klasma.github.io/Logging_BERG/kartor/A 34270-2022.png")</f>
        <v/>
      </c>
      <c r="V217">
        <f>HYPERLINK("https://klasma.github.io/Logging_BERG/klagomål/A 34270-2022.docx")</f>
        <v/>
      </c>
      <c r="W217">
        <f>HYPERLINK("https://klasma.github.io/Logging_BERG/klagomålsmail/A 34270-2022.docx")</f>
        <v/>
      </c>
      <c r="X217">
        <f>HYPERLINK("https://klasma.github.io/Logging_BERG/tillsyn/A 34270-2022.docx")</f>
        <v/>
      </c>
      <c r="Y217">
        <f>HYPERLINK("https://klasma.github.io/Logging_BERG/tillsynsmail/A 34270-2022.docx")</f>
        <v/>
      </c>
    </row>
    <row r="218" ht="15" customHeight="1">
      <c r="A218" t="inlineStr">
        <is>
          <t>A 35741-2022</t>
        </is>
      </c>
      <c r="B218" s="1" t="n">
        <v>44799</v>
      </c>
      <c r="C218" s="1" t="n">
        <v>45182</v>
      </c>
      <c r="D218" t="inlineStr">
        <is>
          <t>JÄMTLANDS LÄN</t>
        </is>
      </c>
      <c r="E218" t="inlineStr">
        <is>
          <t>BERG</t>
        </is>
      </c>
      <c r="F218" t="inlineStr">
        <is>
          <t>SCA</t>
        </is>
      </c>
      <c r="G218" t="n">
        <v>17.8</v>
      </c>
      <c r="H218" t="n">
        <v>0</v>
      </c>
      <c r="I218" t="n">
        <v>0</v>
      </c>
      <c r="J218" t="n">
        <v>7</v>
      </c>
      <c r="K218" t="n">
        <v>2</v>
      </c>
      <c r="L218" t="n">
        <v>0</v>
      </c>
      <c r="M218" t="n">
        <v>0</v>
      </c>
      <c r="N218" t="n">
        <v>0</v>
      </c>
      <c r="O218" t="n">
        <v>9</v>
      </c>
      <c r="P218" t="n">
        <v>2</v>
      </c>
      <c r="Q218" t="n">
        <v>9</v>
      </c>
      <c r="R218" s="2" t="inlineStr">
        <is>
          <t>Fläckporing
Gräddporing
Blanksvart spiklav
Dvärgbägarlav
Kolflarnlav
Nordtagging
Skrovellav
Vedflamlav
Vedskivlav</t>
        </is>
      </c>
      <c r="S218">
        <f>HYPERLINK("https://klasma.github.io/Logging_BERG/artfynd/A 35741-2022.xlsx")</f>
        <v/>
      </c>
      <c r="T218">
        <f>HYPERLINK("https://klasma.github.io/Logging_BERG/kartor/A 35741-2022.png")</f>
        <v/>
      </c>
      <c r="V218">
        <f>HYPERLINK("https://klasma.github.io/Logging_BERG/klagomål/A 35741-2022.docx")</f>
        <v/>
      </c>
      <c r="W218">
        <f>HYPERLINK("https://klasma.github.io/Logging_BERG/klagomålsmail/A 35741-2022.docx")</f>
        <v/>
      </c>
      <c r="X218">
        <f>HYPERLINK("https://klasma.github.io/Logging_BERG/tillsyn/A 35741-2022.docx")</f>
        <v/>
      </c>
      <c r="Y218">
        <f>HYPERLINK("https://klasma.github.io/Logging_BERG/tillsynsmail/A 35741-2022.docx")</f>
        <v/>
      </c>
    </row>
    <row r="219" ht="15" customHeight="1">
      <c r="A219" t="inlineStr">
        <is>
          <t>A 56894-2022</t>
        </is>
      </c>
      <c r="B219" s="1" t="n">
        <v>44894</v>
      </c>
      <c r="C219" s="1" t="n">
        <v>45182</v>
      </c>
      <c r="D219" t="inlineStr">
        <is>
          <t>JÄMTLANDS LÄN</t>
        </is>
      </c>
      <c r="E219" t="inlineStr">
        <is>
          <t>STRÖMSUND</t>
        </is>
      </c>
      <c r="F219" t="inlineStr">
        <is>
          <t>Holmen skog AB</t>
        </is>
      </c>
      <c r="G219" t="n">
        <v>14</v>
      </c>
      <c r="H219" t="n">
        <v>1</v>
      </c>
      <c r="I219" t="n">
        <v>4</v>
      </c>
      <c r="J219" t="n">
        <v>3</v>
      </c>
      <c r="K219" t="n">
        <v>2</v>
      </c>
      <c r="L219" t="n">
        <v>0</v>
      </c>
      <c r="M219" t="n">
        <v>0</v>
      </c>
      <c r="N219" t="n">
        <v>0</v>
      </c>
      <c r="O219" t="n">
        <v>5</v>
      </c>
      <c r="P219" t="n">
        <v>2</v>
      </c>
      <c r="Q219" t="n">
        <v>9</v>
      </c>
      <c r="R219" s="2" t="inlineStr">
        <is>
          <t>Knärot
Ostticka
Lunglav
Skrovellav
Ullticka
Bårdlav
Luddlav
Skinnlav
Stuplav</t>
        </is>
      </c>
      <c r="S219">
        <f>HYPERLINK("https://klasma.github.io/Logging_STROMSUND/artfynd/A 56894-2022.xlsx")</f>
        <v/>
      </c>
      <c r="T219">
        <f>HYPERLINK("https://klasma.github.io/Logging_STROMSUND/kartor/A 56894-2022.png")</f>
        <v/>
      </c>
      <c r="U219">
        <f>HYPERLINK("https://klasma.github.io/Logging_STROMSUND/knärot/A 56894-2022.png")</f>
        <v/>
      </c>
      <c r="V219">
        <f>HYPERLINK("https://klasma.github.io/Logging_STROMSUND/klagomål/A 56894-2022.docx")</f>
        <v/>
      </c>
      <c r="W219">
        <f>HYPERLINK("https://klasma.github.io/Logging_STROMSUND/klagomålsmail/A 56894-2022.docx")</f>
        <v/>
      </c>
      <c r="X219">
        <f>HYPERLINK("https://klasma.github.io/Logging_STROMSUND/tillsyn/A 56894-2022.docx")</f>
        <v/>
      </c>
      <c r="Y219">
        <f>HYPERLINK("https://klasma.github.io/Logging_STROMSUND/tillsynsmail/A 56894-2022.docx")</f>
        <v/>
      </c>
    </row>
    <row r="220" ht="15" customHeight="1">
      <c r="A220" t="inlineStr">
        <is>
          <t>A 25562-2023</t>
        </is>
      </c>
      <c r="B220" s="1" t="n">
        <v>45082</v>
      </c>
      <c r="C220" s="1" t="n">
        <v>45182</v>
      </c>
      <c r="D220" t="inlineStr">
        <is>
          <t>JÄMTLANDS LÄN</t>
        </is>
      </c>
      <c r="E220" t="inlineStr">
        <is>
          <t>HÄRJEDALEN</t>
        </is>
      </c>
      <c r="F220" t="inlineStr">
        <is>
          <t>Bergvik skog väst AB</t>
        </is>
      </c>
      <c r="G220" t="n">
        <v>24.5</v>
      </c>
      <c r="H220" t="n">
        <v>3</v>
      </c>
      <c r="I220" t="n">
        <v>1</v>
      </c>
      <c r="J220" t="n">
        <v>6</v>
      </c>
      <c r="K220" t="n">
        <v>2</v>
      </c>
      <c r="L220" t="n">
        <v>0</v>
      </c>
      <c r="M220" t="n">
        <v>0</v>
      </c>
      <c r="N220" t="n">
        <v>0</v>
      </c>
      <c r="O220" t="n">
        <v>8</v>
      </c>
      <c r="P220" t="n">
        <v>2</v>
      </c>
      <c r="Q220" t="n">
        <v>9</v>
      </c>
      <c r="R220" s="2" t="inlineStr">
        <is>
          <t>Grantickeporing
Rynkskinn
Garnlav
Granticka
Stjärntagging
Talltita
Tretåig hackspett
Ullticka
Spindelblomster</t>
        </is>
      </c>
      <c r="S220">
        <f>HYPERLINK("https://klasma.github.io/Logging_HARJEDALEN/artfynd/A 25562-2023.xlsx")</f>
        <v/>
      </c>
      <c r="T220">
        <f>HYPERLINK("https://klasma.github.io/Logging_HARJEDALEN/kartor/A 25562-2023.png")</f>
        <v/>
      </c>
      <c r="V220">
        <f>HYPERLINK("https://klasma.github.io/Logging_HARJEDALEN/klagomål/A 25562-2023.docx")</f>
        <v/>
      </c>
      <c r="W220">
        <f>HYPERLINK("https://klasma.github.io/Logging_HARJEDALEN/klagomålsmail/A 25562-2023.docx")</f>
        <v/>
      </c>
      <c r="X220">
        <f>HYPERLINK("https://klasma.github.io/Logging_HARJEDALEN/tillsyn/A 25562-2023.docx")</f>
        <v/>
      </c>
      <c r="Y220">
        <f>HYPERLINK("https://klasma.github.io/Logging_HARJEDALEN/tillsynsmail/A 25562-2023.docx")</f>
        <v/>
      </c>
    </row>
    <row r="221" ht="15" customHeight="1">
      <c r="A221" t="inlineStr">
        <is>
          <t>A 25189-2023</t>
        </is>
      </c>
      <c r="B221" s="1" t="n">
        <v>45086</v>
      </c>
      <c r="C221" s="1" t="n">
        <v>45182</v>
      </c>
      <c r="D221" t="inlineStr">
        <is>
          <t>JÄMTLANDS LÄN</t>
        </is>
      </c>
      <c r="E221" t="inlineStr">
        <is>
          <t>KROKOM</t>
        </is>
      </c>
      <c r="F221" t="inlineStr">
        <is>
          <t>Övriga Aktiebolag</t>
        </is>
      </c>
      <c r="G221" t="n">
        <v>27</v>
      </c>
      <c r="H221" t="n">
        <v>1</v>
      </c>
      <c r="I221" t="n">
        <v>2</v>
      </c>
      <c r="J221" t="n">
        <v>6</v>
      </c>
      <c r="K221" t="n">
        <v>1</v>
      </c>
      <c r="L221" t="n">
        <v>0</v>
      </c>
      <c r="M221" t="n">
        <v>0</v>
      </c>
      <c r="N221" t="n">
        <v>0</v>
      </c>
      <c r="O221" t="n">
        <v>7</v>
      </c>
      <c r="P221" t="n">
        <v>1</v>
      </c>
      <c r="Q221" t="n">
        <v>9</v>
      </c>
      <c r="R221" s="2" t="inlineStr">
        <is>
          <t>Doftticka
Garnlav
Nordtagging
Skrovellav
Vedflamlav
Vedskivlav
Violmussling
Luddlav
Slanklav</t>
        </is>
      </c>
      <c r="S221">
        <f>HYPERLINK("https://klasma.github.io/Logging_KROKOM/artfynd/A 25189-2023.xlsx")</f>
        <v/>
      </c>
      <c r="T221">
        <f>HYPERLINK("https://klasma.github.io/Logging_KROKOM/kartor/A 25189-2023.png")</f>
        <v/>
      </c>
      <c r="V221">
        <f>HYPERLINK("https://klasma.github.io/Logging_KROKOM/klagomål/A 25189-2023.docx")</f>
        <v/>
      </c>
      <c r="W221">
        <f>HYPERLINK("https://klasma.github.io/Logging_KROKOM/klagomålsmail/A 25189-2023.docx")</f>
        <v/>
      </c>
      <c r="X221">
        <f>HYPERLINK("https://klasma.github.io/Logging_KROKOM/tillsyn/A 25189-2023.docx")</f>
        <v/>
      </c>
      <c r="Y221">
        <f>HYPERLINK("https://klasma.github.io/Logging_KROKOM/tillsynsmail/A 25189-2023.docx")</f>
        <v/>
      </c>
    </row>
    <row r="222" ht="15" customHeight="1">
      <c r="A222" t="inlineStr">
        <is>
          <t>A 29332-2023</t>
        </is>
      </c>
      <c r="B222" s="1" t="n">
        <v>45105</v>
      </c>
      <c r="C222" s="1" t="n">
        <v>45182</v>
      </c>
      <c r="D222" t="inlineStr">
        <is>
          <t>JÄMTLANDS LÄN</t>
        </is>
      </c>
      <c r="E222" t="inlineStr">
        <is>
          <t>BRÄCKE</t>
        </is>
      </c>
      <c r="F222" t="inlineStr">
        <is>
          <t>SCA</t>
        </is>
      </c>
      <c r="G222" t="n">
        <v>11</v>
      </c>
      <c r="H222" t="n">
        <v>0</v>
      </c>
      <c r="I222" t="n">
        <v>4</v>
      </c>
      <c r="J222" t="n">
        <v>4</v>
      </c>
      <c r="K222" t="n">
        <v>1</v>
      </c>
      <c r="L222" t="n">
        <v>0</v>
      </c>
      <c r="M222" t="n">
        <v>0</v>
      </c>
      <c r="N222" t="n">
        <v>0</v>
      </c>
      <c r="O222" t="n">
        <v>5</v>
      </c>
      <c r="P222" t="n">
        <v>1</v>
      </c>
      <c r="Q222" t="n">
        <v>9</v>
      </c>
      <c r="R222" s="2" t="inlineStr">
        <is>
          <t>Gräddporing
Dvärgbägarlav
Lunglav
Skrovellav
Ullticka
Dropptaggsvamp
Korallblylav
Kransrams
Underviol</t>
        </is>
      </c>
      <c r="S222">
        <f>HYPERLINK("https://klasma.github.io/Logging_BRACKE/artfynd/A 29332-2023.xlsx")</f>
        <v/>
      </c>
      <c r="T222">
        <f>HYPERLINK("https://klasma.github.io/Logging_BRACKE/kartor/A 29332-2023.png")</f>
        <v/>
      </c>
      <c r="V222">
        <f>HYPERLINK("https://klasma.github.io/Logging_BRACKE/klagomål/A 29332-2023.docx")</f>
        <v/>
      </c>
      <c r="W222">
        <f>HYPERLINK("https://klasma.github.io/Logging_BRACKE/klagomålsmail/A 29332-2023.docx")</f>
        <v/>
      </c>
      <c r="X222">
        <f>HYPERLINK("https://klasma.github.io/Logging_BRACKE/tillsyn/A 29332-2023.docx")</f>
        <v/>
      </c>
      <c r="Y222">
        <f>HYPERLINK("https://klasma.github.io/Logging_BRACKE/tillsynsmail/A 29332-2023.docx")</f>
        <v/>
      </c>
    </row>
    <row r="223" ht="15" customHeight="1">
      <c r="A223" t="inlineStr">
        <is>
          <t>A 31196-2023</t>
        </is>
      </c>
      <c r="B223" s="1" t="n">
        <v>45113</v>
      </c>
      <c r="C223" s="1" t="n">
        <v>45182</v>
      </c>
      <c r="D223" t="inlineStr">
        <is>
          <t>JÄMTLANDS LÄN</t>
        </is>
      </c>
      <c r="E223" t="inlineStr">
        <is>
          <t>RAGUNDA</t>
        </is>
      </c>
      <c r="F223" t="inlineStr">
        <is>
          <t>SCA</t>
        </is>
      </c>
      <c r="G223" t="n">
        <v>32.8</v>
      </c>
      <c r="H223" t="n">
        <v>0</v>
      </c>
      <c r="I223" t="n">
        <v>4</v>
      </c>
      <c r="J223" t="n">
        <v>5</v>
      </c>
      <c r="K223" t="n">
        <v>0</v>
      </c>
      <c r="L223" t="n">
        <v>0</v>
      </c>
      <c r="M223" t="n">
        <v>0</v>
      </c>
      <c r="N223" t="n">
        <v>0</v>
      </c>
      <c r="O223" t="n">
        <v>5</v>
      </c>
      <c r="P223" t="n">
        <v>0</v>
      </c>
      <c r="Q223" t="n">
        <v>9</v>
      </c>
      <c r="R223" s="2" t="inlineStr">
        <is>
          <t>Dvärgbägarlav
Garnlav
Harticka
Lunglav
Skrovlig taggsvamp
Dropptaggsvamp
Skarp dropptaggsvamp
Stuplav
Svavelriska</t>
        </is>
      </c>
      <c r="S223">
        <f>HYPERLINK("https://klasma.github.io/Logging_RAGUNDA/artfynd/A 31196-2023.xlsx")</f>
        <v/>
      </c>
      <c r="T223">
        <f>HYPERLINK("https://klasma.github.io/Logging_RAGUNDA/kartor/A 31196-2023.png")</f>
        <v/>
      </c>
      <c r="V223">
        <f>HYPERLINK("https://klasma.github.io/Logging_RAGUNDA/klagomål/A 31196-2023.docx")</f>
        <v/>
      </c>
      <c r="W223">
        <f>HYPERLINK("https://klasma.github.io/Logging_RAGUNDA/klagomålsmail/A 31196-2023.docx")</f>
        <v/>
      </c>
      <c r="X223">
        <f>HYPERLINK("https://klasma.github.io/Logging_RAGUNDA/tillsyn/A 31196-2023.docx")</f>
        <v/>
      </c>
      <c r="Y223">
        <f>HYPERLINK("https://klasma.github.io/Logging_RAGUNDA/tillsynsmail/A 31196-2023.docx")</f>
        <v/>
      </c>
    </row>
    <row r="224" ht="15" customHeight="1">
      <c r="A224" t="inlineStr">
        <is>
          <t>A 53458-2018</t>
        </is>
      </c>
      <c r="B224" s="1" t="n">
        <v>43391</v>
      </c>
      <c r="C224" s="1" t="n">
        <v>45182</v>
      </c>
      <c r="D224" t="inlineStr">
        <is>
          <t>JÄMTLANDS LÄN</t>
        </is>
      </c>
      <c r="E224" t="inlineStr">
        <is>
          <t>ÅRE</t>
        </is>
      </c>
      <c r="G224" t="n">
        <v>63.9</v>
      </c>
      <c r="H224" t="n">
        <v>0</v>
      </c>
      <c r="I224" t="n">
        <v>2</v>
      </c>
      <c r="J224" t="n">
        <v>5</v>
      </c>
      <c r="K224" t="n">
        <v>1</v>
      </c>
      <c r="L224" t="n">
        <v>0</v>
      </c>
      <c r="M224" t="n">
        <v>0</v>
      </c>
      <c r="N224" t="n">
        <v>0</v>
      </c>
      <c r="O224" t="n">
        <v>6</v>
      </c>
      <c r="P224" t="n">
        <v>1</v>
      </c>
      <c r="Q224" t="n">
        <v>8</v>
      </c>
      <c r="R224" s="2" t="inlineStr">
        <is>
          <t>Norsk näverlav
Gammelgransskål
Garnlav
Granticka
Knottrig blåslav
Skrovellav
Bårdlav
Stuplav</t>
        </is>
      </c>
      <c r="S224">
        <f>HYPERLINK("https://klasma.github.io/Logging_ARE/artfynd/A 53458-2018.xlsx")</f>
        <v/>
      </c>
      <c r="T224">
        <f>HYPERLINK("https://klasma.github.io/Logging_ARE/kartor/A 53458-2018.png")</f>
        <v/>
      </c>
      <c r="V224">
        <f>HYPERLINK("https://klasma.github.io/Logging_ARE/klagomål/A 53458-2018.docx")</f>
        <v/>
      </c>
      <c r="W224">
        <f>HYPERLINK("https://klasma.github.io/Logging_ARE/klagomålsmail/A 53458-2018.docx")</f>
        <v/>
      </c>
      <c r="X224">
        <f>HYPERLINK("https://klasma.github.io/Logging_ARE/tillsyn/A 53458-2018.docx")</f>
        <v/>
      </c>
      <c r="Y224">
        <f>HYPERLINK("https://klasma.github.io/Logging_ARE/tillsynsmail/A 53458-2018.docx")</f>
        <v/>
      </c>
    </row>
    <row r="225" ht="15" customHeight="1">
      <c r="A225" t="inlineStr">
        <is>
          <t>A 59405-2018</t>
        </is>
      </c>
      <c r="B225" s="1" t="n">
        <v>43418</v>
      </c>
      <c r="C225" s="1" t="n">
        <v>45182</v>
      </c>
      <c r="D225" t="inlineStr">
        <is>
          <t>JÄMTLANDS LÄN</t>
        </is>
      </c>
      <c r="E225" t="inlineStr">
        <is>
          <t>ÅRE</t>
        </is>
      </c>
      <c r="F225" t="inlineStr">
        <is>
          <t>Övriga Aktiebolag</t>
        </is>
      </c>
      <c r="G225" t="n">
        <v>11</v>
      </c>
      <c r="H225" t="n">
        <v>0</v>
      </c>
      <c r="I225" t="n">
        <v>3</v>
      </c>
      <c r="J225" t="n">
        <v>3</v>
      </c>
      <c r="K225" t="n">
        <v>2</v>
      </c>
      <c r="L225" t="n">
        <v>0</v>
      </c>
      <c r="M225" t="n">
        <v>0</v>
      </c>
      <c r="N225" t="n">
        <v>0</v>
      </c>
      <c r="O225" t="n">
        <v>5</v>
      </c>
      <c r="P225" t="n">
        <v>2</v>
      </c>
      <c r="Q225" t="n">
        <v>8</v>
      </c>
      <c r="R225" s="2" t="inlineStr">
        <is>
          <t>Amerikansk sönderfallslav
Skuggkraterlav
Brunpudrad nållav
Granticka
Vitgrynig nållav
Luddlav
Skogshakmossa
Trådticka</t>
        </is>
      </c>
      <c r="S225">
        <f>HYPERLINK("https://klasma.github.io/Logging_ARE/artfynd/A 59405-2018.xlsx")</f>
        <v/>
      </c>
      <c r="T225">
        <f>HYPERLINK("https://klasma.github.io/Logging_ARE/kartor/A 59405-2018.png")</f>
        <v/>
      </c>
      <c r="V225">
        <f>HYPERLINK("https://klasma.github.io/Logging_ARE/klagomål/A 59405-2018.docx")</f>
        <v/>
      </c>
      <c r="W225">
        <f>HYPERLINK("https://klasma.github.io/Logging_ARE/klagomålsmail/A 59405-2018.docx")</f>
        <v/>
      </c>
      <c r="X225">
        <f>HYPERLINK("https://klasma.github.io/Logging_ARE/tillsyn/A 59405-2018.docx")</f>
        <v/>
      </c>
      <c r="Y225">
        <f>HYPERLINK("https://klasma.github.io/Logging_ARE/tillsynsmail/A 59405-2018.docx")</f>
        <v/>
      </c>
    </row>
    <row r="226" ht="15" customHeight="1">
      <c r="A226" t="inlineStr">
        <is>
          <t>A 494-2019</t>
        </is>
      </c>
      <c r="B226" s="1" t="n">
        <v>43469</v>
      </c>
      <c r="C226" s="1" t="n">
        <v>45182</v>
      </c>
      <c r="D226" t="inlineStr">
        <is>
          <t>JÄMTLANDS LÄN</t>
        </is>
      </c>
      <c r="E226" t="inlineStr">
        <is>
          <t>ÅRE</t>
        </is>
      </c>
      <c r="G226" t="n">
        <v>29.8</v>
      </c>
      <c r="H226" t="n">
        <v>1</v>
      </c>
      <c r="I226" t="n">
        <v>6</v>
      </c>
      <c r="J226" t="n">
        <v>2</v>
      </c>
      <c r="K226" t="n">
        <v>0</v>
      </c>
      <c r="L226" t="n">
        <v>0</v>
      </c>
      <c r="M226" t="n">
        <v>0</v>
      </c>
      <c r="N226" t="n">
        <v>0</v>
      </c>
      <c r="O226" t="n">
        <v>2</v>
      </c>
      <c r="P226" t="n">
        <v>0</v>
      </c>
      <c r="Q226" t="n">
        <v>8</v>
      </c>
      <c r="R226" s="2" t="inlineStr">
        <is>
          <t>Garnlav
Skrovellav
Bårdlav
Stuplav
Svavelriska
Trådticka
Tvåblad
Ögonpyrola</t>
        </is>
      </c>
      <c r="S226">
        <f>HYPERLINK("https://klasma.github.io/Logging_ARE/artfynd/A 494-2019.xlsx")</f>
        <v/>
      </c>
      <c r="T226">
        <f>HYPERLINK("https://klasma.github.io/Logging_ARE/kartor/A 494-2019.png")</f>
        <v/>
      </c>
      <c r="V226">
        <f>HYPERLINK("https://klasma.github.io/Logging_ARE/klagomål/A 494-2019.docx")</f>
        <v/>
      </c>
      <c r="W226">
        <f>HYPERLINK("https://klasma.github.io/Logging_ARE/klagomålsmail/A 494-2019.docx")</f>
        <v/>
      </c>
      <c r="X226">
        <f>HYPERLINK("https://klasma.github.io/Logging_ARE/tillsyn/A 494-2019.docx")</f>
        <v/>
      </c>
      <c r="Y226">
        <f>HYPERLINK("https://klasma.github.io/Logging_ARE/tillsynsmail/A 494-2019.docx")</f>
        <v/>
      </c>
    </row>
    <row r="227" ht="15" customHeight="1">
      <c r="A227" t="inlineStr">
        <is>
          <t>A 4916-2019</t>
        </is>
      </c>
      <c r="B227" s="1" t="n">
        <v>43479</v>
      </c>
      <c r="C227" s="1" t="n">
        <v>45182</v>
      </c>
      <c r="D227" t="inlineStr">
        <is>
          <t>JÄMTLANDS LÄN</t>
        </is>
      </c>
      <c r="E227" t="inlineStr">
        <is>
          <t>HÄRJEDALEN</t>
        </is>
      </c>
      <c r="F227" t="inlineStr">
        <is>
          <t>SCA</t>
        </is>
      </c>
      <c r="G227" t="n">
        <v>3.6</v>
      </c>
      <c r="H227" t="n">
        <v>1</v>
      </c>
      <c r="I227" t="n">
        <v>3</v>
      </c>
      <c r="J227" t="n">
        <v>2</v>
      </c>
      <c r="K227" t="n">
        <v>2</v>
      </c>
      <c r="L227" t="n">
        <v>1</v>
      </c>
      <c r="M227" t="n">
        <v>0</v>
      </c>
      <c r="N227" t="n">
        <v>0</v>
      </c>
      <c r="O227" t="n">
        <v>5</v>
      </c>
      <c r="P227" t="n">
        <v>3</v>
      </c>
      <c r="Q227" t="n">
        <v>8</v>
      </c>
      <c r="R227" s="2" t="inlineStr">
        <is>
          <t>Mosippa
Gräddporing
Rotfingersvamp
Blå taggsvamp
Motaggsvamp
Dropptaggsvamp
Skarp dropptaggsvamp
Tallfingersvamp</t>
        </is>
      </c>
      <c r="S227">
        <f>HYPERLINK("https://klasma.github.io/Logging_HARJEDALEN/artfynd/A 4916-2019.xlsx")</f>
        <v/>
      </c>
      <c r="T227">
        <f>HYPERLINK("https://klasma.github.io/Logging_HARJEDALEN/kartor/A 4916-2019.png")</f>
        <v/>
      </c>
      <c r="V227">
        <f>HYPERLINK("https://klasma.github.io/Logging_HARJEDALEN/klagomål/A 4916-2019.docx")</f>
        <v/>
      </c>
      <c r="W227">
        <f>HYPERLINK("https://klasma.github.io/Logging_HARJEDALEN/klagomålsmail/A 4916-2019.docx")</f>
        <v/>
      </c>
      <c r="X227">
        <f>HYPERLINK("https://klasma.github.io/Logging_HARJEDALEN/tillsyn/A 4916-2019.docx")</f>
        <v/>
      </c>
      <c r="Y227">
        <f>HYPERLINK("https://klasma.github.io/Logging_HARJEDALEN/tillsynsmail/A 4916-2019.docx")</f>
        <v/>
      </c>
    </row>
    <row r="228" ht="15" customHeight="1">
      <c r="A228" t="inlineStr">
        <is>
          <t>A 35623-2019</t>
        </is>
      </c>
      <c r="B228" s="1" t="n">
        <v>43664</v>
      </c>
      <c r="C228" s="1" t="n">
        <v>45182</v>
      </c>
      <c r="D228" t="inlineStr">
        <is>
          <t>JÄMTLANDS LÄN</t>
        </is>
      </c>
      <c r="E228" t="inlineStr">
        <is>
          <t>STRÖMSUND</t>
        </is>
      </c>
      <c r="G228" t="n">
        <v>38.1</v>
      </c>
      <c r="H228" t="n">
        <v>2</v>
      </c>
      <c r="I228" t="n">
        <v>2</v>
      </c>
      <c r="J228" t="n">
        <v>5</v>
      </c>
      <c r="K228" t="n">
        <v>1</v>
      </c>
      <c r="L228" t="n">
        <v>0</v>
      </c>
      <c r="M228" t="n">
        <v>0</v>
      </c>
      <c r="N228" t="n">
        <v>0</v>
      </c>
      <c r="O228" t="n">
        <v>6</v>
      </c>
      <c r="P228" t="n">
        <v>1</v>
      </c>
      <c r="Q228" t="n">
        <v>8</v>
      </c>
      <c r="R228" s="2" t="inlineStr">
        <is>
          <t>Norna
Gammelgransskål
Garnlav
Granticka
Tretåig hackspett
Ullticka
Korallblylav
Stuplav</t>
        </is>
      </c>
      <c r="S228">
        <f>HYPERLINK("https://klasma.github.io/Logging_STROMSUND/artfynd/A 35623-2019.xlsx")</f>
        <v/>
      </c>
      <c r="T228">
        <f>HYPERLINK("https://klasma.github.io/Logging_STROMSUND/kartor/A 35623-2019.png")</f>
        <v/>
      </c>
      <c r="V228">
        <f>HYPERLINK("https://klasma.github.io/Logging_STROMSUND/klagomål/A 35623-2019.docx")</f>
        <v/>
      </c>
      <c r="W228">
        <f>HYPERLINK("https://klasma.github.io/Logging_STROMSUND/klagomålsmail/A 35623-2019.docx")</f>
        <v/>
      </c>
      <c r="X228">
        <f>HYPERLINK("https://klasma.github.io/Logging_STROMSUND/tillsyn/A 35623-2019.docx")</f>
        <v/>
      </c>
      <c r="Y228">
        <f>HYPERLINK("https://klasma.github.io/Logging_STROMSUND/tillsynsmail/A 35623-2019.docx")</f>
        <v/>
      </c>
    </row>
    <row r="229" ht="15" customHeight="1">
      <c r="A229" t="inlineStr">
        <is>
          <t>A 56215-2020</t>
        </is>
      </c>
      <c r="B229" s="1" t="n">
        <v>44133</v>
      </c>
      <c r="C229" s="1" t="n">
        <v>45182</v>
      </c>
      <c r="D229" t="inlineStr">
        <is>
          <t>JÄMTLANDS LÄN</t>
        </is>
      </c>
      <c r="E229" t="inlineStr">
        <is>
          <t>RAGUNDA</t>
        </is>
      </c>
      <c r="F229" t="inlineStr">
        <is>
          <t>SCA</t>
        </is>
      </c>
      <c r="G229" t="n">
        <v>3.4</v>
      </c>
      <c r="H229" t="n">
        <v>2</v>
      </c>
      <c r="I229" t="n">
        <v>5</v>
      </c>
      <c r="J229" t="n">
        <v>2</v>
      </c>
      <c r="K229" t="n">
        <v>0</v>
      </c>
      <c r="L229" t="n">
        <v>0</v>
      </c>
      <c r="M229" t="n">
        <v>0</v>
      </c>
      <c r="N229" t="n">
        <v>0</v>
      </c>
      <c r="O229" t="n">
        <v>2</v>
      </c>
      <c r="P229" t="n">
        <v>0</v>
      </c>
      <c r="Q229" t="n">
        <v>8</v>
      </c>
      <c r="R229" s="2" t="inlineStr">
        <is>
          <t>Granticka
Lunglav
Guckusko
Kransrams
Svart trolldruva
Tibast
Vårärt
Blåsippa</t>
        </is>
      </c>
      <c r="S229">
        <f>HYPERLINK("https://klasma.github.io/Logging_RAGUNDA/artfynd/A 56215-2020.xlsx")</f>
        <v/>
      </c>
      <c r="T229">
        <f>HYPERLINK("https://klasma.github.io/Logging_RAGUNDA/kartor/A 56215-2020.png")</f>
        <v/>
      </c>
      <c r="V229">
        <f>HYPERLINK("https://klasma.github.io/Logging_RAGUNDA/klagomål/A 56215-2020.docx")</f>
        <v/>
      </c>
      <c r="W229">
        <f>HYPERLINK("https://klasma.github.io/Logging_RAGUNDA/klagomålsmail/A 56215-2020.docx")</f>
        <v/>
      </c>
      <c r="X229">
        <f>HYPERLINK("https://klasma.github.io/Logging_RAGUNDA/tillsyn/A 56215-2020.docx")</f>
        <v/>
      </c>
      <c r="Y229">
        <f>HYPERLINK("https://klasma.github.io/Logging_RAGUNDA/tillsynsmail/A 56215-2020.docx")</f>
        <v/>
      </c>
    </row>
    <row r="230" ht="15" customHeight="1">
      <c r="A230" t="inlineStr">
        <is>
          <t>A 20664-2021</t>
        </is>
      </c>
      <c r="B230" s="1" t="n">
        <v>44316</v>
      </c>
      <c r="C230" s="1" t="n">
        <v>45182</v>
      </c>
      <c r="D230" t="inlineStr">
        <is>
          <t>JÄMTLANDS LÄN</t>
        </is>
      </c>
      <c r="E230" t="inlineStr">
        <is>
          <t>ÅRE</t>
        </is>
      </c>
      <c r="G230" t="n">
        <v>10.7</v>
      </c>
      <c r="H230" t="n">
        <v>2</v>
      </c>
      <c r="I230" t="n">
        <v>1</v>
      </c>
      <c r="J230" t="n">
        <v>7</v>
      </c>
      <c r="K230" t="n">
        <v>0</v>
      </c>
      <c r="L230" t="n">
        <v>0</v>
      </c>
      <c r="M230" t="n">
        <v>0</v>
      </c>
      <c r="N230" t="n">
        <v>0</v>
      </c>
      <c r="O230" t="n">
        <v>7</v>
      </c>
      <c r="P230" t="n">
        <v>0</v>
      </c>
      <c r="Q230" t="n">
        <v>8</v>
      </c>
      <c r="R230" s="2" t="inlineStr">
        <is>
          <t>Garnlav
Granticka
Järpe
Skrovellav
Tretåig hackspett
Ullticka
Vedtrappmossa
Vedticka</t>
        </is>
      </c>
      <c r="S230">
        <f>HYPERLINK("https://klasma.github.io/Logging_ARE/artfynd/A 20664-2021.xlsx")</f>
        <v/>
      </c>
      <c r="T230">
        <f>HYPERLINK("https://klasma.github.io/Logging_ARE/kartor/A 20664-2021.png")</f>
        <v/>
      </c>
      <c r="V230">
        <f>HYPERLINK("https://klasma.github.io/Logging_ARE/klagomål/A 20664-2021.docx")</f>
        <v/>
      </c>
      <c r="W230">
        <f>HYPERLINK("https://klasma.github.io/Logging_ARE/klagomålsmail/A 20664-2021.docx")</f>
        <v/>
      </c>
      <c r="X230">
        <f>HYPERLINK("https://klasma.github.io/Logging_ARE/tillsyn/A 20664-2021.docx")</f>
        <v/>
      </c>
      <c r="Y230">
        <f>HYPERLINK("https://klasma.github.io/Logging_ARE/tillsynsmail/A 20664-2021.docx")</f>
        <v/>
      </c>
    </row>
    <row r="231" ht="15" customHeight="1">
      <c r="A231" t="inlineStr">
        <is>
          <t>A 33422-2021</t>
        </is>
      </c>
      <c r="B231" s="1" t="n">
        <v>44377</v>
      </c>
      <c r="C231" s="1" t="n">
        <v>45182</v>
      </c>
      <c r="D231" t="inlineStr">
        <is>
          <t>JÄMTLANDS LÄN</t>
        </is>
      </c>
      <c r="E231" t="inlineStr">
        <is>
          <t>HÄRJEDALEN</t>
        </is>
      </c>
      <c r="G231" t="n">
        <v>13.3</v>
      </c>
      <c r="H231" t="n">
        <v>2</v>
      </c>
      <c r="I231" t="n">
        <v>1</v>
      </c>
      <c r="J231" t="n">
        <v>7</v>
      </c>
      <c r="K231" t="n">
        <v>0</v>
      </c>
      <c r="L231" t="n">
        <v>0</v>
      </c>
      <c r="M231" t="n">
        <v>0</v>
      </c>
      <c r="N231" t="n">
        <v>0</v>
      </c>
      <c r="O231" t="n">
        <v>7</v>
      </c>
      <c r="P231" t="n">
        <v>0</v>
      </c>
      <c r="Q231" t="n">
        <v>8</v>
      </c>
      <c r="R231" s="2" t="inlineStr">
        <is>
          <t>Blanksvart spiklav
Garnlav
Knottrig blåslav
Parknål
Skrovellav
Spillkråka
Vitgrynig nållav
Plattlummer</t>
        </is>
      </c>
      <c r="S231">
        <f>HYPERLINK("https://klasma.github.io/Logging_HARJEDALEN/artfynd/A 33422-2021.xlsx")</f>
        <v/>
      </c>
      <c r="T231">
        <f>HYPERLINK("https://klasma.github.io/Logging_HARJEDALEN/kartor/A 33422-2021.png")</f>
        <v/>
      </c>
      <c r="V231">
        <f>HYPERLINK("https://klasma.github.io/Logging_HARJEDALEN/klagomål/A 33422-2021.docx")</f>
        <v/>
      </c>
      <c r="W231">
        <f>HYPERLINK("https://klasma.github.io/Logging_HARJEDALEN/klagomålsmail/A 33422-2021.docx")</f>
        <v/>
      </c>
      <c r="X231">
        <f>HYPERLINK("https://klasma.github.io/Logging_HARJEDALEN/tillsyn/A 33422-2021.docx")</f>
        <v/>
      </c>
      <c r="Y231">
        <f>HYPERLINK("https://klasma.github.io/Logging_HARJEDALEN/tillsynsmail/A 33422-2021.docx")</f>
        <v/>
      </c>
    </row>
    <row r="232" ht="15" customHeight="1">
      <c r="A232" t="inlineStr">
        <is>
          <t>A 42236-2021</t>
        </is>
      </c>
      <c r="B232" s="1" t="n">
        <v>44426</v>
      </c>
      <c r="C232" s="1" t="n">
        <v>45182</v>
      </c>
      <c r="D232" t="inlineStr">
        <is>
          <t>JÄMTLANDS LÄN</t>
        </is>
      </c>
      <c r="E232" t="inlineStr">
        <is>
          <t>STRÖMSUND</t>
        </is>
      </c>
      <c r="F232" t="inlineStr">
        <is>
          <t>SCA</t>
        </is>
      </c>
      <c r="G232" t="n">
        <v>9.1</v>
      </c>
      <c r="H232" t="n">
        <v>0</v>
      </c>
      <c r="I232" t="n">
        <v>5</v>
      </c>
      <c r="J232" t="n">
        <v>3</v>
      </c>
      <c r="K232" t="n">
        <v>0</v>
      </c>
      <c r="L232" t="n">
        <v>0</v>
      </c>
      <c r="M232" t="n">
        <v>0</v>
      </c>
      <c r="N232" t="n">
        <v>0</v>
      </c>
      <c r="O232" t="n">
        <v>3</v>
      </c>
      <c r="P232" t="n">
        <v>0</v>
      </c>
      <c r="Q232" t="n">
        <v>8</v>
      </c>
      <c r="R232" s="2" t="inlineStr">
        <is>
          <t>Granticka
Lunglav
Skrovellav
Bårdlav
Källmossa
Stor aspticka
Stuplav
Ögonpyrola</t>
        </is>
      </c>
      <c r="S232">
        <f>HYPERLINK("https://klasma.github.io/Logging_STROMSUND/artfynd/A 42236-2021.xlsx")</f>
        <v/>
      </c>
      <c r="T232">
        <f>HYPERLINK("https://klasma.github.io/Logging_STROMSUND/kartor/A 42236-2021.png")</f>
        <v/>
      </c>
      <c r="V232">
        <f>HYPERLINK("https://klasma.github.io/Logging_STROMSUND/klagomål/A 42236-2021.docx")</f>
        <v/>
      </c>
      <c r="W232">
        <f>HYPERLINK("https://klasma.github.io/Logging_STROMSUND/klagomålsmail/A 42236-2021.docx")</f>
        <v/>
      </c>
      <c r="X232">
        <f>HYPERLINK("https://klasma.github.io/Logging_STROMSUND/tillsyn/A 42236-2021.docx")</f>
        <v/>
      </c>
      <c r="Y232">
        <f>HYPERLINK("https://klasma.github.io/Logging_STROMSUND/tillsynsmail/A 42236-2021.docx")</f>
        <v/>
      </c>
    </row>
    <row r="233" ht="15" customHeight="1">
      <c r="A233" t="inlineStr">
        <is>
          <t>A 64239-2021</t>
        </is>
      </c>
      <c r="B233" s="1" t="n">
        <v>44510</v>
      </c>
      <c r="C233" s="1" t="n">
        <v>45182</v>
      </c>
      <c r="D233" t="inlineStr">
        <is>
          <t>JÄMTLANDS LÄN</t>
        </is>
      </c>
      <c r="E233" t="inlineStr">
        <is>
          <t>ÅRE</t>
        </is>
      </c>
      <c r="G233" t="n">
        <v>11.8</v>
      </c>
      <c r="H233" t="n">
        <v>2</v>
      </c>
      <c r="I233" t="n">
        <v>1</v>
      </c>
      <c r="J233" t="n">
        <v>6</v>
      </c>
      <c r="K233" t="n">
        <v>1</v>
      </c>
      <c r="L233" t="n">
        <v>0</v>
      </c>
      <c r="M233" t="n">
        <v>0</v>
      </c>
      <c r="N233" t="n">
        <v>0</v>
      </c>
      <c r="O233" t="n">
        <v>7</v>
      </c>
      <c r="P233" t="n">
        <v>1</v>
      </c>
      <c r="Q233" t="n">
        <v>8</v>
      </c>
      <c r="R233" s="2" t="inlineStr">
        <is>
          <t>Norsk näverlav
Granticka
Gränsticka
Järpe
Skrovellav
Tretåig hackspett
Ullticka
Stuplav</t>
        </is>
      </c>
      <c r="S233">
        <f>HYPERLINK("https://klasma.github.io/Logging_ARE/artfynd/A 64239-2021.xlsx")</f>
        <v/>
      </c>
      <c r="T233">
        <f>HYPERLINK("https://klasma.github.io/Logging_ARE/kartor/A 64239-2021.png")</f>
        <v/>
      </c>
      <c r="V233">
        <f>HYPERLINK("https://klasma.github.io/Logging_ARE/klagomål/A 64239-2021.docx")</f>
        <v/>
      </c>
      <c r="W233">
        <f>HYPERLINK("https://klasma.github.io/Logging_ARE/klagomålsmail/A 64239-2021.docx")</f>
        <v/>
      </c>
      <c r="X233">
        <f>HYPERLINK("https://klasma.github.io/Logging_ARE/tillsyn/A 64239-2021.docx")</f>
        <v/>
      </c>
      <c r="Y233">
        <f>HYPERLINK("https://klasma.github.io/Logging_ARE/tillsynsmail/A 64239-2021.docx")</f>
        <v/>
      </c>
    </row>
    <row r="234" ht="15" customHeight="1">
      <c r="A234" t="inlineStr">
        <is>
          <t>A 70806-2021</t>
        </is>
      </c>
      <c r="B234" s="1" t="n">
        <v>44537</v>
      </c>
      <c r="C234" s="1" t="n">
        <v>45182</v>
      </c>
      <c r="D234" t="inlineStr">
        <is>
          <t>JÄMTLANDS LÄN</t>
        </is>
      </c>
      <c r="E234" t="inlineStr">
        <is>
          <t>BRÄCKE</t>
        </is>
      </c>
      <c r="G234" t="n">
        <v>3.9</v>
      </c>
      <c r="H234" t="n">
        <v>2</v>
      </c>
      <c r="I234" t="n">
        <v>2</v>
      </c>
      <c r="J234" t="n">
        <v>5</v>
      </c>
      <c r="K234" t="n">
        <v>1</v>
      </c>
      <c r="L234" t="n">
        <v>0</v>
      </c>
      <c r="M234" t="n">
        <v>0</v>
      </c>
      <c r="N234" t="n">
        <v>0</v>
      </c>
      <c r="O234" t="n">
        <v>6</v>
      </c>
      <c r="P234" t="n">
        <v>1</v>
      </c>
      <c r="Q234" t="n">
        <v>8</v>
      </c>
      <c r="R234" s="2" t="inlineStr">
        <is>
          <t>Knärot
Garnlav
Lunglav
Tretåig hackspett
Ullticka
Vedskivlav
Luddlav
Vanlig flatbagge</t>
        </is>
      </c>
      <c r="S234">
        <f>HYPERLINK("https://klasma.github.io/Logging_BRACKE/artfynd/A 70806-2021.xlsx")</f>
        <v/>
      </c>
      <c r="T234">
        <f>HYPERLINK("https://klasma.github.io/Logging_BRACKE/kartor/A 70806-2021.png")</f>
        <v/>
      </c>
      <c r="U234">
        <f>HYPERLINK("https://klasma.github.io/Logging_BRACKE/knärot/A 70806-2021.png")</f>
        <v/>
      </c>
      <c r="V234">
        <f>HYPERLINK("https://klasma.github.io/Logging_BRACKE/klagomål/A 70806-2021.docx")</f>
        <v/>
      </c>
      <c r="W234">
        <f>HYPERLINK("https://klasma.github.io/Logging_BRACKE/klagomålsmail/A 70806-2021.docx")</f>
        <v/>
      </c>
      <c r="X234">
        <f>HYPERLINK("https://klasma.github.io/Logging_BRACKE/tillsyn/A 70806-2021.docx")</f>
        <v/>
      </c>
      <c r="Y234">
        <f>HYPERLINK("https://klasma.github.io/Logging_BRACKE/tillsynsmail/A 70806-2021.docx")</f>
        <v/>
      </c>
    </row>
    <row r="235" ht="15" customHeight="1">
      <c r="A235" t="inlineStr">
        <is>
          <t>A 73840-2021</t>
        </is>
      </c>
      <c r="B235" s="1" t="n">
        <v>44552</v>
      </c>
      <c r="C235" s="1" t="n">
        <v>45182</v>
      </c>
      <c r="D235" t="inlineStr">
        <is>
          <t>JÄMTLANDS LÄN</t>
        </is>
      </c>
      <c r="E235" t="inlineStr">
        <is>
          <t>KROKOM</t>
        </is>
      </c>
      <c r="F235" t="inlineStr">
        <is>
          <t>SCA</t>
        </is>
      </c>
      <c r="G235" t="n">
        <v>5.5</v>
      </c>
      <c r="H235" t="n">
        <v>1</v>
      </c>
      <c r="I235" t="n">
        <v>3</v>
      </c>
      <c r="J235" t="n">
        <v>3</v>
      </c>
      <c r="K235" t="n">
        <v>2</v>
      </c>
      <c r="L235" t="n">
        <v>0</v>
      </c>
      <c r="M235" t="n">
        <v>0</v>
      </c>
      <c r="N235" t="n">
        <v>0</v>
      </c>
      <c r="O235" t="n">
        <v>5</v>
      </c>
      <c r="P235" t="n">
        <v>2</v>
      </c>
      <c r="Q235" t="n">
        <v>8</v>
      </c>
      <c r="R235" s="2" t="inlineStr">
        <is>
          <t>Knärot
Lateritticka
Dvärgbägarlav
Lunglav
Vedskivlav
Dropptaggsvamp
Luddlav
Stuplav</t>
        </is>
      </c>
      <c r="S235">
        <f>HYPERLINK("https://klasma.github.io/Logging_KROKOM/artfynd/A 73840-2021.xlsx")</f>
        <v/>
      </c>
      <c r="T235">
        <f>HYPERLINK("https://klasma.github.io/Logging_KROKOM/kartor/A 73840-2021.png")</f>
        <v/>
      </c>
      <c r="U235">
        <f>HYPERLINK("https://klasma.github.io/Logging_KROKOM/knärot/A 73840-2021.png")</f>
        <v/>
      </c>
      <c r="V235">
        <f>HYPERLINK("https://klasma.github.io/Logging_KROKOM/klagomål/A 73840-2021.docx")</f>
        <v/>
      </c>
      <c r="W235">
        <f>HYPERLINK("https://klasma.github.io/Logging_KROKOM/klagomålsmail/A 73840-2021.docx")</f>
        <v/>
      </c>
      <c r="X235">
        <f>HYPERLINK("https://klasma.github.io/Logging_KROKOM/tillsyn/A 73840-2021.docx")</f>
        <v/>
      </c>
      <c r="Y235">
        <f>HYPERLINK("https://klasma.github.io/Logging_KROKOM/tillsynsmail/A 73840-2021.docx")</f>
        <v/>
      </c>
    </row>
    <row r="236" ht="15" customHeight="1">
      <c r="A236" t="inlineStr">
        <is>
          <t>A 74075-2021</t>
        </is>
      </c>
      <c r="B236" s="1" t="n">
        <v>44553</v>
      </c>
      <c r="C236" s="1" t="n">
        <v>45182</v>
      </c>
      <c r="D236" t="inlineStr">
        <is>
          <t>JÄMTLANDS LÄN</t>
        </is>
      </c>
      <c r="E236" t="inlineStr">
        <is>
          <t>HÄRJEDALEN</t>
        </is>
      </c>
      <c r="F236" t="inlineStr">
        <is>
          <t>Sveaskog</t>
        </is>
      </c>
      <c r="G236" t="n">
        <v>16</v>
      </c>
      <c r="H236" t="n">
        <v>1</v>
      </c>
      <c r="I236" t="n">
        <v>0</v>
      </c>
      <c r="J236" t="n">
        <v>8</v>
      </c>
      <c r="K236" t="n">
        <v>0</v>
      </c>
      <c r="L236" t="n">
        <v>0</v>
      </c>
      <c r="M236" t="n">
        <v>0</v>
      </c>
      <c r="N236" t="n">
        <v>0</v>
      </c>
      <c r="O236" t="n">
        <v>8</v>
      </c>
      <c r="P236" t="n">
        <v>0</v>
      </c>
      <c r="Q236" t="n">
        <v>8</v>
      </c>
      <c r="R236" s="2" t="inlineStr">
        <is>
          <t>Blanksvart spiklav
Garnlav
Kolflarnlav
Kortskaftad ärgspik
Mörk kolflarnlav
Varglav
Vedflamlav
Vedskivlav</t>
        </is>
      </c>
      <c r="S236">
        <f>HYPERLINK("https://klasma.github.io/Logging_HARJEDALEN/artfynd/A 74075-2021.xlsx")</f>
        <v/>
      </c>
      <c r="T236">
        <f>HYPERLINK("https://klasma.github.io/Logging_HARJEDALEN/kartor/A 74075-2021.png")</f>
        <v/>
      </c>
      <c r="V236">
        <f>HYPERLINK("https://klasma.github.io/Logging_HARJEDALEN/klagomål/A 74075-2021.docx")</f>
        <v/>
      </c>
      <c r="W236">
        <f>HYPERLINK("https://klasma.github.io/Logging_HARJEDALEN/klagomålsmail/A 74075-2021.docx")</f>
        <v/>
      </c>
      <c r="X236">
        <f>HYPERLINK("https://klasma.github.io/Logging_HARJEDALEN/tillsyn/A 74075-2021.docx")</f>
        <v/>
      </c>
      <c r="Y236">
        <f>HYPERLINK("https://klasma.github.io/Logging_HARJEDALEN/tillsynsmail/A 74075-2021.docx")</f>
        <v/>
      </c>
    </row>
    <row r="237" ht="15" customHeight="1">
      <c r="A237" t="inlineStr">
        <is>
          <t>A 2237-2022</t>
        </is>
      </c>
      <c r="B237" s="1" t="n">
        <v>44578</v>
      </c>
      <c r="C237" s="1" t="n">
        <v>45182</v>
      </c>
      <c r="D237" t="inlineStr">
        <is>
          <t>JÄMTLANDS LÄN</t>
        </is>
      </c>
      <c r="E237" t="inlineStr">
        <is>
          <t>ÖSTERSUND</t>
        </is>
      </c>
      <c r="G237" t="n">
        <v>13.5</v>
      </c>
      <c r="H237" t="n">
        <v>1</v>
      </c>
      <c r="I237" t="n">
        <v>3</v>
      </c>
      <c r="J237" t="n">
        <v>3</v>
      </c>
      <c r="K237" t="n">
        <v>2</v>
      </c>
      <c r="L237" t="n">
        <v>0</v>
      </c>
      <c r="M237" t="n">
        <v>0</v>
      </c>
      <c r="N237" t="n">
        <v>0</v>
      </c>
      <c r="O237" t="n">
        <v>5</v>
      </c>
      <c r="P237" t="n">
        <v>2</v>
      </c>
      <c r="Q237" t="n">
        <v>8</v>
      </c>
      <c r="R237" s="2" t="inlineStr">
        <is>
          <t>Bitter taggsvamp
Doftticka
Garnlav
Lunglav
Orange taggsvamp
Fjällig taggsvamp s.str.
Luddlav
Stuplav</t>
        </is>
      </c>
      <c r="S237">
        <f>HYPERLINK("https://klasma.github.io/Logging_OSTERSUND/artfynd/A 2237-2022.xlsx")</f>
        <v/>
      </c>
      <c r="T237">
        <f>HYPERLINK("https://klasma.github.io/Logging_OSTERSUND/kartor/A 2237-2022.png")</f>
        <v/>
      </c>
      <c r="V237">
        <f>HYPERLINK("https://klasma.github.io/Logging_OSTERSUND/klagomål/A 2237-2022.docx")</f>
        <v/>
      </c>
      <c r="W237">
        <f>HYPERLINK("https://klasma.github.io/Logging_OSTERSUND/klagomålsmail/A 2237-2022.docx")</f>
        <v/>
      </c>
      <c r="X237">
        <f>HYPERLINK("https://klasma.github.io/Logging_OSTERSUND/tillsyn/A 2237-2022.docx")</f>
        <v/>
      </c>
      <c r="Y237">
        <f>HYPERLINK("https://klasma.github.io/Logging_OSTERSUND/tillsynsmail/A 2237-2022.docx")</f>
        <v/>
      </c>
    </row>
    <row r="238" ht="15" customHeight="1">
      <c r="A238" t="inlineStr">
        <is>
          <t>A 13307-2022</t>
        </is>
      </c>
      <c r="B238" s="1" t="n">
        <v>44644</v>
      </c>
      <c r="C238" s="1" t="n">
        <v>45182</v>
      </c>
      <c r="D238" t="inlineStr">
        <is>
          <t>JÄMTLANDS LÄN</t>
        </is>
      </c>
      <c r="E238" t="inlineStr">
        <is>
          <t>RAGUNDA</t>
        </is>
      </c>
      <c r="F238" t="inlineStr">
        <is>
          <t>SCA</t>
        </is>
      </c>
      <c r="G238" t="n">
        <v>6.8</v>
      </c>
      <c r="H238" t="n">
        <v>0</v>
      </c>
      <c r="I238" t="n">
        <v>3</v>
      </c>
      <c r="J238" t="n">
        <v>4</v>
      </c>
      <c r="K238" t="n">
        <v>1</v>
      </c>
      <c r="L238" t="n">
        <v>0</v>
      </c>
      <c r="M238" t="n">
        <v>0</v>
      </c>
      <c r="N238" t="n">
        <v>0</v>
      </c>
      <c r="O238" t="n">
        <v>5</v>
      </c>
      <c r="P238" t="n">
        <v>1</v>
      </c>
      <c r="Q238" t="n">
        <v>8</v>
      </c>
      <c r="R238" s="2" t="inlineStr">
        <is>
          <t>Rynkskinn
Doftskinn
Lunglav
Ullticka
Vedtrappmossa
Bårdlav
Skuggblåslav
Vedticka</t>
        </is>
      </c>
      <c r="S238">
        <f>HYPERLINK("https://klasma.github.io/Logging_RAGUNDA/artfynd/A 13307-2022.xlsx")</f>
        <v/>
      </c>
      <c r="T238">
        <f>HYPERLINK("https://klasma.github.io/Logging_RAGUNDA/kartor/A 13307-2022.png")</f>
        <v/>
      </c>
      <c r="V238">
        <f>HYPERLINK("https://klasma.github.io/Logging_RAGUNDA/klagomål/A 13307-2022.docx")</f>
        <v/>
      </c>
      <c r="W238">
        <f>HYPERLINK("https://klasma.github.io/Logging_RAGUNDA/klagomålsmail/A 13307-2022.docx")</f>
        <v/>
      </c>
      <c r="X238">
        <f>HYPERLINK("https://klasma.github.io/Logging_RAGUNDA/tillsyn/A 13307-2022.docx")</f>
        <v/>
      </c>
      <c r="Y238">
        <f>HYPERLINK("https://klasma.github.io/Logging_RAGUNDA/tillsynsmail/A 13307-2022.docx")</f>
        <v/>
      </c>
    </row>
    <row r="239" ht="15" customHeight="1">
      <c r="A239" t="inlineStr">
        <is>
          <t>A 20976-2022</t>
        </is>
      </c>
      <c r="B239" s="1" t="n">
        <v>44701</v>
      </c>
      <c r="C239" s="1" t="n">
        <v>45182</v>
      </c>
      <c r="D239" t="inlineStr">
        <is>
          <t>JÄMTLANDS LÄN</t>
        </is>
      </c>
      <c r="E239" t="inlineStr">
        <is>
          <t>ÖSTERSUND</t>
        </is>
      </c>
      <c r="G239" t="n">
        <v>16.3</v>
      </c>
      <c r="H239" t="n">
        <v>3</v>
      </c>
      <c r="I239" t="n">
        <v>7</v>
      </c>
      <c r="J239" t="n">
        <v>0</v>
      </c>
      <c r="K239" t="n">
        <v>0</v>
      </c>
      <c r="L239" t="n">
        <v>0</v>
      </c>
      <c r="M239" t="n">
        <v>0</v>
      </c>
      <c r="N239" t="n">
        <v>0</v>
      </c>
      <c r="O239" t="n">
        <v>0</v>
      </c>
      <c r="P239" t="n">
        <v>0</v>
      </c>
      <c r="Q239" t="n">
        <v>8</v>
      </c>
      <c r="R239" s="2" t="inlineStr">
        <is>
          <t>Finbräken
Grönkulla
Kransrams
Tibast
Trådfräken
Tvåblad
Underviol
Blåsippa</t>
        </is>
      </c>
      <c r="S239">
        <f>HYPERLINK("https://klasma.github.io/Logging_OSTERSUND/artfynd/A 20976-2022.xlsx")</f>
        <v/>
      </c>
      <c r="T239">
        <f>HYPERLINK("https://klasma.github.io/Logging_OSTERSUND/kartor/A 20976-2022.png")</f>
        <v/>
      </c>
      <c r="V239">
        <f>HYPERLINK("https://klasma.github.io/Logging_OSTERSUND/klagomål/A 20976-2022.docx")</f>
        <v/>
      </c>
      <c r="W239">
        <f>HYPERLINK("https://klasma.github.io/Logging_OSTERSUND/klagomålsmail/A 20976-2022.docx")</f>
        <v/>
      </c>
      <c r="X239">
        <f>HYPERLINK("https://klasma.github.io/Logging_OSTERSUND/tillsyn/A 20976-2022.docx")</f>
        <v/>
      </c>
      <c r="Y239">
        <f>HYPERLINK("https://klasma.github.io/Logging_OSTERSUND/tillsynsmail/A 20976-2022.docx")</f>
        <v/>
      </c>
    </row>
    <row r="240" ht="15" customHeight="1">
      <c r="A240" t="inlineStr">
        <is>
          <t>A 34679-2022</t>
        </is>
      </c>
      <c r="B240" s="1" t="n">
        <v>44795</v>
      </c>
      <c r="C240" s="1" t="n">
        <v>45182</v>
      </c>
      <c r="D240" t="inlineStr">
        <is>
          <t>JÄMTLANDS LÄN</t>
        </is>
      </c>
      <c r="E240" t="inlineStr">
        <is>
          <t>STRÖMSUND</t>
        </is>
      </c>
      <c r="G240" t="n">
        <v>4.7</v>
      </c>
      <c r="H240" t="n">
        <v>2</v>
      </c>
      <c r="I240" t="n">
        <v>2</v>
      </c>
      <c r="J240" t="n">
        <v>4</v>
      </c>
      <c r="K240" t="n">
        <v>1</v>
      </c>
      <c r="L240" t="n">
        <v>0</v>
      </c>
      <c r="M240" t="n">
        <v>0</v>
      </c>
      <c r="N240" t="n">
        <v>0</v>
      </c>
      <c r="O240" t="n">
        <v>5</v>
      </c>
      <c r="P240" t="n">
        <v>1</v>
      </c>
      <c r="Q240" t="n">
        <v>8</v>
      </c>
      <c r="R240" s="2" t="inlineStr">
        <is>
          <t>Svartfjällig musseron
Gultoppig fingersvamp
Tretåig hackspett
Vedflikmossa
Vitgrynig nållav
Fjällig taggsvamp s.str.
Svavelriska
Skogsrör</t>
        </is>
      </c>
      <c r="S240">
        <f>HYPERLINK("https://klasma.github.io/Logging_STROMSUND/artfynd/A 34679-2022.xlsx")</f>
        <v/>
      </c>
      <c r="T240">
        <f>HYPERLINK("https://klasma.github.io/Logging_STROMSUND/kartor/A 34679-2022.png")</f>
        <v/>
      </c>
      <c r="V240">
        <f>HYPERLINK("https://klasma.github.io/Logging_STROMSUND/klagomål/A 34679-2022.docx")</f>
        <v/>
      </c>
      <c r="W240">
        <f>HYPERLINK("https://klasma.github.io/Logging_STROMSUND/klagomålsmail/A 34679-2022.docx")</f>
        <v/>
      </c>
      <c r="X240">
        <f>HYPERLINK("https://klasma.github.io/Logging_STROMSUND/tillsyn/A 34679-2022.docx")</f>
        <v/>
      </c>
      <c r="Y240">
        <f>HYPERLINK("https://klasma.github.io/Logging_STROMSUND/tillsynsmail/A 34679-2022.docx")</f>
        <v/>
      </c>
    </row>
    <row r="241" ht="15" customHeight="1">
      <c r="A241" t="inlineStr">
        <is>
          <t>A 58448-2022</t>
        </is>
      </c>
      <c r="B241" s="1" t="n">
        <v>44901</v>
      </c>
      <c r="C241" s="1" t="n">
        <v>45182</v>
      </c>
      <c r="D241" t="inlineStr">
        <is>
          <t>JÄMTLANDS LÄN</t>
        </is>
      </c>
      <c r="E241" t="inlineStr">
        <is>
          <t>RAGUNDA</t>
        </is>
      </c>
      <c r="F241" t="inlineStr">
        <is>
          <t>SCA</t>
        </is>
      </c>
      <c r="G241" t="n">
        <v>2.2</v>
      </c>
      <c r="H241" t="n">
        <v>2</v>
      </c>
      <c r="I241" t="n">
        <v>3</v>
      </c>
      <c r="J241" t="n">
        <v>3</v>
      </c>
      <c r="K241" t="n">
        <v>1</v>
      </c>
      <c r="L241" t="n">
        <v>0</v>
      </c>
      <c r="M241" t="n">
        <v>0</v>
      </c>
      <c r="N241" t="n">
        <v>0</v>
      </c>
      <c r="O241" t="n">
        <v>4</v>
      </c>
      <c r="P241" t="n">
        <v>1</v>
      </c>
      <c r="Q241" t="n">
        <v>8</v>
      </c>
      <c r="R241" s="2" t="inlineStr">
        <is>
          <t>Knärot
Garnlav
Lunglav
Ullticka
Luddlav
Skinnlav
Stuplav
Revlummer</t>
        </is>
      </c>
      <c r="S241">
        <f>HYPERLINK("https://klasma.github.io/Logging_RAGUNDA/artfynd/A 58448-2022.xlsx")</f>
        <v/>
      </c>
      <c r="T241">
        <f>HYPERLINK("https://klasma.github.io/Logging_RAGUNDA/kartor/A 58448-2022.png")</f>
        <v/>
      </c>
      <c r="U241">
        <f>HYPERLINK("https://klasma.github.io/Logging_RAGUNDA/knärot/A 58448-2022.png")</f>
        <v/>
      </c>
      <c r="V241">
        <f>HYPERLINK("https://klasma.github.io/Logging_RAGUNDA/klagomål/A 58448-2022.docx")</f>
        <v/>
      </c>
      <c r="W241">
        <f>HYPERLINK("https://klasma.github.io/Logging_RAGUNDA/klagomålsmail/A 58448-2022.docx")</f>
        <v/>
      </c>
      <c r="X241">
        <f>HYPERLINK("https://klasma.github.io/Logging_RAGUNDA/tillsyn/A 58448-2022.docx")</f>
        <v/>
      </c>
      <c r="Y241">
        <f>HYPERLINK("https://klasma.github.io/Logging_RAGUNDA/tillsynsmail/A 58448-2022.docx")</f>
        <v/>
      </c>
    </row>
    <row r="242" ht="15" customHeight="1">
      <c r="A242" t="inlineStr">
        <is>
          <t>A 62655-2022</t>
        </is>
      </c>
      <c r="B242" s="1" t="n">
        <v>44925</v>
      </c>
      <c r="C242" s="1" t="n">
        <v>45182</v>
      </c>
      <c r="D242" t="inlineStr">
        <is>
          <t>JÄMTLANDS LÄN</t>
        </is>
      </c>
      <c r="E242" t="inlineStr">
        <is>
          <t>HÄRJEDALEN</t>
        </is>
      </c>
      <c r="G242" t="n">
        <v>14.8</v>
      </c>
      <c r="H242" t="n">
        <v>1</v>
      </c>
      <c r="I242" t="n">
        <v>0</v>
      </c>
      <c r="J242" t="n">
        <v>8</v>
      </c>
      <c r="K242" t="n">
        <v>0</v>
      </c>
      <c r="L242" t="n">
        <v>0</v>
      </c>
      <c r="M242" t="n">
        <v>0</v>
      </c>
      <c r="N242" t="n">
        <v>0</v>
      </c>
      <c r="O242" t="n">
        <v>8</v>
      </c>
      <c r="P242" t="n">
        <v>0</v>
      </c>
      <c r="Q242" t="n">
        <v>8</v>
      </c>
      <c r="R242" s="2" t="inlineStr">
        <is>
          <t>Doftskinn
Garnlav
Gränsticka
Knottrig blåslav
Rosenticka
Rödbrun blekspik
Tretåig hackspett
Ullticka</t>
        </is>
      </c>
      <c r="S242">
        <f>HYPERLINK("https://klasma.github.io/Logging_HARJEDALEN/artfynd/A 62655-2022.xlsx")</f>
        <v/>
      </c>
      <c r="T242">
        <f>HYPERLINK("https://klasma.github.io/Logging_HARJEDALEN/kartor/A 62655-2022.png")</f>
        <v/>
      </c>
      <c r="V242">
        <f>HYPERLINK("https://klasma.github.io/Logging_HARJEDALEN/klagomål/A 62655-2022.docx")</f>
        <v/>
      </c>
      <c r="W242">
        <f>HYPERLINK("https://klasma.github.io/Logging_HARJEDALEN/klagomålsmail/A 62655-2022.docx")</f>
        <v/>
      </c>
      <c r="X242">
        <f>HYPERLINK("https://klasma.github.io/Logging_HARJEDALEN/tillsyn/A 62655-2022.docx")</f>
        <v/>
      </c>
      <c r="Y242">
        <f>HYPERLINK("https://klasma.github.io/Logging_HARJEDALEN/tillsynsmail/A 62655-2022.docx")</f>
        <v/>
      </c>
    </row>
    <row r="243" ht="15" customHeight="1">
      <c r="A243" t="inlineStr">
        <is>
          <t>A 10619-2023</t>
        </is>
      </c>
      <c r="B243" s="1" t="n">
        <v>44984</v>
      </c>
      <c r="C243" s="1" t="n">
        <v>45182</v>
      </c>
      <c r="D243" t="inlineStr">
        <is>
          <t>JÄMTLANDS LÄN</t>
        </is>
      </c>
      <c r="E243" t="inlineStr">
        <is>
          <t>ÅRE</t>
        </is>
      </c>
      <c r="G243" t="n">
        <v>15.5</v>
      </c>
      <c r="H243" t="n">
        <v>1</v>
      </c>
      <c r="I243" t="n">
        <v>2</v>
      </c>
      <c r="J243" t="n">
        <v>5</v>
      </c>
      <c r="K243" t="n">
        <v>1</v>
      </c>
      <c r="L243" t="n">
        <v>0</v>
      </c>
      <c r="M243" t="n">
        <v>0</v>
      </c>
      <c r="N243" t="n">
        <v>0</v>
      </c>
      <c r="O243" t="n">
        <v>6</v>
      </c>
      <c r="P243" t="n">
        <v>1</v>
      </c>
      <c r="Q243" t="n">
        <v>8</v>
      </c>
      <c r="R243" s="2" t="inlineStr">
        <is>
          <t>Skuggnål
Granticka
Kavernularia
Rödbrun blekspik
Tretåig hackspett
Vitgrynig nållav
Luddlav
Rostfläck</t>
        </is>
      </c>
      <c r="S243">
        <f>HYPERLINK("https://klasma.github.io/Logging_ARE/artfynd/A 10619-2023.xlsx")</f>
        <v/>
      </c>
      <c r="T243">
        <f>HYPERLINK("https://klasma.github.io/Logging_ARE/kartor/A 10619-2023.png")</f>
        <v/>
      </c>
      <c r="V243">
        <f>HYPERLINK("https://klasma.github.io/Logging_ARE/klagomål/A 10619-2023.docx")</f>
        <v/>
      </c>
      <c r="W243">
        <f>HYPERLINK("https://klasma.github.io/Logging_ARE/klagomålsmail/A 10619-2023.docx")</f>
        <v/>
      </c>
      <c r="X243">
        <f>HYPERLINK("https://klasma.github.io/Logging_ARE/tillsyn/A 10619-2023.docx")</f>
        <v/>
      </c>
      <c r="Y243">
        <f>HYPERLINK("https://klasma.github.io/Logging_ARE/tillsynsmail/A 10619-2023.docx")</f>
        <v/>
      </c>
    </row>
    <row r="244" ht="15" customHeight="1">
      <c r="A244" t="inlineStr">
        <is>
          <t>A 14256-2023</t>
        </is>
      </c>
      <c r="B244" s="1" t="n">
        <v>45009</v>
      </c>
      <c r="C244" s="1" t="n">
        <v>45182</v>
      </c>
      <c r="D244" t="inlineStr">
        <is>
          <t>JÄMTLANDS LÄN</t>
        </is>
      </c>
      <c r="E244" t="inlineStr">
        <is>
          <t>STRÖMSUND</t>
        </is>
      </c>
      <c r="G244" t="n">
        <v>20.7</v>
      </c>
      <c r="H244" t="n">
        <v>1</v>
      </c>
      <c r="I244" t="n">
        <v>6</v>
      </c>
      <c r="J244" t="n">
        <v>2</v>
      </c>
      <c r="K244" t="n">
        <v>0</v>
      </c>
      <c r="L244" t="n">
        <v>0</v>
      </c>
      <c r="M244" t="n">
        <v>0</v>
      </c>
      <c r="N244" t="n">
        <v>0</v>
      </c>
      <c r="O244" t="n">
        <v>2</v>
      </c>
      <c r="P244" t="n">
        <v>0</v>
      </c>
      <c r="Q244" t="n">
        <v>8</v>
      </c>
      <c r="R244" s="2" t="inlineStr">
        <is>
          <t>Lunglav
Skrovellav
Finbräken
Kransrams
Stuplav
Svart trolldruva
Tvåblad
Vedticka</t>
        </is>
      </c>
      <c r="S244">
        <f>HYPERLINK("https://klasma.github.io/Logging_STROMSUND/artfynd/A 14256-2023.xlsx")</f>
        <v/>
      </c>
      <c r="T244">
        <f>HYPERLINK("https://klasma.github.io/Logging_STROMSUND/kartor/A 14256-2023.png")</f>
        <v/>
      </c>
      <c r="V244">
        <f>HYPERLINK("https://klasma.github.io/Logging_STROMSUND/klagomål/A 14256-2023.docx")</f>
        <v/>
      </c>
      <c r="W244">
        <f>HYPERLINK("https://klasma.github.io/Logging_STROMSUND/klagomålsmail/A 14256-2023.docx")</f>
        <v/>
      </c>
      <c r="X244">
        <f>HYPERLINK("https://klasma.github.io/Logging_STROMSUND/tillsyn/A 14256-2023.docx")</f>
        <v/>
      </c>
      <c r="Y244">
        <f>HYPERLINK("https://klasma.github.io/Logging_STROMSUND/tillsynsmail/A 14256-2023.docx")</f>
        <v/>
      </c>
    </row>
    <row r="245" ht="15" customHeight="1">
      <c r="A245" t="inlineStr">
        <is>
          <t>A 21753-2023</t>
        </is>
      </c>
      <c r="B245" s="1" t="n">
        <v>45063</v>
      </c>
      <c r="C245" s="1" t="n">
        <v>45182</v>
      </c>
      <c r="D245" t="inlineStr">
        <is>
          <t>JÄMTLANDS LÄN</t>
        </is>
      </c>
      <c r="E245" t="inlineStr">
        <is>
          <t>ÖSTERSUND</t>
        </is>
      </c>
      <c r="G245" t="n">
        <v>6.1</v>
      </c>
      <c r="H245" t="n">
        <v>4</v>
      </c>
      <c r="I245" t="n">
        <v>2</v>
      </c>
      <c r="J245" t="n">
        <v>3</v>
      </c>
      <c r="K245" t="n">
        <v>1</v>
      </c>
      <c r="L245" t="n">
        <v>0</v>
      </c>
      <c r="M245" t="n">
        <v>0</v>
      </c>
      <c r="N245" t="n">
        <v>0</v>
      </c>
      <c r="O245" t="n">
        <v>4</v>
      </c>
      <c r="P245" t="n">
        <v>1</v>
      </c>
      <c r="Q245" t="n">
        <v>8</v>
      </c>
      <c r="R245" s="2" t="inlineStr">
        <is>
          <t>Knärot
Flattoppad klubbsvamp
Rosenticka
Ullticka
Rödgul trumpetsvamp
Spindelblomster
Fläcknycklar
Blåsippa</t>
        </is>
      </c>
      <c r="S245">
        <f>HYPERLINK("https://klasma.github.io/Logging_OSTERSUND/artfynd/A 21753-2023.xlsx")</f>
        <v/>
      </c>
      <c r="T245">
        <f>HYPERLINK("https://klasma.github.io/Logging_OSTERSUND/kartor/A 21753-2023.png")</f>
        <v/>
      </c>
      <c r="U245">
        <f>HYPERLINK("https://klasma.github.io/Logging_OSTERSUND/knärot/A 21753-2023.png")</f>
        <v/>
      </c>
      <c r="V245">
        <f>HYPERLINK("https://klasma.github.io/Logging_OSTERSUND/klagomål/A 21753-2023.docx")</f>
        <v/>
      </c>
      <c r="W245">
        <f>HYPERLINK("https://klasma.github.io/Logging_OSTERSUND/klagomålsmail/A 21753-2023.docx")</f>
        <v/>
      </c>
      <c r="X245">
        <f>HYPERLINK("https://klasma.github.io/Logging_OSTERSUND/tillsyn/A 21753-2023.docx")</f>
        <v/>
      </c>
      <c r="Y245">
        <f>HYPERLINK("https://klasma.github.io/Logging_OSTERSUND/tillsynsmail/A 21753-2023.docx")</f>
        <v/>
      </c>
    </row>
    <row r="246" ht="15" customHeight="1">
      <c r="A246" t="inlineStr">
        <is>
          <t>A 31197-2023</t>
        </is>
      </c>
      <c r="B246" s="1" t="n">
        <v>45113</v>
      </c>
      <c r="C246" s="1" t="n">
        <v>45182</v>
      </c>
      <c r="D246" t="inlineStr">
        <is>
          <t>JÄMTLANDS LÄN</t>
        </is>
      </c>
      <c r="E246" t="inlineStr">
        <is>
          <t>RAGUNDA</t>
        </is>
      </c>
      <c r="F246" t="inlineStr">
        <is>
          <t>SCA</t>
        </is>
      </c>
      <c r="G246" t="n">
        <v>4.6</v>
      </c>
      <c r="H246" t="n">
        <v>0</v>
      </c>
      <c r="I246" t="n">
        <v>2</v>
      </c>
      <c r="J246" t="n">
        <v>4</v>
      </c>
      <c r="K246" t="n">
        <v>2</v>
      </c>
      <c r="L246" t="n">
        <v>0</v>
      </c>
      <c r="M246" t="n">
        <v>0</v>
      </c>
      <c r="N246" t="n">
        <v>0</v>
      </c>
      <c r="O246" t="n">
        <v>6</v>
      </c>
      <c r="P246" t="n">
        <v>2</v>
      </c>
      <c r="Q246" t="n">
        <v>8</v>
      </c>
      <c r="R246" s="2" t="inlineStr">
        <is>
          <t>Gräddporing
Smalfotad taggsvamp
Dvärgbägarlav
Skrovlig taggsvamp
Vaddporing
Vedskivlav
Dropptaggsvamp
Skarp dropptaggsvamp</t>
        </is>
      </c>
      <c r="S246">
        <f>HYPERLINK("https://klasma.github.io/Logging_RAGUNDA/artfynd/A 31197-2023.xlsx")</f>
        <v/>
      </c>
      <c r="T246">
        <f>HYPERLINK("https://klasma.github.io/Logging_RAGUNDA/kartor/A 31197-2023.png")</f>
        <v/>
      </c>
      <c r="V246">
        <f>HYPERLINK("https://klasma.github.io/Logging_RAGUNDA/klagomål/A 31197-2023.docx")</f>
        <v/>
      </c>
      <c r="W246">
        <f>HYPERLINK("https://klasma.github.io/Logging_RAGUNDA/klagomålsmail/A 31197-2023.docx")</f>
        <v/>
      </c>
      <c r="X246">
        <f>HYPERLINK("https://klasma.github.io/Logging_RAGUNDA/tillsyn/A 31197-2023.docx")</f>
        <v/>
      </c>
      <c r="Y246">
        <f>HYPERLINK("https://klasma.github.io/Logging_RAGUNDA/tillsynsmail/A 31197-2023.docx")</f>
        <v/>
      </c>
    </row>
    <row r="247" ht="15" customHeight="1">
      <c r="A247" t="inlineStr">
        <is>
          <t>A 32699-2023</t>
        </is>
      </c>
      <c r="B247" s="1" t="n">
        <v>45121</v>
      </c>
      <c r="C247" s="1" t="n">
        <v>45182</v>
      </c>
      <c r="D247" t="inlineStr">
        <is>
          <t>JÄMTLANDS LÄN</t>
        </is>
      </c>
      <c r="E247" t="inlineStr">
        <is>
          <t>ÖSTERSUND</t>
        </is>
      </c>
      <c r="F247" t="inlineStr">
        <is>
          <t>Övriga Aktiebolag</t>
        </is>
      </c>
      <c r="G247" t="n">
        <v>7.2</v>
      </c>
      <c r="H247" t="n">
        <v>4</v>
      </c>
      <c r="I247" t="n">
        <v>3</v>
      </c>
      <c r="J247" t="n">
        <v>2</v>
      </c>
      <c r="K247" t="n">
        <v>1</v>
      </c>
      <c r="L247" t="n">
        <v>0</v>
      </c>
      <c r="M247" t="n">
        <v>0</v>
      </c>
      <c r="N247" t="n">
        <v>0</v>
      </c>
      <c r="O247" t="n">
        <v>3</v>
      </c>
      <c r="P247" t="n">
        <v>1</v>
      </c>
      <c r="Q247" t="n">
        <v>8</v>
      </c>
      <c r="R247" s="2" t="inlineStr">
        <is>
          <t>Knärot
Garnlav
Granticka
Norrlandslav
Spindelblomster
Trådticka
Blåsippa
Revlummer</t>
        </is>
      </c>
      <c r="S247">
        <f>HYPERLINK("https://klasma.github.io/Logging_OSTERSUND/artfynd/A 32699-2023.xlsx")</f>
        <v/>
      </c>
      <c r="T247">
        <f>HYPERLINK("https://klasma.github.io/Logging_OSTERSUND/kartor/A 32699-2023.png")</f>
        <v/>
      </c>
      <c r="U247">
        <f>HYPERLINK("https://klasma.github.io/Logging_OSTERSUND/knärot/A 32699-2023.png")</f>
        <v/>
      </c>
      <c r="V247">
        <f>HYPERLINK("https://klasma.github.io/Logging_OSTERSUND/klagomål/A 32699-2023.docx")</f>
        <v/>
      </c>
      <c r="W247">
        <f>HYPERLINK("https://klasma.github.io/Logging_OSTERSUND/klagomålsmail/A 32699-2023.docx")</f>
        <v/>
      </c>
      <c r="X247">
        <f>HYPERLINK("https://klasma.github.io/Logging_OSTERSUND/tillsyn/A 32699-2023.docx")</f>
        <v/>
      </c>
      <c r="Y247">
        <f>HYPERLINK("https://klasma.github.io/Logging_OSTERSUND/tillsynsmail/A 32699-2023.docx")</f>
        <v/>
      </c>
    </row>
    <row r="248" ht="15" customHeight="1">
      <c r="A248" t="inlineStr">
        <is>
          <t>A 44258-2018</t>
        </is>
      </c>
      <c r="B248" s="1" t="n">
        <v>43360</v>
      </c>
      <c r="C248" s="1" t="n">
        <v>45182</v>
      </c>
      <c r="D248" t="inlineStr">
        <is>
          <t>JÄMTLANDS LÄN</t>
        </is>
      </c>
      <c r="E248" t="inlineStr">
        <is>
          <t>HÄRJEDALEN</t>
        </is>
      </c>
      <c r="F248" t="inlineStr">
        <is>
          <t>Holmen skog AB</t>
        </is>
      </c>
      <c r="G248" t="n">
        <v>2556.8</v>
      </c>
      <c r="H248" t="n">
        <v>4</v>
      </c>
      <c r="I248" t="n">
        <v>2</v>
      </c>
      <c r="J248" t="n">
        <v>1</v>
      </c>
      <c r="K248" t="n">
        <v>0</v>
      </c>
      <c r="L248" t="n">
        <v>2</v>
      </c>
      <c r="M248" t="n">
        <v>0</v>
      </c>
      <c r="N248" t="n">
        <v>0</v>
      </c>
      <c r="O248" t="n">
        <v>3</v>
      </c>
      <c r="P248" t="n">
        <v>2</v>
      </c>
      <c r="Q248" t="n">
        <v>7</v>
      </c>
      <c r="R248" s="2" t="inlineStr">
        <is>
          <t>Bredgentiana
Mosippa
Talltita
Gräsull
Skinnlav
Dactylorhiza incarnata subsp. incarnata
Myggblomster</t>
        </is>
      </c>
      <c r="S248">
        <f>HYPERLINK("https://klasma.github.io/Logging_HARJEDALEN/artfynd/A 44258-2018.xlsx")</f>
        <v/>
      </c>
      <c r="T248">
        <f>HYPERLINK("https://klasma.github.io/Logging_HARJEDALEN/kartor/A 44258-2018.png")</f>
        <v/>
      </c>
      <c r="V248">
        <f>HYPERLINK("https://klasma.github.io/Logging_HARJEDALEN/klagomål/A 44258-2018.docx")</f>
        <v/>
      </c>
      <c r="W248">
        <f>HYPERLINK("https://klasma.github.io/Logging_HARJEDALEN/klagomålsmail/A 44258-2018.docx")</f>
        <v/>
      </c>
      <c r="X248">
        <f>HYPERLINK("https://klasma.github.io/Logging_HARJEDALEN/tillsyn/A 44258-2018.docx")</f>
        <v/>
      </c>
      <c r="Y248">
        <f>HYPERLINK("https://klasma.github.io/Logging_HARJEDALEN/tillsynsmail/A 44258-2018.docx")</f>
        <v/>
      </c>
    </row>
    <row r="249" ht="15" customHeight="1">
      <c r="A249" t="inlineStr">
        <is>
          <t>A 50716-2018</t>
        </is>
      </c>
      <c r="B249" s="1" t="n">
        <v>43381</v>
      </c>
      <c r="C249" s="1" t="n">
        <v>45182</v>
      </c>
      <c r="D249" t="inlineStr">
        <is>
          <t>JÄMTLANDS LÄN</t>
        </is>
      </c>
      <c r="E249" t="inlineStr">
        <is>
          <t>ÖSTERSUND</t>
        </is>
      </c>
      <c r="G249" t="n">
        <v>25</v>
      </c>
      <c r="H249" t="n">
        <v>0</v>
      </c>
      <c r="I249" t="n">
        <v>1</v>
      </c>
      <c r="J249" t="n">
        <v>5</v>
      </c>
      <c r="K249" t="n">
        <v>1</v>
      </c>
      <c r="L249" t="n">
        <v>0</v>
      </c>
      <c r="M249" t="n">
        <v>0</v>
      </c>
      <c r="N249" t="n">
        <v>0</v>
      </c>
      <c r="O249" t="n">
        <v>6</v>
      </c>
      <c r="P249" t="n">
        <v>1</v>
      </c>
      <c r="Q249" t="n">
        <v>7</v>
      </c>
      <c r="R249" s="2" t="inlineStr">
        <is>
          <t>Liten aspgelélav
Harticka
Lunglav
Skrovellav
Stiftgelélav
Ullticka
Stor aspticka</t>
        </is>
      </c>
      <c r="S249">
        <f>HYPERLINK("https://klasma.github.io/Logging_OSTERSUND/artfynd/A 50716-2018.xlsx")</f>
        <v/>
      </c>
      <c r="T249">
        <f>HYPERLINK("https://klasma.github.io/Logging_OSTERSUND/kartor/A 50716-2018.png")</f>
        <v/>
      </c>
      <c r="V249">
        <f>HYPERLINK("https://klasma.github.io/Logging_OSTERSUND/klagomål/A 50716-2018.docx")</f>
        <v/>
      </c>
      <c r="W249">
        <f>HYPERLINK("https://klasma.github.io/Logging_OSTERSUND/klagomålsmail/A 50716-2018.docx")</f>
        <v/>
      </c>
      <c r="X249">
        <f>HYPERLINK("https://klasma.github.io/Logging_OSTERSUND/tillsyn/A 50716-2018.docx")</f>
        <v/>
      </c>
      <c r="Y249">
        <f>HYPERLINK("https://klasma.github.io/Logging_OSTERSUND/tillsynsmail/A 50716-2018.docx")</f>
        <v/>
      </c>
    </row>
    <row r="250" ht="15" customHeight="1">
      <c r="A250" t="inlineStr">
        <is>
          <t>A 59985-2018</t>
        </is>
      </c>
      <c r="B250" s="1" t="n">
        <v>43411</v>
      </c>
      <c r="C250" s="1" t="n">
        <v>45182</v>
      </c>
      <c r="D250" t="inlineStr">
        <is>
          <t>JÄMTLANDS LÄN</t>
        </is>
      </c>
      <c r="E250" t="inlineStr">
        <is>
          <t>RAGUNDA</t>
        </is>
      </c>
      <c r="F250" t="inlineStr">
        <is>
          <t>SCA</t>
        </is>
      </c>
      <c r="G250" t="n">
        <v>13.3</v>
      </c>
      <c r="H250" t="n">
        <v>1</v>
      </c>
      <c r="I250" t="n">
        <v>3</v>
      </c>
      <c r="J250" t="n">
        <v>3</v>
      </c>
      <c r="K250" t="n">
        <v>1</v>
      </c>
      <c r="L250" t="n">
        <v>0</v>
      </c>
      <c r="M250" t="n">
        <v>0</v>
      </c>
      <c r="N250" t="n">
        <v>0</v>
      </c>
      <c r="O250" t="n">
        <v>4</v>
      </c>
      <c r="P250" t="n">
        <v>1</v>
      </c>
      <c r="Q250" t="n">
        <v>7</v>
      </c>
      <c r="R250" s="2" t="inlineStr">
        <is>
          <t>Doftticka
Lunglav
Ullticka
Vedskivlav
Bårdlav
Stor aspticka
Stuplav</t>
        </is>
      </c>
      <c r="S250">
        <f>HYPERLINK("https://klasma.github.io/Logging_RAGUNDA/artfynd/A 59985-2018.xlsx")</f>
        <v/>
      </c>
      <c r="T250">
        <f>HYPERLINK("https://klasma.github.io/Logging_RAGUNDA/kartor/A 59985-2018.png")</f>
        <v/>
      </c>
      <c r="V250">
        <f>HYPERLINK("https://klasma.github.io/Logging_RAGUNDA/klagomål/A 59985-2018.docx")</f>
        <v/>
      </c>
      <c r="W250">
        <f>HYPERLINK("https://klasma.github.io/Logging_RAGUNDA/klagomålsmail/A 59985-2018.docx")</f>
        <v/>
      </c>
      <c r="X250">
        <f>HYPERLINK("https://klasma.github.io/Logging_RAGUNDA/tillsyn/A 59985-2018.docx")</f>
        <v/>
      </c>
      <c r="Y250">
        <f>HYPERLINK("https://klasma.github.io/Logging_RAGUNDA/tillsynsmail/A 59985-2018.docx")</f>
        <v/>
      </c>
    </row>
    <row r="251" ht="15" customHeight="1">
      <c r="A251" t="inlineStr">
        <is>
          <t>A 62637-2018</t>
        </is>
      </c>
      <c r="B251" s="1" t="n">
        <v>43413</v>
      </c>
      <c r="C251" s="1" t="n">
        <v>45182</v>
      </c>
      <c r="D251" t="inlineStr">
        <is>
          <t>JÄMTLANDS LÄN</t>
        </is>
      </c>
      <c r="E251" t="inlineStr">
        <is>
          <t>RAGUNDA</t>
        </is>
      </c>
      <c r="F251" t="inlineStr">
        <is>
          <t>SCA</t>
        </is>
      </c>
      <c r="G251" t="n">
        <v>13.3</v>
      </c>
      <c r="H251" t="n">
        <v>1</v>
      </c>
      <c r="I251" t="n">
        <v>3</v>
      </c>
      <c r="J251" t="n">
        <v>3</v>
      </c>
      <c r="K251" t="n">
        <v>1</v>
      </c>
      <c r="L251" t="n">
        <v>0</v>
      </c>
      <c r="M251" t="n">
        <v>0</v>
      </c>
      <c r="N251" t="n">
        <v>0</v>
      </c>
      <c r="O251" t="n">
        <v>4</v>
      </c>
      <c r="P251" t="n">
        <v>1</v>
      </c>
      <c r="Q251" t="n">
        <v>7</v>
      </c>
      <c r="R251" s="2" t="inlineStr">
        <is>
          <t>Doftticka
Lunglav
Ullticka
Vedskivlav
Bårdlav
Stor aspticka
Stuplav</t>
        </is>
      </c>
      <c r="S251">
        <f>HYPERLINK("https://klasma.github.io/Logging_RAGUNDA/artfynd/A 62637-2018.xlsx")</f>
        <v/>
      </c>
      <c r="T251">
        <f>HYPERLINK("https://klasma.github.io/Logging_RAGUNDA/kartor/A 62637-2018.png")</f>
        <v/>
      </c>
      <c r="V251">
        <f>HYPERLINK("https://klasma.github.io/Logging_RAGUNDA/klagomål/A 62637-2018.docx")</f>
        <v/>
      </c>
      <c r="W251">
        <f>HYPERLINK("https://klasma.github.io/Logging_RAGUNDA/klagomålsmail/A 62637-2018.docx")</f>
        <v/>
      </c>
      <c r="X251">
        <f>HYPERLINK("https://klasma.github.io/Logging_RAGUNDA/tillsyn/A 62637-2018.docx")</f>
        <v/>
      </c>
      <c r="Y251">
        <f>HYPERLINK("https://klasma.github.io/Logging_RAGUNDA/tillsynsmail/A 62637-2018.docx")</f>
        <v/>
      </c>
    </row>
    <row r="252" ht="15" customHeight="1">
      <c r="A252" t="inlineStr">
        <is>
          <t>A 8023-2019</t>
        </is>
      </c>
      <c r="B252" s="1" t="n">
        <v>43501</v>
      </c>
      <c r="C252" s="1" t="n">
        <v>45182</v>
      </c>
      <c r="D252" t="inlineStr">
        <is>
          <t>JÄMTLANDS LÄN</t>
        </is>
      </c>
      <c r="E252" t="inlineStr">
        <is>
          <t>ÖSTERSUND</t>
        </is>
      </c>
      <c r="G252" t="n">
        <v>1.7</v>
      </c>
      <c r="H252" t="n">
        <v>2</v>
      </c>
      <c r="I252" t="n">
        <v>2</v>
      </c>
      <c r="J252" t="n">
        <v>3</v>
      </c>
      <c r="K252" t="n">
        <v>1</v>
      </c>
      <c r="L252" t="n">
        <v>0</v>
      </c>
      <c r="M252" t="n">
        <v>0</v>
      </c>
      <c r="N252" t="n">
        <v>0</v>
      </c>
      <c r="O252" t="n">
        <v>4</v>
      </c>
      <c r="P252" t="n">
        <v>1</v>
      </c>
      <c r="Q252" t="n">
        <v>7</v>
      </c>
      <c r="R252" s="2" t="inlineStr">
        <is>
          <t>Knärot
Garnlav
Ullticka
Vedtrappmossa
Kransrams
Svavelriska
Blåsippa</t>
        </is>
      </c>
      <c r="S252">
        <f>HYPERLINK("https://klasma.github.io/Logging_OSTERSUND/artfynd/A 8023-2019.xlsx")</f>
        <v/>
      </c>
      <c r="T252">
        <f>HYPERLINK("https://klasma.github.io/Logging_OSTERSUND/kartor/A 8023-2019.png")</f>
        <v/>
      </c>
      <c r="U252">
        <f>HYPERLINK("https://klasma.github.io/Logging_OSTERSUND/knärot/A 8023-2019.png")</f>
        <v/>
      </c>
      <c r="V252">
        <f>HYPERLINK("https://klasma.github.io/Logging_OSTERSUND/klagomål/A 8023-2019.docx")</f>
        <v/>
      </c>
      <c r="W252">
        <f>HYPERLINK("https://klasma.github.io/Logging_OSTERSUND/klagomålsmail/A 8023-2019.docx")</f>
        <v/>
      </c>
      <c r="X252">
        <f>HYPERLINK("https://klasma.github.io/Logging_OSTERSUND/tillsyn/A 8023-2019.docx")</f>
        <v/>
      </c>
      <c r="Y252">
        <f>HYPERLINK("https://klasma.github.io/Logging_OSTERSUND/tillsynsmail/A 8023-2019.docx")</f>
        <v/>
      </c>
    </row>
    <row r="253" ht="15" customHeight="1">
      <c r="A253" t="inlineStr">
        <is>
          <t>A 12810-2019</t>
        </is>
      </c>
      <c r="B253" s="1" t="n">
        <v>43525</v>
      </c>
      <c r="C253" s="1" t="n">
        <v>45182</v>
      </c>
      <c r="D253" t="inlineStr">
        <is>
          <t>JÄMTLANDS LÄN</t>
        </is>
      </c>
      <c r="E253" t="inlineStr">
        <is>
          <t>HÄRJEDALEN</t>
        </is>
      </c>
      <c r="G253" t="n">
        <v>19.6</v>
      </c>
      <c r="H253" t="n">
        <v>2</v>
      </c>
      <c r="I253" t="n">
        <v>4</v>
      </c>
      <c r="J253" t="n">
        <v>3</v>
      </c>
      <c r="K253" t="n">
        <v>0</v>
      </c>
      <c r="L253" t="n">
        <v>0</v>
      </c>
      <c r="M253" t="n">
        <v>0</v>
      </c>
      <c r="N253" t="n">
        <v>0</v>
      </c>
      <c r="O253" t="n">
        <v>3</v>
      </c>
      <c r="P253" t="n">
        <v>0</v>
      </c>
      <c r="Q253" t="n">
        <v>7</v>
      </c>
      <c r="R253" s="2" t="inlineStr">
        <is>
          <t>Gränsticka
Knottrig blåslav
Skrovellav
Grönkulla
Luddlav
Spindelblomster
Ögonpyrola</t>
        </is>
      </c>
      <c r="S253">
        <f>HYPERLINK("https://klasma.github.io/Logging_HARJEDALEN/artfynd/A 12810-2019.xlsx")</f>
        <v/>
      </c>
      <c r="T253">
        <f>HYPERLINK("https://klasma.github.io/Logging_HARJEDALEN/kartor/A 12810-2019.png")</f>
        <v/>
      </c>
      <c r="V253">
        <f>HYPERLINK("https://klasma.github.io/Logging_HARJEDALEN/klagomål/A 12810-2019.docx")</f>
        <v/>
      </c>
      <c r="W253">
        <f>HYPERLINK("https://klasma.github.io/Logging_HARJEDALEN/klagomålsmail/A 12810-2019.docx")</f>
        <v/>
      </c>
      <c r="X253">
        <f>HYPERLINK("https://klasma.github.io/Logging_HARJEDALEN/tillsyn/A 12810-2019.docx")</f>
        <v/>
      </c>
      <c r="Y253">
        <f>HYPERLINK("https://klasma.github.io/Logging_HARJEDALEN/tillsynsmail/A 12810-2019.docx")</f>
        <v/>
      </c>
    </row>
    <row r="254" ht="15" customHeight="1">
      <c r="A254" t="inlineStr">
        <is>
          <t>A 17851-2019</t>
        </is>
      </c>
      <c r="B254" s="1" t="n">
        <v>43556</v>
      </c>
      <c r="C254" s="1" t="n">
        <v>45182</v>
      </c>
      <c r="D254" t="inlineStr">
        <is>
          <t>JÄMTLANDS LÄN</t>
        </is>
      </c>
      <c r="E254" t="inlineStr">
        <is>
          <t>BRÄCKE</t>
        </is>
      </c>
      <c r="G254" t="n">
        <v>17.5</v>
      </c>
      <c r="H254" t="n">
        <v>1</v>
      </c>
      <c r="I254" t="n">
        <v>3</v>
      </c>
      <c r="J254" t="n">
        <v>3</v>
      </c>
      <c r="K254" t="n">
        <v>1</v>
      </c>
      <c r="L254" t="n">
        <v>0</v>
      </c>
      <c r="M254" t="n">
        <v>0</v>
      </c>
      <c r="N254" t="n">
        <v>0</v>
      </c>
      <c r="O254" t="n">
        <v>4</v>
      </c>
      <c r="P254" t="n">
        <v>1</v>
      </c>
      <c r="Q254" t="n">
        <v>7</v>
      </c>
      <c r="R254" s="2" t="inlineStr">
        <is>
          <t>Knärot
Garnlav
Lunglav
Skrovellav
Skarp dropptaggsvamp
Skinnlav
Stuplav</t>
        </is>
      </c>
      <c r="S254">
        <f>HYPERLINK("https://klasma.github.io/Logging_BRACKE/artfynd/A 17851-2019.xlsx")</f>
        <v/>
      </c>
      <c r="T254">
        <f>HYPERLINK("https://klasma.github.io/Logging_BRACKE/kartor/A 17851-2019.png")</f>
        <v/>
      </c>
      <c r="U254">
        <f>HYPERLINK("https://klasma.github.io/Logging_BRACKE/knärot/A 17851-2019.png")</f>
        <v/>
      </c>
      <c r="V254">
        <f>HYPERLINK("https://klasma.github.io/Logging_BRACKE/klagomål/A 17851-2019.docx")</f>
        <v/>
      </c>
      <c r="W254">
        <f>HYPERLINK("https://klasma.github.io/Logging_BRACKE/klagomålsmail/A 17851-2019.docx")</f>
        <v/>
      </c>
      <c r="X254">
        <f>HYPERLINK("https://klasma.github.io/Logging_BRACKE/tillsyn/A 17851-2019.docx")</f>
        <v/>
      </c>
      <c r="Y254">
        <f>HYPERLINK("https://klasma.github.io/Logging_BRACKE/tillsynsmail/A 17851-2019.docx")</f>
        <v/>
      </c>
    </row>
    <row r="255" ht="15" customHeight="1">
      <c r="A255" t="inlineStr">
        <is>
          <t>A 26637-2019</t>
        </is>
      </c>
      <c r="B255" s="1" t="n">
        <v>43612</v>
      </c>
      <c r="C255" s="1" t="n">
        <v>45182</v>
      </c>
      <c r="D255" t="inlineStr">
        <is>
          <t>JÄMTLANDS LÄN</t>
        </is>
      </c>
      <c r="E255" t="inlineStr">
        <is>
          <t>BRÄCKE</t>
        </is>
      </c>
      <c r="G255" t="n">
        <v>17.5</v>
      </c>
      <c r="H255" t="n">
        <v>1</v>
      </c>
      <c r="I255" t="n">
        <v>3</v>
      </c>
      <c r="J255" t="n">
        <v>3</v>
      </c>
      <c r="K255" t="n">
        <v>1</v>
      </c>
      <c r="L255" t="n">
        <v>0</v>
      </c>
      <c r="M255" t="n">
        <v>0</v>
      </c>
      <c r="N255" t="n">
        <v>0</v>
      </c>
      <c r="O255" t="n">
        <v>4</v>
      </c>
      <c r="P255" t="n">
        <v>1</v>
      </c>
      <c r="Q255" t="n">
        <v>7</v>
      </c>
      <c r="R255" s="2" t="inlineStr">
        <is>
          <t>Knärot
Garnlav
Lunglav
Skrovellav
Skarp dropptaggsvamp
Skinnlav
Stuplav</t>
        </is>
      </c>
      <c r="S255">
        <f>HYPERLINK("https://klasma.github.io/Logging_BRACKE/artfynd/A 26637-2019.xlsx")</f>
        <v/>
      </c>
      <c r="T255">
        <f>HYPERLINK("https://klasma.github.io/Logging_BRACKE/kartor/A 26637-2019.png")</f>
        <v/>
      </c>
      <c r="U255">
        <f>HYPERLINK("https://klasma.github.io/Logging_BRACKE/knärot/A 26637-2019.png")</f>
        <v/>
      </c>
      <c r="V255">
        <f>HYPERLINK("https://klasma.github.io/Logging_BRACKE/klagomål/A 26637-2019.docx")</f>
        <v/>
      </c>
      <c r="W255">
        <f>HYPERLINK("https://klasma.github.io/Logging_BRACKE/klagomålsmail/A 26637-2019.docx")</f>
        <v/>
      </c>
      <c r="X255">
        <f>HYPERLINK("https://klasma.github.io/Logging_BRACKE/tillsyn/A 26637-2019.docx")</f>
        <v/>
      </c>
      <c r="Y255">
        <f>HYPERLINK("https://klasma.github.io/Logging_BRACKE/tillsynsmail/A 26637-2019.docx")</f>
        <v/>
      </c>
    </row>
    <row r="256" ht="15" customHeight="1">
      <c r="A256" t="inlineStr">
        <is>
          <t>A 32502-2019</t>
        </is>
      </c>
      <c r="B256" s="1" t="n">
        <v>43644</v>
      </c>
      <c r="C256" s="1" t="n">
        <v>45182</v>
      </c>
      <c r="D256" t="inlineStr">
        <is>
          <t>JÄMTLANDS LÄN</t>
        </is>
      </c>
      <c r="E256" t="inlineStr">
        <is>
          <t>HÄRJEDALEN</t>
        </is>
      </c>
      <c r="F256" t="inlineStr">
        <is>
          <t>SCA</t>
        </is>
      </c>
      <c r="G256" t="n">
        <v>3.1</v>
      </c>
      <c r="H256" t="n">
        <v>1</v>
      </c>
      <c r="I256" t="n">
        <v>2</v>
      </c>
      <c r="J256" t="n">
        <v>4</v>
      </c>
      <c r="K256" t="n">
        <v>1</v>
      </c>
      <c r="L256" t="n">
        <v>0</v>
      </c>
      <c r="M256" t="n">
        <v>0</v>
      </c>
      <c r="N256" t="n">
        <v>0</v>
      </c>
      <c r="O256" t="n">
        <v>5</v>
      </c>
      <c r="P256" t="n">
        <v>1</v>
      </c>
      <c r="Q256" t="n">
        <v>7</v>
      </c>
      <c r="R256" s="2" t="inlineStr">
        <is>
          <t>Doftticka
Garnlav
Lunglav
Mörk kolflarnlav
Vedflamlav
Korallblylav
Stuplav</t>
        </is>
      </c>
      <c r="S256">
        <f>HYPERLINK("https://klasma.github.io/Logging_HARJEDALEN/artfynd/A 32502-2019.xlsx")</f>
        <v/>
      </c>
      <c r="T256">
        <f>HYPERLINK("https://klasma.github.io/Logging_HARJEDALEN/kartor/A 32502-2019.png")</f>
        <v/>
      </c>
      <c r="V256">
        <f>HYPERLINK("https://klasma.github.io/Logging_HARJEDALEN/klagomål/A 32502-2019.docx")</f>
        <v/>
      </c>
      <c r="W256">
        <f>HYPERLINK("https://klasma.github.io/Logging_HARJEDALEN/klagomålsmail/A 32502-2019.docx")</f>
        <v/>
      </c>
      <c r="X256">
        <f>HYPERLINK("https://klasma.github.io/Logging_HARJEDALEN/tillsyn/A 32502-2019.docx")</f>
        <v/>
      </c>
      <c r="Y256">
        <f>HYPERLINK("https://klasma.github.io/Logging_HARJEDALEN/tillsynsmail/A 32502-2019.docx")</f>
        <v/>
      </c>
    </row>
    <row r="257" ht="15" customHeight="1">
      <c r="A257" t="inlineStr">
        <is>
          <t>A 50583-2019</t>
        </is>
      </c>
      <c r="B257" s="1" t="n">
        <v>43735</v>
      </c>
      <c r="C257" s="1" t="n">
        <v>45182</v>
      </c>
      <c r="D257" t="inlineStr">
        <is>
          <t>JÄMTLANDS LÄN</t>
        </is>
      </c>
      <c r="E257" t="inlineStr">
        <is>
          <t>BRÄCKE</t>
        </is>
      </c>
      <c r="F257" t="inlineStr">
        <is>
          <t>SCA</t>
        </is>
      </c>
      <c r="G257" t="n">
        <v>15.2</v>
      </c>
      <c r="H257" t="n">
        <v>0</v>
      </c>
      <c r="I257" t="n">
        <v>3</v>
      </c>
      <c r="J257" t="n">
        <v>4</v>
      </c>
      <c r="K257" t="n">
        <v>0</v>
      </c>
      <c r="L257" t="n">
        <v>0</v>
      </c>
      <c r="M257" t="n">
        <v>0</v>
      </c>
      <c r="N257" t="n">
        <v>0</v>
      </c>
      <c r="O257" t="n">
        <v>4</v>
      </c>
      <c r="P257" t="n">
        <v>0</v>
      </c>
      <c r="Q257" t="n">
        <v>7</v>
      </c>
      <c r="R257" s="2" t="inlineStr">
        <is>
          <t>Garnlav
Gränsticka
Lunglav
Skrovellav
Korallblylav
Skinnlav
Stuplav</t>
        </is>
      </c>
      <c r="S257">
        <f>HYPERLINK("https://klasma.github.io/Logging_BRACKE/artfynd/A 50583-2019.xlsx")</f>
        <v/>
      </c>
      <c r="T257">
        <f>HYPERLINK("https://klasma.github.io/Logging_BRACKE/kartor/A 50583-2019.png")</f>
        <v/>
      </c>
      <c r="V257">
        <f>HYPERLINK("https://klasma.github.io/Logging_BRACKE/klagomål/A 50583-2019.docx")</f>
        <v/>
      </c>
      <c r="W257">
        <f>HYPERLINK("https://klasma.github.io/Logging_BRACKE/klagomålsmail/A 50583-2019.docx")</f>
        <v/>
      </c>
      <c r="X257">
        <f>HYPERLINK("https://klasma.github.io/Logging_BRACKE/tillsyn/A 50583-2019.docx")</f>
        <v/>
      </c>
      <c r="Y257">
        <f>HYPERLINK("https://klasma.github.io/Logging_BRACKE/tillsynsmail/A 50583-2019.docx")</f>
        <v/>
      </c>
    </row>
    <row r="258" ht="15" customHeight="1">
      <c r="A258" t="inlineStr">
        <is>
          <t>A 6870-2020</t>
        </is>
      </c>
      <c r="B258" s="1" t="n">
        <v>43867</v>
      </c>
      <c r="C258" s="1" t="n">
        <v>45182</v>
      </c>
      <c r="D258" t="inlineStr">
        <is>
          <t>JÄMTLANDS LÄN</t>
        </is>
      </c>
      <c r="E258" t="inlineStr">
        <is>
          <t>STRÖMSUND</t>
        </is>
      </c>
      <c r="F258" t="inlineStr">
        <is>
          <t>SCA</t>
        </is>
      </c>
      <c r="G258" t="n">
        <v>42.3</v>
      </c>
      <c r="H258" t="n">
        <v>0</v>
      </c>
      <c r="I258" t="n">
        <v>0</v>
      </c>
      <c r="J258" t="n">
        <v>6</v>
      </c>
      <c r="K258" t="n">
        <v>1</v>
      </c>
      <c r="L258" t="n">
        <v>0</v>
      </c>
      <c r="M258" t="n">
        <v>0</v>
      </c>
      <c r="N258" t="n">
        <v>0</v>
      </c>
      <c r="O258" t="n">
        <v>7</v>
      </c>
      <c r="P258" t="n">
        <v>1</v>
      </c>
      <c r="Q258" t="n">
        <v>7</v>
      </c>
      <c r="R258" s="2" t="inlineStr">
        <is>
          <t>Rynkskinn
Granticka
Gränsticka
Harticka
Rosenticka
Stjärntagging
Ullticka</t>
        </is>
      </c>
      <c r="S258">
        <f>HYPERLINK("https://klasma.github.io/Logging_STROMSUND/artfynd/A 6870-2020.xlsx")</f>
        <v/>
      </c>
      <c r="T258">
        <f>HYPERLINK("https://klasma.github.io/Logging_STROMSUND/kartor/A 6870-2020.png")</f>
        <v/>
      </c>
      <c r="V258">
        <f>HYPERLINK("https://klasma.github.io/Logging_STROMSUND/klagomål/A 6870-2020.docx")</f>
        <v/>
      </c>
      <c r="W258">
        <f>HYPERLINK("https://klasma.github.io/Logging_STROMSUND/klagomålsmail/A 6870-2020.docx")</f>
        <v/>
      </c>
      <c r="X258">
        <f>HYPERLINK("https://klasma.github.io/Logging_STROMSUND/tillsyn/A 6870-2020.docx")</f>
        <v/>
      </c>
      <c r="Y258">
        <f>HYPERLINK("https://klasma.github.io/Logging_STROMSUND/tillsynsmail/A 6870-2020.docx")</f>
        <v/>
      </c>
    </row>
    <row r="259" ht="15" customHeight="1">
      <c r="A259" t="inlineStr">
        <is>
          <t>A 9174-2020</t>
        </is>
      </c>
      <c r="B259" s="1" t="n">
        <v>43879</v>
      </c>
      <c r="C259" s="1" t="n">
        <v>45182</v>
      </c>
      <c r="D259" t="inlineStr">
        <is>
          <t>JÄMTLANDS LÄN</t>
        </is>
      </c>
      <c r="E259" t="inlineStr">
        <is>
          <t>BERG</t>
        </is>
      </c>
      <c r="G259" t="n">
        <v>18.5</v>
      </c>
      <c r="H259" t="n">
        <v>0</v>
      </c>
      <c r="I259" t="n">
        <v>1</v>
      </c>
      <c r="J259" t="n">
        <v>6</v>
      </c>
      <c r="K259" t="n">
        <v>0</v>
      </c>
      <c r="L259" t="n">
        <v>0</v>
      </c>
      <c r="M259" t="n">
        <v>0</v>
      </c>
      <c r="N259" t="n">
        <v>0</v>
      </c>
      <c r="O259" t="n">
        <v>6</v>
      </c>
      <c r="P259" t="n">
        <v>0</v>
      </c>
      <c r="Q259" t="n">
        <v>7</v>
      </c>
      <c r="R259" s="2" t="inlineStr">
        <is>
          <t>Garnlav
Harticka
Knottrig blåslav
Rödbrun blekspik
Skrovellav
Ullticka
Stuplav</t>
        </is>
      </c>
      <c r="S259">
        <f>HYPERLINK("https://klasma.github.io/Logging_BERG/artfynd/A 9174-2020.xlsx")</f>
        <v/>
      </c>
      <c r="T259">
        <f>HYPERLINK("https://klasma.github.io/Logging_BERG/kartor/A 9174-2020.png")</f>
        <v/>
      </c>
      <c r="V259">
        <f>HYPERLINK("https://klasma.github.io/Logging_BERG/klagomål/A 9174-2020.docx")</f>
        <v/>
      </c>
      <c r="W259">
        <f>HYPERLINK("https://klasma.github.io/Logging_BERG/klagomålsmail/A 9174-2020.docx")</f>
        <v/>
      </c>
      <c r="X259">
        <f>HYPERLINK("https://klasma.github.io/Logging_BERG/tillsyn/A 9174-2020.docx")</f>
        <v/>
      </c>
      <c r="Y259">
        <f>HYPERLINK("https://klasma.github.io/Logging_BERG/tillsynsmail/A 9174-2020.docx")</f>
        <v/>
      </c>
    </row>
    <row r="260" ht="15" customHeight="1">
      <c r="A260" t="inlineStr">
        <is>
          <t>A 32023-2020</t>
        </is>
      </c>
      <c r="B260" s="1" t="n">
        <v>44015</v>
      </c>
      <c r="C260" s="1" t="n">
        <v>45182</v>
      </c>
      <c r="D260" t="inlineStr">
        <is>
          <t>JÄMTLANDS LÄN</t>
        </is>
      </c>
      <c r="E260" t="inlineStr">
        <is>
          <t>KROKOM</t>
        </is>
      </c>
      <c r="G260" t="n">
        <v>4.3</v>
      </c>
      <c r="H260" t="n">
        <v>3</v>
      </c>
      <c r="I260" t="n">
        <v>2</v>
      </c>
      <c r="J260" t="n">
        <v>4</v>
      </c>
      <c r="K260" t="n">
        <v>1</v>
      </c>
      <c r="L260" t="n">
        <v>0</v>
      </c>
      <c r="M260" t="n">
        <v>0</v>
      </c>
      <c r="N260" t="n">
        <v>0</v>
      </c>
      <c r="O260" t="n">
        <v>5</v>
      </c>
      <c r="P260" t="n">
        <v>1</v>
      </c>
      <c r="Q260" t="n">
        <v>7</v>
      </c>
      <c r="R260" s="2" t="inlineStr">
        <is>
          <t>Knärot
Granticka
Rosenticka
Tretåig hackspett
Ullticka
Korallrot
Stuplav</t>
        </is>
      </c>
      <c r="S260">
        <f>HYPERLINK("https://klasma.github.io/Logging_KROKOM/artfynd/A 32023-2020.xlsx")</f>
        <v/>
      </c>
      <c r="T260">
        <f>HYPERLINK("https://klasma.github.io/Logging_KROKOM/kartor/A 32023-2020.png")</f>
        <v/>
      </c>
      <c r="U260">
        <f>HYPERLINK("https://klasma.github.io/Logging_KROKOM/knärot/A 32023-2020.png")</f>
        <v/>
      </c>
      <c r="V260">
        <f>HYPERLINK("https://klasma.github.io/Logging_KROKOM/klagomål/A 32023-2020.docx")</f>
        <v/>
      </c>
      <c r="W260">
        <f>HYPERLINK("https://klasma.github.io/Logging_KROKOM/klagomålsmail/A 32023-2020.docx")</f>
        <v/>
      </c>
      <c r="X260">
        <f>HYPERLINK("https://klasma.github.io/Logging_KROKOM/tillsyn/A 32023-2020.docx")</f>
        <v/>
      </c>
      <c r="Y260">
        <f>HYPERLINK("https://klasma.github.io/Logging_KROKOM/tillsynsmail/A 32023-2020.docx")</f>
        <v/>
      </c>
    </row>
    <row r="261" ht="15" customHeight="1">
      <c r="A261" t="inlineStr">
        <is>
          <t>A 32078-2020</t>
        </is>
      </c>
      <c r="B261" s="1" t="n">
        <v>44015</v>
      </c>
      <c r="C261" s="1" t="n">
        <v>45182</v>
      </c>
      <c r="D261" t="inlineStr">
        <is>
          <t>JÄMTLANDS LÄN</t>
        </is>
      </c>
      <c r="E261" t="inlineStr">
        <is>
          <t>STRÖMSUND</t>
        </is>
      </c>
      <c r="F261" t="inlineStr">
        <is>
          <t>Holmen skog AB</t>
        </is>
      </c>
      <c r="G261" t="n">
        <v>5.2</v>
      </c>
      <c r="H261" t="n">
        <v>2</v>
      </c>
      <c r="I261" t="n">
        <v>3</v>
      </c>
      <c r="J261" t="n">
        <v>3</v>
      </c>
      <c r="K261" t="n">
        <v>1</v>
      </c>
      <c r="L261" t="n">
        <v>0</v>
      </c>
      <c r="M261" t="n">
        <v>0</v>
      </c>
      <c r="N261" t="n">
        <v>0</v>
      </c>
      <c r="O261" t="n">
        <v>4</v>
      </c>
      <c r="P261" t="n">
        <v>1</v>
      </c>
      <c r="Q261" t="n">
        <v>7</v>
      </c>
      <c r="R261" s="2" t="inlineStr">
        <is>
          <t>Knärot
Garnlav
Skrovellav
Tretåig hackspett
Bårdlav
Luddlav
Stuplav</t>
        </is>
      </c>
      <c r="S261">
        <f>HYPERLINK("https://klasma.github.io/Logging_STROMSUND/artfynd/A 32078-2020.xlsx")</f>
        <v/>
      </c>
      <c r="T261">
        <f>HYPERLINK("https://klasma.github.io/Logging_STROMSUND/kartor/A 32078-2020.png")</f>
        <v/>
      </c>
      <c r="U261">
        <f>HYPERLINK("https://klasma.github.io/Logging_STROMSUND/knärot/A 32078-2020.png")</f>
        <v/>
      </c>
      <c r="V261">
        <f>HYPERLINK("https://klasma.github.io/Logging_STROMSUND/klagomål/A 32078-2020.docx")</f>
        <v/>
      </c>
      <c r="W261">
        <f>HYPERLINK("https://klasma.github.io/Logging_STROMSUND/klagomålsmail/A 32078-2020.docx")</f>
        <v/>
      </c>
      <c r="X261">
        <f>HYPERLINK("https://klasma.github.io/Logging_STROMSUND/tillsyn/A 32078-2020.docx")</f>
        <v/>
      </c>
      <c r="Y261">
        <f>HYPERLINK("https://klasma.github.io/Logging_STROMSUND/tillsynsmail/A 32078-2020.docx")</f>
        <v/>
      </c>
    </row>
    <row r="262" ht="15" customHeight="1">
      <c r="A262" t="inlineStr">
        <is>
          <t>A 34953-2020</t>
        </is>
      </c>
      <c r="B262" s="1" t="n">
        <v>44038</v>
      </c>
      <c r="C262" s="1" t="n">
        <v>45182</v>
      </c>
      <c r="D262" t="inlineStr">
        <is>
          <t>JÄMTLANDS LÄN</t>
        </is>
      </c>
      <c r="E262" t="inlineStr">
        <is>
          <t>KROKOM</t>
        </is>
      </c>
      <c r="G262" t="n">
        <v>42.9</v>
      </c>
      <c r="H262" t="n">
        <v>0</v>
      </c>
      <c r="I262" t="n">
        <v>4</v>
      </c>
      <c r="J262" t="n">
        <v>3</v>
      </c>
      <c r="K262" t="n">
        <v>0</v>
      </c>
      <c r="L262" t="n">
        <v>0</v>
      </c>
      <c r="M262" t="n">
        <v>0</v>
      </c>
      <c r="N262" t="n">
        <v>0</v>
      </c>
      <c r="O262" t="n">
        <v>3</v>
      </c>
      <c r="P262" t="n">
        <v>0</v>
      </c>
      <c r="Q262" t="n">
        <v>7</v>
      </c>
      <c r="R262" s="2" t="inlineStr">
        <is>
          <t>Gammelgransskål
Garnlav
Granticka
Bårdlav
Kransrams
Luddlav
Stuplav</t>
        </is>
      </c>
      <c r="S262">
        <f>HYPERLINK("https://klasma.github.io/Logging_KROKOM/artfynd/A 34953-2020.xlsx")</f>
        <v/>
      </c>
      <c r="T262">
        <f>HYPERLINK("https://klasma.github.io/Logging_KROKOM/kartor/A 34953-2020.png")</f>
        <v/>
      </c>
      <c r="V262">
        <f>HYPERLINK("https://klasma.github.io/Logging_KROKOM/klagomål/A 34953-2020.docx")</f>
        <v/>
      </c>
      <c r="W262">
        <f>HYPERLINK("https://klasma.github.io/Logging_KROKOM/klagomålsmail/A 34953-2020.docx")</f>
        <v/>
      </c>
      <c r="X262">
        <f>HYPERLINK("https://klasma.github.io/Logging_KROKOM/tillsyn/A 34953-2020.docx")</f>
        <v/>
      </c>
      <c r="Y262">
        <f>HYPERLINK("https://klasma.github.io/Logging_KROKOM/tillsynsmail/A 34953-2020.docx")</f>
        <v/>
      </c>
    </row>
    <row r="263" ht="15" customHeight="1">
      <c r="A263" t="inlineStr">
        <is>
          <t>A 40386-2020</t>
        </is>
      </c>
      <c r="B263" s="1" t="n">
        <v>44068</v>
      </c>
      <c r="C263" s="1" t="n">
        <v>45182</v>
      </c>
      <c r="D263" t="inlineStr">
        <is>
          <t>JÄMTLANDS LÄN</t>
        </is>
      </c>
      <c r="E263" t="inlineStr">
        <is>
          <t>BRÄCKE</t>
        </is>
      </c>
      <c r="F263" t="inlineStr">
        <is>
          <t>SCA</t>
        </is>
      </c>
      <c r="G263" t="n">
        <v>1.5</v>
      </c>
      <c r="H263" t="n">
        <v>0</v>
      </c>
      <c r="I263" t="n">
        <v>1</v>
      </c>
      <c r="J263" t="n">
        <v>4</v>
      </c>
      <c r="K263" t="n">
        <v>2</v>
      </c>
      <c r="L263" t="n">
        <v>0</v>
      </c>
      <c r="M263" t="n">
        <v>0</v>
      </c>
      <c r="N263" t="n">
        <v>0</v>
      </c>
      <c r="O263" t="n">
        <v>6</v>
      </c>
      <c r="P263" t="n">
        <v>2</v>
      </c>
      <c r="Q263" t="n">
        <v>7</v>
      </c>
      <c r="R263" s="2" t="inlineStr">
        <is>
          <t>Gyllenspindling
Lammticka
Blekspindling agg.
Mjölsvärting
Persiljespindling
Svartvit taggsvamp
Barrfagerspindling</t>
        </is>
      </c>
      <c r="S263">
        <f>HYPERLINK("https://klasma.github.io/Logging_BRACKE/artfynd/A 40386-2020.xlsx")</f>
        <v/>
      </c>
      <c r="T263">
        <f>HYPERLINK("https://klasma.github.io/Logging_BRACKE/kartor/A 40386-2020.png")</f>
        <v/>
      </c>
      <c r="V263">
        <f>HYPERLINK("https://klasma.github.io/Logging_BRACKE/klagomål/A 40386-2020.docx")</f>
        <v/>
      </c>
      <c r="W263">
        <f>HYPERLINK("https://klasma.github.io/Logging_BRACKE/klagomålsmail/A 40386-2020.docx")</f>
        <v/>
      </c>
      <c r="X263">
        <f>HYPERLINK("https://klasma.github.io/Logging_BRACKE/tillsyn/A 40386-2020.docx")</f>
        <v/>
      </c>
      <c r="Y263">
        <f>HYPERLINK("https://klasma.github.io/Logging_BRACKE/tillsynsmail/A 40386-2020.docx")</f>
        <v/>
      </c>
    </row>
    <row r="264" ht="15" customHeight="1">
      <c r="A264" t="inlineStr">
        <is>
          <t>A 53202-2020</t>
        </is>
      </c>
      <c r="B264" s="1" t="n">
        <v>44122</v>
      </c>
      <c r="C264" s="1" t="n">
        <v>45182</v>
      </c>
      <c r="D264" t="inlineStr">
        <is>
          <t>JÄMTLANDS LÄN</t>
        </is>
      </c>
      <c r="E264" t="inlineStr">
        <is>
          <t>ÅRE</t>
        </is>
      </c>
      <c r="G264" t="n">
        <v>15.2</v>
      </c>
      <c r="H264" t="n">
        <v>1</v>
      </c>
      <c r="I264" t="n">
        <v>1</v>
      </c>
      <c r="J264" t="n">
        <v>6</v>
      </c>
      <c r="K264" t="n">
        <v>0</v>
      </c>
      <c r="L264" t="n">
        <v>0</v>
      </c>
      <c r="M264" t="n">
        <v>0</v>
      </c>
      <c r="N264" t="n">
        <v>0</v>
      </c>
      <c r="O264" t="n">
        <v>6</v>
      </c>
      <c r="P264" t="n">
        <v>0</v>
      </c>
      <c r="Q264" t="n">
        <v>7</v>
      </c>
      <c r="R264" s="2" t="inlineStr">
        <is>
          <t>Garnlav
Granticka
Kavernularia
Liten svartspik
Tretåig hackspett
Vitgrynig nållav
Nordlig tuffmossa</t>
        </is>
      </c>
      <c r="S264">
        <f>HYPERLINK("https://klasma.github.io/Logging_ARE/artfynd/A 53202-2020.xlsx")</f>
        <v/>
      </c>
      <c r="T264">
        <f>HYPERLINK("https://klasma.github.io/Logging_ARE/kartor/A 53202-2020.png")</f>
        <v/>
      </c>
      <c r="V264">
        <f>HYPERLINK("https://klasma.github.io/Logging_ARE/klagomål/A 53202-2020.docx")</f>
        <v/>
      </c>
      <c r="W264">
        <f>HYPERLINK("https://klasma.github.io/Logging_ARE/klagomålsmail/A 53202-2020.docx")</f>
        <v/>
      </c>
      <c r="X264">
        <f>HYPERLINK("https://klasma.github.io/Logging_ARE/tillsyn/A 53202-2020.docx")</f>
        <v/>
      </c>
      <c r="Y264">
        <f>HYPERLINK("https://klasma.github.io/Logging_ARE/tillsynsmail/A 53202-2020.docx")</f>
        <v/>
      </c>
    </row>
    <row r="265" ht="15" customHeight="1">
      <c r="A265" t="inlineStr">
        <is>
          <t>A 56568-2020</t>
        </is>
      </c>
      <c r="B265" s="1" t="n">
        <v>44133</v>
      </c>
      <c r="C265" s="1" t="n">
        <v>45182</v>
      </c>
      <c r="D265" t="inlineStr">
        <is>
          <t>JÄMTLANDS LÄN</t>
        </is>
      </c>
      <c r="E265" t="inlineStr">
        <is>
          <t>KROKOM</t>
        </is>
      </c>
      <c r="G265" t="n">
        <v>45.2</v>
      </c>
      <c r="H265" t="n">
        <v>2</v>
      </c>
      <c r="I265" t="n">
        <v>1</v>
      </c>
      <c r="J265" t="n">
        <v>6</v>
      </c>
      <c r="K265" t="n">
        <v>0</v>
      </c>
      <c r="L265" t="n">
        <v>0</v>
      </c>
      <c r="M265" t="n">
        <v>0</v>
      </c>
      <c r="N265" t="n">
        <v>0</v>
      </c>
      <c r="O265" t="n">
        <v>6</v>
      </c>
      <c r="P265" t="n">
        <v>0</v>
      </c>
      <c r="Q265" t="n">
        <v>7</v>
      </c>
      <c r="R265" s="2" t="inlineStr">
        <is>
          <t>Garnlav
Granticka
Gränsticka
Lunglav
Spillkråka
Tretåig hackspett
Trådticka</t>
        </is>
      </c>
      <c r="S265">
        <f>HYPERLINK("https://klasma.github.io/Logging_KROKOM/artfynd/A 56568-2020.xlsx")</f>
        <v/>
      </c>
      <c r="T265">
        <f>HYPERLINK("https://klasma.github.io/Logging_KROKOM/kartor/A 56568-2020.png")</f>
        <v/>
      </c>
      <c r="V265">
        <f>HYPERLINK("https://klasma.github.io/Logging_KROKOM/klagomål/A 56568-2020.docx")</f>
        <v/>
      </c>
      <c r="W265">
        <f>HYPERLINK("https://klasma.github.io/Logging_KROKOM/klagomålsmail/A 56568-2020.docx")</f>
        <v/>
      </c>
      <c r="X265">
        <f>HYPERLINK("https://klasma.github.io/Logging_KROKOM/tillsyn/A 56568-2020.docx")</f>
        <v/>
      </c>
      <c r="Y265">
        <f>HYPERLINK("https://klasma.github.io/Logging_KROKOM/tillsynsmail/A 56568-2020.docx")</f>
        <v/>
      </c>
    </row>
    <row r="266" ht="15" customHeight="1">
      <c r="A266" t="inlineStr">
        <is>
          <t>A 56211-2020</t>
        </is>
      </c>
      <c r="B266" s="1" t="n">
        <v>44133</v>
      </c>
      <c r="C266" s="1" t="n">
        <v>45182</v>
      </c>
      <c r="D266" t="inlineStr">
        <is>
          <t>JÄMTLANDS LÄN</t>
        </is>
      </c>
      <c r="E266" t="inlineStr">
        <is>
          <t>RAGUNDA</t>
        </is>
      </c>
      <c r="F266" t="inlineStr">
        <is>
          <t>SCA</t>
        </is>
      </c>
      <c r="G266" t="n">
        <v>7.1</v>
      </c>
      <c r="H266" t="n">
        <v>1</v>
      </c>
      <c r="I266" t="n">
        <v>4</v>
      </c>
      <c r="J266" t="n">
        <v>2</v>
      </c>
      <c r="K266" t="n">
        <v>0</v>
      </c>
      <c r="L266" t="n">
        <v>0</v>
      </c>
      <c r="M266" t="n">
        <v>0</v>
      </c>
      <c r="N266" t="n">
        <v>0</v>
      </c>
      <c r="O266" t="n">
        <v>2</v>
      </c>
      <c r="P266" t="n">
        <v>0</v>
      </c>
      <c r="Q266" t="n">
        <v>7</v>
      </c>
      <c r="R266" s="2" t="inlineStr">
        <is>
          <t>Kolflarnlav
Lunglav
Korallblylav
Skinnlav
Stor aspticka
Vårärt
Blåsippa</t>
        </is>
      </c>
      <c r="S266">
        <f>HYPERLINK("https://klasma.github.io/Logging_RAGUNDA/artfynd/A 56211-2020.xlsx")</f>
        <v/>
      </c>
      <c r="T266">
        <f>HYPERLINK("https://klasma.github.io/Logging_RAGUNDA/kartor/A 56211-2020.png")</f>
        <v/>
      </c>
      <c r="V266">
        <f>HYPERLINK("https://klasma.github.io/Logging_RAGUNDA/klagomål/A 56211-2020.docx")</f>
        <v/>
      </c>
      <c r="W266">
        <f>HYPERLINK("https://klasma.github.io/Logging_RAGUNDA/klagomålsmail/A 56211-2020.docx")</f>
        <v/>
      </c>
      <c r="X266">
        <f>HYPERLINK("https://klasma.github.io/Logging_RAGUNDA/tillsyn/A 56211-2020.docx")</f>
        <v/>
      </c>
      <c r="Y266">
        <f>HYPERLINK("https://klasma.github.io/Logging_RAGUNDA/tillsynsmail/A 56211-2020.docx")</f>
        <v/>
      </c>
    </row>
    <row r="267" ht="15" customHeight="1">
      <c r="A267" t="inlineStr">
        <is>
          <t>A 5987-2021</t>
        </is>
      </c>
      <c r="B267" s="1" t="n">
        <v>44231</v>
      </c>
      <c r="C267" s="1" t="n">
        <v>45182</v>
      </c>
      <c r="D267" t="inlineStr">
        <is>
          <t>JÄMTLANDS LÄN</t>
        </is>
      </c>
      <c r="E267" t="inlineStr">
        <is>
          <t>ÅRE</t>
        </is>
      </c>
      <c r="G267" t="n">
        <v>21.5</v>
      </c>
      <c r="H267" t="n">
        <v>0</v>
      </c>
      <c r="I267" t="n">
        <v>5</v>
      </c>
      <c r="J267" t="n">
        <v>2</v>
      </c>
      <c r="K267" t="n">
        <v>0</v>
      </c>
      <c r="L267" t="n">
        <v>0</v>
      </c>
      <c r="M267" t="n">
        <v>0</v>
      </c>
      <c r="N267" t="n">
        <v>0</v>
      </c>
      <c r="O267" t="n">
        <v>2</v>
      </c>
      <c r="P267" t="n">
        <v>0</v>
      </c>
      <c r="Q267" t="n">
        <v>7</v>
      </c>
      <c r="R267" s="2" t="inlineStr">
        <is>
          <t>Skrovellav
Vitgrynig nållav
Bårdlav
Skogshakmossa
Stuplav
Svart trolldruva
Svavelriska</t>
        </is>
      </c>
      <c r="S267">
        <f>HYPERLINK("https://klasma.github.io/Logging_ARE/artfynd/A 5987-2021.xlsx")</f>
        <v/>
      </c>
      <c r="T267">
        <f>HYPERLINK("https://klasma.github.io/Logging_ARE/kartor/A 5987-2021.png")</f>
        <v/>
      </c>
      <c r="V267">
        <f>HYPERLINK("https://klasma.github.io/Logging_ARE/klagomål/A 5987-2021.docx")</f>
        <v/>
      </c>
      <c r="W267">
        <f>HYPERLINK("https://klasma.github.io/Logging_ARE/klagomålsmail/A 5987-2021.docx")</f>
        <v/>
      </c>
      <c r="X267">
        <f>HYPERLINK("https://klasma.github.io/Logging_ARE/tillsyn/A 5987-2021.docx")</f>
        <v/>
      </c>
      <c r="Y267">
        <f>HYPERLINK("https://klasma.github.io/Logging_ARE/tillsynsmail/A 5987-2021.docx")</f>
        <v/>
      </c>
    </row>
    <row r="268" ht="15" customHeight="1">
      <c r="A268" t="inlineStr">
        <is>
          <t>A 16811-2021</t>
        </is>
      </c>
      <c r="B268" s="1" t="n">
        <v>44293</v>
      </c>
      <c r="C268" s="1" t="n">
        <v>45182</v>
      </c>
      <c r="D268" t="inlineStr">
        <is>
          <t>JÄMTLANDS LÄN</t>
        </is>
      </c>
      <c r="E268" t="inlineStr">
        <is>
          <t>BERG</t>
        </is>
      </c>
      <c r="G268" t="n">
        <v>22.9</v>
      </c>
      <c r="H268" t="n">
        <v>0</v>
      </c>
      <c r="I268" t="n">
        <v>1</v>
      </c>
      <c r="J268" t="n">
        <v>6</v>
      </c>
      <c r="K268" t="n">
        <v>0</v>
      </c>
      <c r="L268" t="n">
        <v>0</v>
      </c>
      <c r="M268" t="n">
        <v>0</v>
      </c>
      <c r="N268" t="n">
        <v>0</v>
      </c>
      <c r="O268" t="n">
        <v>6</v>
      </c>
      <c r="P268" t="n">
        <v>0</v>
      </c>
      <c r="Q268" t="n">
        <v>7</v>
      </c>
      <c r="R268" s="2" t="inlineStr">
        <is>
          <t>Gammelgransskål
Garnlav
Granticka
Rödbrun blekspik
Ullticka
Vitgrynig nållav
Vedticka</t>
        </is>
      </c>
      <c r="S268">
        <f>HYPERLINK("https://klasma.github.io/Logging_BERG/artfynd/A 16811-2021.xlsx")</f>
        <v/>
      </c>
      <c r="T268">
        <f>HYPERLINK("https://klasma.github.io/Logging_BERG/kartor/A 16811-2021.png")</f>
        <v/>
      </c>
      <c r="V268">
        <f>HYPERLINK("https://klasma.github.io/Logging_BERG/klagomål/A 16811-2021.docx")</f>
        <v/>
      </c>
      <c r="W268">
        <f>HYPERLINK("https://klasma.github.io/Logging_BERG/klagomålsmail/A 16811-2021.docx")</f>
        <v/>
      </c>
      <c r="X268">
        <f>HYPERLINK("https://klasma.github.io/Logging_BERG/tillsyn/A 16811-2021.docx")</f>
        <v/>
      </c>
      <c r="Y268">
        <f>HYPERLINK("https://klasma.github.io/Logging_BERG/tillsynsmail/A 16811-2021.docx")</f>
        <v/>
      </c>
    </row>
    <row r="269" ht="15" customHeight="1">
      <c r="A269" t="inlineStr">
        <is>
          <t>A 18525-2021</t>
        </is>
      </c>
      <c r="B269" s="1" t="n">
        <v>44306</v>
      </c>
      <c r="C269" s="1" t="n">
        <v>45182</v>
      </c>
      <c r="D269" t="inlineStr">
        <is>
          <t>JÄMTLANDS LÄN</t>
        </is>
      </c>
      <c r="E269" t="inlineStr">
        <is>
          <t>ÅRE</t>
        </is>
      </c>
      <c r="G269" t="n">
        <v>8.800000000000001</v>
      </c>
      <c r="H269" t="n">
        <v>0</v>
      </c>
      <c r="I269" t="n">
        <v>2</v>
      </c>
      <c r="J269" t="n">
        <v>4</v>
      </c>
      <c r="K269" t="n">
        <v>1</v>
      </c>
      <c r="L269" t="n">
        <v>0</v>
      </c>
      <c r="M269" t="n">
        <v>0</v>
      </c>
      <c r="N269" t="n">
        <v>0</v>
      </c>
      <c r="O269" t="n">
        <v>5</v>
      </c>
      <c r="P269" t="n">
        <v>1</v>
      </c>
      <c r="Q269" t="n">
        <v>7</v>
      </c>
      <c r="R269" s="2" t="inlineStr">
        <is>
          <t>Smalskaftslav
Gammelgransskål
Garnlav
Gränsticka
Skrovellav
Gytterlav
Stuplav</t>
        </is>
      </c>
      <c r="S269">
        <f>HYPERLINK("https://klasma.github.io/Logging_ARE/artfynd/A 18525-2021.xlsx")</f>
        <v/>
      </c>
      <c r="T269">
        <f>HYPERLINK("https://klasma.github.io/Logging_ARE/kartor/A 18525-2021.png")</f>
        <v/>
      </c>
      <c r="V269">
        <f>HYPERLINK("https://klasma.github.io/Logging_ARE/klagomål/A 18525-2021.docx")</f>
        <v/>
      </c>
      <c r="W269">
        <f>HYPERLINK("https://klasma.github.io/Logging_ARE/klagomålsmail/A 18525-2021.docx")</f>
        <v/>
      </c>
      <c r="X269">
        <f>HYPERLINK("https://klasma.github.io/Logging_ARE/tillsyn/A 18525-2021.docx")</f>
        <v/>
      </c>
      <c r="Y269">
        <f>HYPERLINK("https://klasma.github.io/Logging_ARE/tillsynsmail/A 18525-2021.docx")</f>
        <v/>
      </c>
    </row>
    <row r="270" ht="15" customHeight="1">
      <c r="A270" t="inlineStr">
        <is>
          <t>A 24169-2021</t>
        </is>
      </c>
      <c r="B270" s="1" t="n">
        <v>44336</v>
      </c>
      <c r="C270" s="1" t="n">
        <v>45182</v>
      </c>
      <c r="D270" t="inlineStr">
        <is>
          <t>JÄMTLANDS LÄN</t>
        </is>
      </c>
      <c r="E270" t="inlineStr">
        <is>
          <t>RAGUNDA</t>
        </is>
      </c>
      <c r="G270" t="n">
        <v>9.199999999999999</v>
      </c>
      <c r="H270" t="n">
        <v>3</v>
      </c>
      <c r="I270" t="n">
        <v>5</v>
      </c>
      <c r="J270" t="n">
        <v>2</v>
      </c>
      <c r="K270" t="n">
        <v>0</v>
      </c>
      <c r="L270" t="n">
        <v>0</v>
      </c>
      <c r="M270" t="n">
        <v>0</v>
      </c>
      <c r="N270" t="n">
        <v>0</v>
      </c>
      <c r="O270" t="n">
        <v>2</v>
      </c>
      <c r="P270" t="n">
        <v>0</v>
      </c>
      <c r="Q270" t="n">
        <v>7</v>
      </c>
      <c r="R270" s="2" t="inlineStr">
        <is>
          <t>Lunglav
Tretåig hackspett
Grönkulla
Guckusko
Luddlav
Stuplav
Ögonpyrola</t>
        </is>
      </c>
      <c r="S270">
        <f>HYPERLINK("https://klasma.github.io/Logging_RAGUNDA/artfynd/A 24169-2021.xlsx")</f>
        <v/>
      </c>
      <c r="T270">
        <f>HYPERLINK("https://klasma.github.io/Logging_RAGUNDA/kartor/A 24169-2021.png")</f>
        <v/>
      </c>
      <c r="V270">
        <f>HYPERLINK("https://klasma.github.io/Logging_RAGUNDA/klagomål/A 24169-2021.docx")</f>
        <v/>
      </c>
      <c r="W270">
        <f>HYPERLINK("https://klasma.github.io/Logging_RAGUNDA/klagomålsmail/A 24169-2021.docx")</f>
        <v/>
      </c>
      <c r="X270">
        <f>HYPERLINK("https://klasma.github.io/Logging_RAGUNDA/tillsyn/A 24169-2021.docx")</f>
        <v/>
      </c>
      <c r="Y270">
        <f>HYPERLINK("https://klasma.github.io/Logging_RAGUNDA/tillsynsmail/A 24169-2021.docx")</f>
        <v/>
      </c>
    </row>
    <row r="271" ht="15" customHeight="1">
      <c r="A271" t="inlineStr">
        <is>
          <t>A 31953-2021</t>
        </is>
      </c>
      <c r="B271" s="1" t="n">
        <v>44370</v>
      </c>
      <c r="C271" s="1" t="n">
        <v>45182</v>
      </c>
      <c r="D271" t="inlineStr">
        <is>
          <t>JÄMTLANDS LÄN</t>
        </is>
      </c>
      <c r="E271" t="inlineStr">
        <is>
          <t>ÅRE</t>
        </is>
      </c>
      <c r="G271" t="n">
        <v>24.8</v>
      </c>
      <c r="H271" t="n">
        <v>0</v>
      </c>
      <c r="I271" t="n">
        <v>2</v>
      </c>
      <c r="J271" t="n">
        <v>5</v>
      </c>
      <c r="K271" t="n">
        <v>0</v>
      </c>
      <c r="L271" t="n">
        <v>0</v>
      </c>
      <c r="M271" t="n">
        <v>0</v>
      </c>
      <c r="N271" t="n">
        <v>0</v>
      </c>
      <c r="O271" t="n">
        <v>5</v>
      </c>
      <c r="P271" t="n">
        <v>0</v>
      </c>
      <c r="Q271" t="n">
        <v>7</v>
      </c>
      <c r="R271" s="2" t="inlineStr">
        <is>
          <t>Brunpudrad nållav
Garnlav
Liten svartspik
Rödbrun blekspik
Vitgrynig nållav
Granriska
Luddlav</t>
        </is>
      </c>
      <c r="S271">
        <f>HYPERLINK("https://klasma.github.io/Logging_ARE/artfynd/A 31953-2021.xlsx")</f>
        <v/>
      </c>
      <c r="T271">
        <f>HYPERLINK("https://klasma.github.io/Logging_ARE/kartor/A 31953-2021.png")</f>
        <v/>
      </c>
      <c r="V271">
        <f>HYPERLINK("https://klasma.github.io/Logging_ARE/klagomål/A 31953-2021.docx")</f>
        <v/>
      </c>
      <c r="W271">
        <f>HYPERLINK("https://klasma.github.io/Logging_ARE/klagomålsmail/A 31953-2021.docx")</f>
        <v/>
      </c>
      <c r="X271">
        <f>HYPERLINK("https://klasma.github.io/Logging_ARE/tillsyn/A 31953-2021.docx")</f>
        <v/>
      </c>
      <c r="Y271">
        <f>HYPERLINK("https://klasma.github.io/Logging_ARE/tillsynsmail/A 31953-2021.docx")</f>
        <v/>
      </c>
    </row>
    <row r="272" ht="15" customHeight="1">
      <c r="A272" t="inlineStr">
        <is>
          <t>A 33196-2021</t>
        </is>
      </c>
      <c r="B272" s="1" t="n">
        <v>44376</v>
      </c>
      <c r="C272" s="1" t="n">
        <v>45182</v>
      </c>
      <c r="D272" t="inlineStr">
        <is>
          <t>JÄMTLANDS LÄN</t>
        </is>
      </c>
      <c r="E272" t="inlineStr">
        <is>
          <t>BERG</t>
        </is>
      </c>
      <c r="G272" t="n">
        <v>1</v>
      </c>
      <c r="H272" t="n">
        <v>2</v>
      </c>
      <c r="I272" t="n">
        <v>2</v>
      </c>
      <c r="J272" t="n">
        <v>4</v>
      </c>
      <c r="K272" t="n">
        <v>0</v>
      </c>
      <c r="L272" t="n">
        <v>0</v>
      </c>
      <c r="M272" t="n">
        <v>0</v>
      </c>
      <c r="N272" t="n">
        <v>0</v>
      </c>
      <c r="O272" t="n">
        <v>4</v>
      </c>
      <c r="P272" t="n">
        <v>0</v>
      </c>
      <c r="Q272" t="n">
        <v>7</v>
      </c>
      <c r="R272" s="2" t="inlineStr">
        <is>
          <t>Garnlav
Granticka
Knottrig blåslav
Tretåig hackspett
Norrlandslav
Ögonpyrola
Fläcknycklar</t>
        </is>
      </c>
      <c r="S272">
        <f>HYPERLINK("https://klasma.github.io/Logging_BERG/artfynd/A 33196-2021.xlsx")</f>
        <v/>
      </c>
      <c r="T272">
        <f>HYPERLINK("https://klasma.github.io/Logging_BERG/kartor/A 33196-2021.png")</f>
        <v/>
      </c>
      <c r="V272">
        <f>HYPERLINK("https://klasma.github.io/Logging_BERG/klagomål/A 33196-2021.docx")</f>
        <v/>
      </c>
      <c r="W272">
        <f>HYPERLINK("https://klasma.github.io/Logging_BERG/klagomålsmail/A 33196-2021.docx")</f>
        <v/>
      </c>
      <c r="X272">
        <f>HYPERLINK("https://klasma.github.io/Logging_BERG/tillsyn/A 33196-2021.docx")</f>
        <v/>
      </c>
      <c r="Y272">
        <f>HYPERLINK("https://klasma.github.io/Logging_BERG/tillsynsmail/A 33196-2021.docx")</f>
        <v/>
      </c>
    </row>
    <row r="273" ht="15" customHeight="1">
      <c r="A273" t="inlineStr">
        <is>
          <t>A 42828-2021</t>
        </is>
      </c>
      <c r="B273" s="1" t="n">
        <v>44430</v>
      </c>
      <c r="C273" s="1" t="n">
        <v>45182</v>
      </c>
      <c r="D273" t="inlineStr">
        <is>
          <t>JÄMTLANDS LÄN</t>
        </is>
      </c>
      <c r="E273" t="inlineStr">
        <is>
          <t>HÄRJEDALEN</t>
        </is>
      </c>
      <c r="F273" t="inlineStr">
        <is>
          <t>Sveaskog</t>
        </is>
      </c>
      <c r="G273" t="n">
        <v>1.7</v>
      </c>
      <c r="H273" t="n">
        <v>0</v>
      </c>
      <c r="I273" t="n">
        <v>1</v>
      </c>
      <c r="J273" t="n">
        <v>3</v>
      </c>
      <c r="K273" t="n">
        <v>3</v>
      </c>
      <c r="L273" t="n">
        <v>0</v>
      </c>
      <c r="M273" t="n">
        <v>0</v>
      </c>
      <c r="N273" t="n">
        <v>0</v>
      </c>
      <c r="O273" t="n">
        <v>6</v>
      </c>
      <c r="P273" t="n">
        <v>3</v>
      </c>
      <c r="Q273" t="n">
        <v>7</v>
      </c>
      <c r="R273" s="2" t="inlineStr">
        <is>
          <t>Fläckporing
Gräddporing
Smalfotad taggsvamp
Dvärgbägarlav
Nordtagging
Vaddporing
Dropptaggsvamp</t>
        </is>
      </c>
      <c r="S273">
        <f>HYPERLINK("https://klasma.github.io/Logging_HARJEDALEN/artfynd/A 42828-2021.xlsx")</f>
        <v/>
      </c>
      <c r="T273">
        <f>HYPERLINK("https://klasma.github.io/Logging_HARJEDALEN/kartor/A 42828-2021.png")</f>
        <v/>
      </c>
      <c r="V273">
        <f>HYPERLINK("https://klasma.github.io/Logging_HARJEDALEN/klagomål/A 42828-2021.docx")</f>
        <v/>
      </c>
      <c r="W273">
        <f>HYPERLINK("https://klasma.github.io/Logging_HARJEDALEN/klagomålsmail/A 42828-2021.docx")</f>
        <v/>
      </c>
      <c r="X273">
        <f>HYPERLINK("https://klasma.github.io/Logging_HARJEDALEN/tillsyn/A 42828-2021.docx")</f>
        <v/>
      </c>
      <c r="Y273">
        <f>HYPERLINK("https://klasma.github.io/Logging_HARJEDALEN/tillsynsmail/A 42828-2021.docx")</f>
        <v/>
      </c>
    </row>
    <row r="274" ht="15" customHeight="1">
      <c r="A274" t="inlineStr">
        <is>
          <t>A 45020-2021</t>
        </is>
      </c>
      <c r="B274" s="1" t="n">
        <v>44438</v>
      </c>
      <c r="C274" s="1" t="n">
        <v>45182</v>
      </c>
      <c r="D274" t="inlineStr">
        <is>
          <t>JÄMTLANDS LÄN</t>
        </is>
      </c>
      <c r="E274" t="inlineStr">
        <is>
          <t>RAGUNDA</t>
        </is>
      </c>
      <c r="F274" t="inlineStr">
        <is>
          <t>SCA</t>
        </is>
      </c>
      <c r="G274" t="n">
        <v>3.1</v>
      </c>
      <c r="H274" t="n">
        <v>0</v>
      </c>
      <c r="I274" t="n">
        <v>0</v>
      </c>
      <c r="J274" t="n">
        <v>6</v>
      </c>
      <c r="K274" t="n">
        <v>1</v>
      </c>
      <c r="L274" t="n">
        <v>0</v>
      </c>
      <c r="M274" t="n">
        <v>0</v>
      </c>
      <c r="N274" t="n">
        <v>0</v>
      </c>
      <c r="O274" t="n">
        <v>7</v>
      </c>
      <c r="P274" t="n">
        <v>1</v>
      </c>
      <c r="Q274" t="n">
        <v>7</v>
      </c>
      <c r="R274" s="2" t="inlineStr">
        <is>
          <t>Fläckporing
Blanksvart spiklav
Dvärgbägarlav
Mörk kolflarnlav
Nordtagging
Vedskivlav
Vitplätt</t>
        </is>
      </c>
      <c r="S274">
        <f>HYPERLINK("https://klasma.github.io/Logging_RAGUNDA/artfynd/A 45020-2021.xlsx")</f>
        <v/>
      </c>
      <c r="T274">
        <f>HYPERLINK("https://klasma.github.io/Logging_RAGUNDA/kartor/A 45020-2021.png")</f>
        <v/>
      </c>
      <c r="V274">
        <f>HYPERLINK("https://klasma.github.io/Logging_RAGUNDA/klagomål/A 45020-2021.docx")</f>
        <v/>
      </c>
      <c r="W274">
        <f>HYPERLINK("https://klasma.github.io/Logging_RAGUNDA/klagomålsmail/A 45020-2021.docx")</f>
        <v/>
      </c>
      <c r="X274">
        <f>HYPERLINK("https://klasma.github.io/Logging_RAGUNDA/tillsyn/A 45020-2021.docx")</f>
        <v/>
      </c>
      <c r="Y274">
        <f>HYPERLINK("https://klasma.github.io/Logging_RAGUNDA/tillsynsmail/A 45020-2021.docx")</f>
        <v/>
      </c>
    </row>
    <row r="275" ht="15" customHeight="1">
      <c r="A275" t="inlineStr">
        <is>
          <t>A 61448-2021</t>
        </is>
      </c>
      <c r="B275" s="1" t="n">
        <v>44500</v>
      </c>
      <c r="C275" s="1" t="n">
        <v>45182</v>
      </c>
      <c r="D275" t="inlineStr">
        <is>
          <t>JÄMTLANDS LÄN</t>
        </is>
      </c>
      <c r="E275" t="inlineStr">
        <is>
          <t>KROKOM</t>
        </is>
      </c>
      <c r="G275" t="n">
        <v>10.5</v>
      </c>
      <c r="H275" t="n">
        <v>2</v>
      </c>
      <c r="I275" t="n">
        <v>3</v>
      </c>
      <c r="J275" t="n">
        <v>2</v>
      </c>
      <c r="K275" t="n">
        <v>1</v>
      </c>
      <c r="L275" t="n">
        <v>0</v>
      </c>
      <c r="M275" t="n">
        <v>0</v>
      </c>
      <c r="N275" t="n">
        <v>0</v>
      </c>
      <c r="O275" t="n">
        <v>3</v>
      </c>
      <c r="P275" t="n">
        <v>1</v>
      </c>
      <c r="Q275" t="n">
        <v>7</v>
      </c>
      <c r="R275" s="2" t="inlineStr">
        <is>
          <t>Rynkskinn
Doftskinn
Ullticka
Kransrams
Tvåblad
Vårärt
Blåsippa</t>
        </is>
      </c>
      <c r="S275">
        <f>HYPERLINK("https://klasma.github.io/Logging_KROKOM/artfynd/A 61448-2021.xlsx")</f>
        <v/>
      </c>
      <c r="T275">
        <f>HYPERLINK("https://klasma.github.io/Logging_KROKOM/kartor/A 61448-2021.png")</f>
        <v/>
      </c>
      <c r="V275">
        <f>HYPERLINK("https://klasma.github.io/Logging_KROKOM/klagomål/A 61448-2021.docx")</f>
        <v/>
      </c>
      <c r="W275">
        <f>HYPERLINK("https://klasma.github.io/Logging_KROKOM/klagomålsmail/A 61448-2021.docx")</f>
        <v/>
      </c>
      <c r="X275">
        <f>HYPERLINK("https://klasma.github.io/Logging_KROKOM/tillsyn/A 61448-2021.docx")</f>
        <v/>
      </c>
      <c r="Y275">
        <f>HYPERLINK("https://klasma.github.io/Logging_KROKOM/tillsynsmail/A 61448-2021.docx")</f>
        <v/>
      </c>
    </row>
    <row r="276" ht="15" customHeight="1">
      <c r="A276" t="inlineStr">
        <is>
          <t>A 63509-2021</t>
        </is>
      </c>
      <c r="B276" s="1" t="n">
        <v>44504</v>
      </c>
      <c r="C276" s="1" t="n">
        <v>45182</v>
      </c>
      <c r="D276" t="inlineStr">
        <is>
          <t>JÄMTLANDS LÄN</t>
        </is>
      </c>
      <c r="E276" t="inlineStr">
        <is>
          <t>STRÖMSUND</t>
        </is>
      </c>
      <c r="F276" t="inlineStr">
        <is>
          <t>SCA</t>
        </is>
      </c>
      <c r="G276" t="n">
        <v>163.4</v>
      </c>
      <c r="H276" t="n">
        <v>0</v>
      </c>
      <c r="I276" t="n">
        <v>2</v>
      </c>
      <c r="J276" t="n">
        <v>3</v>
      </c>
      <c r="K276" t="n">
        <v>2</v>
      </c>
      <c r="L276" t="n">
        <v>0</v>
      </c>
      <c r="M276" t="n">
        <v>0</v>
      </c>
      <c r="N276" t="n">
        <v>0</v>
      </c>
      <c r="O276" t="n">
        <v>5</v>
      </c>
      <c r="P276" t="n">
        <v>2</v>
      </c>
      <c r="Q276" t="n">
        <v>7</v>
      </c>
      <c r="R276" s="2" t="inlineStr">
        <is>
          <t>Liten sotlav
Norsk näverlav
Gränsticka
Vedtrappmossa
Vitgrynig nållav
Trådticka
Vanlig rörsvepemossa</t>
        </is>
      </c>
      <c r="S276">
        <f>HYPERLINK("https://klasma.github.io/Logging_STROMSUND/artfynd/A 63509-2021.xlsx")</f>
        <v/>
      </c>
      <c r="T276">
        <f>HYPERLINK("https://klasma.github.io/Logging_STROMSUND/kartor/A 63509-2021.png")</f>
        <v/>
      </c>
      <c r="V276">
        <f>HYPERLINK("https://klasma.github.io/Logging_STROMSUND/klagomål/A 63509-2021.docx")</f>
        <v/>
      </c>
      <c r="W276">
        <f>HYPERLINK("https://klasma.github.io/Logging_STROMSUND/klagomålsmail/A 63509-2021.docx")</f>
        <v/>
      </c>
      <c r="X276">
        <f>HYPERLINK("https://klasma.github.io/Logging_STROMSUND/tillsyn/A 63509-2021.docx")</f>
        <v/>
      </c>
      <c r="Y276">
        <f>HYPERLINK("https://klasma.github.io/Logging_STROMSUND/tillsynsmail/A 63509-2021.docx")</f>
        <v/>
      </c>
    </row>
    <row r="277" ht="15" customHeight="1">
      <c r="A277" t="inlineStr">
        <is>
          <t>A 65938-2021</t>
        </is>
      </c>
      <c r="B277" s="1" t="n">
        <v>44517</v>
      </c>
      <c r="C277" s="1" t="n">
        <v>45182</v>
      </c>
      <c r="D277" t="inlineStr">
        <is>
          <t>JÄMTLANDS LÄN</t>
        </is>
      </c>
      <c r="E277" t="inlineStr">
        <is>
          <t>ÖSTERSUND</t>
        </is>
      </c>
      <c r="G277" t="n">
        <v>4.4</v>
      </c>
      <c r="H277" t="n">
        <v>4</v>
      </c>
      <c r="I277" t="n">
        <v>0</v>
      </c>
      <c r="J277" t="n">
        <v>4</v>
      </c>
      <c r="K277" t="n">
        <v>2</v>
      </c>
      <c r="L277" t="n">
        <v>0</v>
      </c>
      <c r="M277" t="n">
        <v>0</v>
      </c>
      <c r="N277" t="n">
        <v>0</v>
      </c>
      <c r="O277" t="n">
        <v>6</v>
      </c>
      <c r="P277" t="n">
        <v>2</v>
      </c>
      <c r="Q277" t="n">
        <v>7</v>
      </c>
      <c r="R277" s="2" t="inlineStr">
        <is>
          <t>Knärot
Sprickporing
Doftskinn
Garnlav
Talltita
Tretåig hackspett
Revlummer</t>
        </is>
      </c>
      <c r="S277">
        <f>HYPERLINK("https://klasma.github.io/Logging_OSTERSUND/artfynd/A 65938-2021.xlsx")</f>
        <v/>
      </c>
      <c r="T277">
        <f>HYPERLINK("https://klasma.github.io/Logging_OSTERSUND/kartor/A 65938-2021.png")</f>
        <v/>
      </c>
      <c r="U277">
        <f>HYPERLINK("https://klasma.github.io/Logging_OSTERSUND/knärot/A 65938-2021.png")</f>
        <v/>
      </c>
      <c r="V277">
        <f>HYPERLINK("https://klasma.github.io/Logging_OSTERSUND/klagomål/A 65938-2021.docx")</f>
        <v/>
      </c>
      <c r="W277">
        <f>HYPERLINK("https://klasma.github.io/Logging_OSTERSUND/klagomålsmail/A 65938-2021.docx")</f>
        <v/>
      </c>
      <c r="X277">
        <f>HYPERLINK("https://klasma.github.io/Logging_OSTERSUND/tillsyn/A 65938-2021.docx")</f>
        <v/>
      </c>
      <c r="Y277">
        <f>HYPERLINK("https://klasma.github.io/Logging_OSTERSUND/tillsynsmail/A 65938-2021.docx")</f>
        <v/>
      </c>
    </row>
    <row r="278" ht="15" customHeight="1">
      <c r="A278" t="inlineStr">
        <is>
          <t>A 74070-2021</t>
        </is>
      </c>
      <c r="B278" s="1" t="n">
        <v>44553</v>
      </c>
      <c r="C278" s="1" t="n">
        <v>45182</v>
      </c>
      <c r="D278" t="inlineStr">
        <is>
          <t>JÄMTLANDS LÄN</t>
        </is>
      </c>
      <c r="E278" t="inlineStr">
        <is>
          <t>HÄRJEDALEN</t>
        </is>
      </c>
      <c r="F278" t="inlineStr">
        <is>
          <t>Sveaskog</t>
        </is>
      </c>
      <c r="G278" t="n">
        <v>20</v>
      </c>
      <c r="H278" t="n">
        <v>1</v>
      </c>
      <c r="I278" t="n">
        <v>0</v>
      </c>
      <c r="J278" t="n">
        <v>6</v>
      </c>
      <c r="K278" t="n">
        <v>1</v>
      </c>
      <c r="L278" t="n">
        <v>0</v>
      </c>
      <c r="M278" t="n">
        <v>0</v>
      </c>
      <c r="N278" t="n">
        <v>0</v>
      </c>
      <c r="O278" t="n">
        <v>7</v>
      </c>
      <c r="P278" t="n">
        <v>1</v>
      </c>
      <c r="Q278" t="n">
        <v>7</v>
      </c>
      <c r="R278" s="2" t="inlineStr">
        <is>
          <t>Varglavsknöl
Blanksvart spiklav
Garnlav
Kolflarnlav
Mörk kolflarnlav
Varglav
Vedflamlav</t>
        </is>
      </c>
      <c r="S278">
        <f>HYPERLINK("https://klasma.github.io/Logging_HARJEDALEN/artfynd/A 74070-2021.xlsx")</f>
        <v/>
      </c>
      <c r="T278">
        <f>HYPERLINK("https://klasma.github.io/Logging_HARJEDALEN/kartor/A 74070-2021.png")</f>
        <v/>
      </c>
      <c r="V278">
        <f>HYPERLINK("https://klasma.github.io/Logging_HARJEDALEN/klagomål/A 74070-2021.docx")</f>
        <v/>
      </c>
      <c r="W278">
        <f>HYPERLINK("https://klasma.github.io/Logging_HARJEDALEN/klagomålsmail/A 74070-2021.docx")</f>
        <v/>
      </c>
      <c r="X278">
        <f>HYPERLINK("https://klasma.github.io/Logging_HARJEDALEN/tillsyn/A 74070-2021.docx")</f>
        <v/>
      </c>
      <c r="Y278">
        <f>HYPERLINK("https://klasma.github.io/Logging_HARJEDALEN/tillsynsmail/A 74070-2021.docx")</f>
        <v/>
      </c>
    </row>
    <row r="279" ht="15" customHeight="1">
      <c r="A279" t="inlineStr">
        <is>
          <t>A 1571-2022</t>
        </is>
      </c>
      <c r="B279" s="1" t="n">
        <v>44573</v>
      </c>
      <c r="C279" s="1" t="n">
        <v>45182</v>
      </c>
      <c r="D279" t="inlineStr">
        <is>
          <t>JÄMTLANDS LÄN</t>
        </is>
      </c>
      <c r="E279" t="inlineStr">
        <is>
          <t>BERG</t>
        </is>
      </c>
      <c r="G279" t="n">
        <v>11.9</v>
      </c>
      <c r="H279" t="n">
        <v>0</v>
      </c>
      <c r="I279" t="n">
        <v>2</v>
      </c>
      <c r="J279" t="n">
        <v>4</v>
      </c>
      <c r="K279" t="n">
        <v>1</v>
      </c>
      <c r="L279" t="n">
        <v>0</v>
      </c>
      <c r="M279" t="n">
        <v>0</v>
      </c>
      <c r="N279" t="n">
        <v>0</v>
      </c>
      <c r="O279" t="n">
        <v>5</v>
      </c>
      <c r="P279" t="n">
        <v>1</v>
      </c>
      <c r="Q279" t="n">
        <v>7</v>
      </c>
      <c r="R279" s="2" t="inlineStr">
        <is>
          <t>Rynkskinn
Granticka
Knottrig blåslav
Rosenticka
Ullticka
Vedticka
Ögonpyrola</t>
        </is>
      </c>
      <c r="S279">
        <f>HYPERLINK("https://klasma.github.io/Logging_BERG/artfynd/A 1571-2022.xlsx")</f>
        <v/>
      </c>
      <c r="T279">
        <f>HYPERLINK("https://klasma.github.io/Logging_BERG/kartor/A 1571-2022.png")</f>
        <v/>
      </c>
      <c r="V279">
        <f>HYPERLINK("https://klasma.github.io/Logging_BERG/klagomål/A 1571-2022.docx")</f>
        <v/>
      </c>
      <c r="W279">
        <f>HYPERLINK("https://klasma.github.io/Logging_BERG/klagomålsmail/A 1571-2022.docx")</f>
        <v/>
      </c>
      <c r="X279">
        <f>HYPERLINK("https://klasma.github.io/Logging_BERG/tillsyn/A 1571-2022.docx")</f>
        <v/>
      </c>
      <c r="Y279">
        <f>HYPERLINK("https://klasma.github.io/Logging_BERG/tillsynsmail/A 1571-2022.docx")</f>
        <v/>
      </c>
    </row>
    <row r="280" ht="15" customHeight="1">
      <c r="A280" t="inlineStr">
        <is>
          <t>A 3433-2022</t>
        </is>
      </c>
      <c r="B280" s="1" t="n">
        <v>44585</v>
      </c>
      <c r="C280" s="1" t="n">
        <v>45182</v>
      </c>
      <c r="D280" t="inlineStr">
        <is>
          <t>JÄMTLANDS LÄN</t>
        </is>
      </c>
      <c r="E280" t="inlineStr">
        <is>
          <t>KROKOM</t>
        </is>
      </c>
      <c r="F280" t="inlineStr">
        <is>
          <t>Kyrkan</t>
        </is>
      </c>
      <c r="G280" t="n">
        <v>14.6</v>
      </c>
      <c r="H280" t="n">
        <v>1</v>
      </c>
      <c r="I280" t="n">
        <v>1</v>
      </c>
      <c r="J280" t="n">
        <v>6</v>
      </c>
      <c r="K280" t="n">
        <v>0</v>
      </c>
      <c r="L280" t="n">
        <v>0</v>
      </c>
      <c r="M280" t="n">
        <v>0</v>
      </c>
      <c r="N280" t="n">
        <v>0</v>
      </c>
      <c r="O280" t="n">
        <v>6</v>
      </c>
      <c r="P280" t="n">
        <v>0</v>
      </c>
      <c r="Q280" t="n">
        <v>7</v>
      </c>
      <c r="R280" s="2" t="inlineStr">
        <is>
          <t>Garnlav
Kolflarnlav
Liten svartspik
Lunglav
Tretåig hackspett
Vitgrynig nållav
Bårdlav</t>
        </is>
      </c>
      <c r="S280">
        <f>HYPERLINK("https://klasma.github.io/Logging_KROKOM/artfynd/A 3433-2022.xlsx")</f>
        <v/>
      </c>
      <c r="T280">
        <f>HYPERLINK("https://klasma.github.io/Logging_KROKOM/kartor/A 3433-2022.png")</f>
        <v/>
      </c>
      <c r="V280">
        <f>HYPERLINK("https://klasma.github.io/Logging_KROKOM/klagomål/A 3433-2022.docx")</f>
        <v/>
      </c>
      <c r="W280">
        <f>HYPERLINK("https://klasma.github.io/Logging_KROKOM/klagomålsmail/A 3433-2022.docx")</f>
        <v/>
      </c>
      <c r="X280">
        <f>HYPERLINK("https://klasma.github.io/Logging_KROKOM/tillsyn/A 3433-2022.docx")</f>
        <v/>
      </c>
      <c r="Y280">
        <f>HYPERLINK("https://klasma.github.io/Logging_KROKOM/tillsynsmail/A 3433-2022.docx")</f>
        <v/>
      </c>
    </row>
    <row r="281" ht="15" customHeight="1">
      <c r="A281" t="inlineStr">
        <is>
          <t>A 13987-2022</t>
        </is>
      </c>
      <c r="B281" s="1" t="n">
        <v>44650</v>
      </c>
      <c r="C281" s="1" t="n">
        <v>45182</v>
      </c>
      <c r="D281" t="inlineStr">
        <is>
          <t>JÄMTLANDS LÄN</t>
        </is>
      </c>
      <c r="E281" t="inlineStr">
        <is>
          <t>HÄRJEDALEN</t>
        </is>
      </c>
      <c r="F281" t="inlineStr">
        <is>
          <t>Holmen skog AB</t>
        </is>
      </c>
      <c r="G281" t="n">
        <v>17.4</v>
      </c>
      <c r="H281" t="n">
        <v>1</v>
      </c>
      <c r="I281" t="n">
        <v>0</v>
      </c>
      <c r="J281" t="n">
        <v>7</v>
      </c>
      <c r="K281" t="n">
        <v>0</v>
      </c>
      <c r="L281" t="n">
        <v>0</v>
      </c>
      <c r="M281" t="n">
        <v>0</v>
      </c>
      <c r="N281" t="n">
        <v>0</v>
      </c>
      <c r="O281" t="n">
        <v>7</v>
      </c>
      <c r="P281" t="n">
        <v>0</v>
      </c>
      <c r="Q281" t="n">
        <v>7</v>
      </c>
      <c r="R281" s="2" t="inlineStr">
        <is>
          <t>Blanksvart spiklav
Mörk kolflarnlav
Nordtagging
Varglav
Vedflamlav
Vedskivlav
Violettgrå tagellav</t>
        </is>
      </c>
      <c r="S281">
        <f>HYPERLINK("https://klasma.github.io/Logging_HARJEDALEN/artfynd/A 13987-2022.xlsx")</f>
        <v/>
      </c>
      <c r="T281">
        <f>HYPERLINK("https://klasma.github.io/Logging_HARJEDALEN/kartor/A 13987-2022.png")</f>
        <v/>
      </c>
      <c r="V281">
        <f>HYPERLINK("https://klasma.github.io/Logging_HARJEDALEN/klagomål/A 13987-2022.docx")</f>
        <v/>
      </c>
      <c r="W281">
        <f>HYPERLINK("https://klasma.github.io/Logging_HARJEDALEN/klagomålsmail/A 13987-2022.docx")</f>
        <v/>
      </c>
      <c r="X281">
        <f>HYPERLINK("https://klasma.github.io/Logging_HARJEDALEN/tillsyn/A 13987-2022.docx")</f>
        <v/>
      </c>
      <c r="Y281">
        <f>HYPERLINK("https://klasma.github.io/Logging_HARJEDALEN/tillsynsmail/A 13987-2022.docx")</f>
        <v/>
      </c>
    </row>
    <row r="282" ht="15" customHeight="1">
      <c r="A282" t="inlineStr">
        <is>
          <t>A 14293-2022</t>
        </is>
      </c>
      <c r="B282" s="1" t="n">
        <v>44651</v>
      </c>
      <c r="C282" s="1" t="n">
        <v>45182</v>
      </c>
      <c r="D282" t="inlineStr">
        <is>
          <t>JÄMTLANDS LÄN</t>
        </is>
      </c>
      <c r="E282" t="inlineStr">
        <is>
          <t>STRÖMSUND</t>
        </is>
      </c>
      <c r="F282" t="inlineStr">
        <is>
          <t>SCA</t>
        </is>
      </c>
      <c r="G282" t="n">
        <v>0.4</v>
      </c>
      <c r="H282" t="n">
        <v>1</v>
      </c>
      <c r="I282" t="n">
        <v>2</v>
      </c>
      <c r="J282" t="n">
        <v>5</v>
      </c>
      <c r="K282" t="n">
        <v>0</v>
      </c>
      <c r="L282" t="n">
        <v>0</v>
      </c>
      <c r="M282" t="n">
        <v>0</v>
      </c>
      <c r="N282" t="n">
        <v>0</v>
      </c>
      <c r="O282" t="n">
        <v>5</v>
      </c>
      <c r="P282" t="n">
        <v>0</v>
      </c>
      <c r="Q282" t="n">
        <v>7</v>
      </c>
      <c r="R282" s="2" t="inlineStr">
        <is>
          <t>Garnlav
Lunglav
Skrovellav
Vedtrappmossa
Vitgrynig nållav
Bårdlav
Spindelblomster</t>
        </is>
      </c>
      <c r="S282">
        <f>HYPERLINK("https://klasma.github.io/Logging_STROMSUND/artfynd/A 14293-2022.xlsx")</f>
        <v/>
      </c>
      <c r="T282">
        <f>HYPERLINK("https://klasma.github.io/Logging_STROMSUND/kartor/A 14293-2022.png")</f>
        <v/>
      </c>
      <c r="V282">
        <f>HYPERLINK("https://klasma.github.io/Logging_STROMSUND/klagomål/A 14293-2022.docx")</f>
        <v/>
      </c>
      <c r="W282">
        <f>HYPERLINK("https://klasma.github.io/Logging_STROMSUND/klagomålsmail/A 14293-2022.docx")</f>
        <v/>
      </c>
      <c r="X282">
        <f>HYPERLINK("https://klasma.github.io/Logging_STROMSUND/tillsyn/A 14293-2022.docx")</f>
        <v/>
      </c>
      <c r="Y282">
        <f>HYPERLINK("https://klasma.github.io/Logging_STROMSUND/tillsynsmail/A 14293-2022.docx")</f>
        <v/>
      </c>
    </row>
    <row r="283" ht="15" customHeight="1">
      <c r="A283" t="inlineStr">
        <is>
          <t>A 15665-2022</t>
        </is>
      </c>
      <c r="B283" s="1" t="n">
        <v>44662</v>
      </c>
      <c r="C283" s="1" t="n">
        <v>45182</v>
      </c>
      <c r="D283" t="inlineStr">
        <is>
          <t>JÄMTLANDS LÄN</t>
        </is>
      </c>
      <c r="E283" t="inlineStr">
        <is>
          <t>RAGUNDA</t>
        </is>
      </c>
      <c r="F283" t="inlineStr">
        <is>
          <t>SCA</t>
        </is>
      </c>
      <c r="G283" t="n">
        <v>4.8</v>
      </c>
      <c r="H283" t="n">
        <v>3</v>
      </c>
      <c r="I283" t="n">
        <v>1</v>
      </c>
      <c r="J283" t="n">
        <v>5</v>
      </c>
      <c r="K283" t="n">
        <v>0</v>
      </c>
      <c r="L283" t="n">
        <v>0</v>
      </c>
      <c r="M283" t="n">
        <v>0</v>
      </c>
      <c r="N283" t="n">
        <v>0</v>
      </c>
      <c r="O283" t="n">
        <v>5</v>
      </c>
      <c r="P283" t="n">
        <v>0</v>
      </c>
      <c r="Q283" t="n">
        <v>7</v>
      </c>
      <c r="R283" s="2" t="inlineStr">
        <is>
          <t>Garnlav
Granticka
Spillkråka
Tretåig hackspett
Ullticka
Vedticka
Revlummer</t>
        </is>
      </c>
      <c r="S283">
        <f>HYPERLINK("https://klasma.github.io/Logging_RAGUNDA/artfynd/A 15665-2022.xlsx")</f>
        <v/>
      </c>
      <c r="T283">
        <f>HYPERLINK("https://klasma.github.io/Logging_RAGUNDA/kartor/A 15665-2022.png")</f>
        <v/>
      </c>
      <c r="V283">
        <f>HYPERLINK("https://klasma.github.io/Logging_RAGUNDA/klagomål/A 15665-2022.docx")</f>
        <v/>
      </c>
      <c r="W283">
        <f>HYPERLINK("https://klasma.github.io/Logging_RAGUNDA/klagomålsmail/A 15665-2022.docx")</f>
        <v/>
      </c>
      <c r="X283">
        <f>HYPERLINK("https://klasma.github.io/Logging_RAGUNDA/tillsyn/A 15665-2022.docx")</f>
        <v/>
      </c>
      <c r="Y283">
        <f>HYPERLINK("https://klasma.github.io/Logging_RAGUNDA/tillsynsmail/A 15665-2022.docx")</f>
        <v/>
      </c>
    </row>
    <row r="284" ht="15" customHeight="1">
      <c r="A284" t="inlineStr">
        <is>
          <t>A 20169-2022</t>
        </is>
      </c>
      <c r="B284" s="1" t="n">
        <v>44698</v>
      </c>
      <c r="C284" s="1" t="n">
        <v>45182</v>
      </c>
      <c r="D284" t="inlineStr">
        <is>
          <t>JÄMTLANDS LÄN</t>
        </is>
      </c>
      <c r="E284" t="inlineStr">
        <is>
          <t>KROKOM</t>
        </is>
      </c>
      <c r="G284" t="n">
        <v>33.6</v>
      </c>
      <c r="H284" t="n">
        <v>2</v>
      </c>
      <c r="I284" t="n">
        <v>3</v>
      </c>
      <c r="J284" t="n">
        <v>4</v>
      </c>
      <c r="K284" t="n">
        <v>0</v>
      </c>
      <c r="L284" t="n">
        <v>0</v>
      </c>
      <c r="M284" t="n">
        <v>0</v>
      </c>
      <c r="N284" t="n">
        <v>0</v>
      </c>
      <c r="O284" t="n">
        <v>4</v>
      </c>
      <c r="P284" t="n">
        <v>0</v>
      </c>
      <c r="Q284" t="n">
        <v>7</v>
      </c>
      <c r="R284" s="2" t="inlineStr">
        <is>
          <t>Gammelgransskål
Granticka
Tretåig hackspett
Vitgrynig nållav
Bårdlav
Spindelblomster
Stuplav</t>
        </is>
      </c>
      <c r="S284">
        <f>HYPERLINK("https://klasma.github.io/Logging_KROKOM/artfynd/A 20169-2022.xlsx")</f>
        <v/>
      </c>
      <c r="T284">
        <f>HYPERLINK("https://klasma.github.io/Logging_KROKOM/kartor/A 20169-2022.png")</f>
        <v/>
      </c>
      <c r="V284">
        <f>HYPERLINK("https://klasma.github.io/Logging_KROKOM/klagomål/A 20169-2022.docx")</f>
        <v/>
      </c>
      <c r="W284">
        <f>HYPERLINK("https://klasma.github.io/Logging_KROKOM/klagomålsmail/A 20169-2022.docx")</f>
        <v/>
      </c>
      <c r="X284">
        <f>HYPERLINK("https://klasma.github.io/Logging_KROKOM/tillsyn/A 20169-2022.docx")</f>
        <v/>
      </c>
      <c r="Y284">
        <f>HYPERLINK("https://klasma.github.io/Logging_KROKOM/tillsynsmail/A 20169-2022.docx")</f>
        <v/>
      </c>
    </row>
    <row r="285" ht="15" customHeight="1">
      <c r="A285" t="inlineStr">
        <is>
          <t>A 36693-2022</t>
        </is>
      </c>
      <c r="B285" s="1" t="n">
        <v>44804</v>
      </c>
      <c r="C285" s="1" t="n">
        <v>45182</v>
      </c>
      <c r="D285" t="inlineStr">
        <is>
          <t>JÄMTLANDS LÄN</t>
        </is>
      </c>
      <c r="E285" t="inlineStr">
        <is>
          <t>RAGUNDA</t>
        </is>
      </c>
      <c r="F285" t="inlineStr">
        <is>
          <t>SCA</t>
        </is>
      </c>
      <c r="G285" t="n">
        <v>9.1</v>
      </c>
      <c r="H285" t="n">
        <v>2</v>
      </c>
      <c r="I285" t="n">
        <v>0</v>
      </c>
      <c r="J285" t="n">
        <v>7</v>
      </c>
      <c r="K285" t="n">
        <v>0</v>
      </c>
      <c r="L285" t="n">
        <v>0</v>
      </c>
      <c r="M285" t="n">
        <v>0</v>
      </c>
      <c r="N285" t="n">
        <v>0</v>
      </c>
      <c r="O285" t="n">
        <v>7</v>
      </c>
      <c r="P285" t="n">
        <v>0</v>
      </c>
      <c r="Q285" t="n">
        <v>7</v>
      </c>
      <c r="R285" s="2" t="inlineStr">
        <is>
          <t>Garnlav
Harticka
Lunglav
Talltita
Tretåig hackspett
Ullticka
Vitgrynig nållav</t>
        </is>
      </c>
      <c r="S285">
        <f>HYPERLINK("https://klasma.github.io/Logging_RAGUNDA/artfynd/A 36693-2022.xlsx")</f>
        <v/>
      </c>
      <c r="T285">
        <f>HYPERLINK("https://klasma.github.io/Logging_RAGUNDA/kartor/A 36693-2022.png")</f>
        <v/>
      </c>
      <c r="V285">
        <f>HYPERLINK("https://klasma.github.io/Logging_RAGUNDA/klagomål/A 36693-2022.docx")</f>
        <v/>
      </c>
      <c r="W285">
        <f>HYPERLINK("https://klasma.github.io/Logging_RAGUNDA/klagomålsmail/A 36693-2022.docx")</f>
        <v/>
      </c>
      <c r="X285">
        <f>HYPERLINK("https://klasma.github.io/Logging_RAGUNDA/tillsyn/A 36693-2022.docx")</f>
        <v/>
      </c>
      <c r="Y285">
        <f>HYPERLINK("https://klasma.github.io/Logging_RAGUNDA/tillsynsmail/A 36693-2022.docx")</f>
        <v/>
      </c>
    </row>
    <row r="286" ht="15" customHeight="1">
      <c r="A286" t="inlineStr">
        <is>
          <t>A 37406-2022</t>
        </is>
      </c>
      <c r="B286" s="1" t="n">
        <v>44806</v>
      </c>
      <c r="C286" s="1" t="n">
        <v>45182</v>
      </c>
      <c r="D286" t="inlineStr">
        <is>
          <t>JÄMTLANDS LÄN</t>
        </is>
      </c>
      <c r="E286" t="inlineStr">
        <is>
          <t>BERG</t>
        </is>
      </c>
      <c r="G286" t="n">
        <v>11.3</v>
      </c>
      <c r="H286" t="n">
        <v>1</v>
      </c>
      <c r="I286" t="n">
        <v>0</v>
      </c>
      <c r="J286" t="n">
        <v>7</v>
      </c>
      <c r="K286" t="n">
        <v>0</v>
      </c>
      <c r="L286" t="n">
        <v>0</v>
      </c>
      <c r="M286" t="n">
        <v>0</v>
      </c>
      <c r="N286" t="n">
        <v>0</v>
      </c>
      <c r="O286" t="n">
        <v>7</v>
      </c>
      <c r="P286" t="n">
        <v>0</v>
      </c>
      <c r="Q286" t="n">
        <v>7</v>
      </c>
      <c r="R286" s="2" t="inlineStr">
        <is>
          <t>Gammelgransskål
Garnlav
Granticka
Gränsticka
Knottrig blåslav
Tretåig hackspett
Vitgrynig nållav</t>
        </is>
      </c>
      <c r="S286">
        <f>HYPERLINK("https://klasma.github.io/Logging_BERG/artfynd/A 37406-2022.xlsx")</f>
        <v/>
      </c>
      <c r="T286">
        <f>HYPERLINK("https://klasma.github.io/Logging_BERG/kartor/A 37406-2022.png")</f>
        <v/>
      </c>
      <c r="V286">
        <f>HYPERLINK("https://klasma.github.io/Logging_BERG/klagomål/A 37406-2022.docx")</f>
        <v/>
      </c>
      <c r="W286">
        <f>HYPERLINK("https://klasma.github.io/Logging_BERG/klagomålsmail/A 37406-2022.docx")</f>
        <v/>
      </c>
      <c r="X286">
        <f>HYPERLINK("https://klasma.github.io/Logging_BERG/tillsyn/A 37406-2022.docx")</f>
        <v/>
      </c>
      <c r="Y286">
        <f>HYPERLINK("https://klasma.github.io/Logging_BERG/tillsynsmail/A 37406-2022.docx")</f>
        <v/>
      </c>
    </row>
    <row r="287" ht="15" customHeight="1">
      <c r="A287" t="inlineStr">
        <is>
          <t>A 41493-2022</t>
        </is>
      </c>
      <c r="B287" s="1" t="n">
        <v>44826</v>
      </c>
      <c r="C287" s="1" t="n">
        <v>45182</v>
      </c>
      <c r="D287" t="inlineStr">
        <is>
          <t>JÄMTLANDS LÄN</t>
        </is>
      </c>
      <c r="E287" t="inlineStr">
        <is>
          <t>STRÖMSUND</t>
        </is>
      </c>
      <c r="F287" t="inlineStr">
        <is>
          <t>SCA</t>
        </is>
      </c>
      <c r="G287" t="n">
        <v>10.7</v>
      </c>
      <c r="H287" t="n">
        <v>4</v>
      </c>
      <c r="I287" t="n">
        <v>1</v>
      </c>
      <c r="J287" t="n">
        <v>4</v>
      </c>
      <c r="K287" t="n">
        <v>2</v>
      </c>
      <c r="L287" t="n">
        <v>0</v>
      </c>
      <c r="M287" t="n">
        <v>0</v>
      </c>
      <c r="N287" t="n">
        <v>0</v>
      </c>
      <c r="O287" t="n">
        <v>6</v>
      </c>
      <c r="P287" t="n">
        <v>2</v>
      </c>
      <c r="Q287" t="n">
        <v>7</v>
      </c>
      <c r="R287" s="2" t="inlineStr">
        <is>
          <t>Doftticka
Knärot
Garnlav
Lunglav
Skogsfru
Ullticka
Spindelblomster</t>
        </is>
      </c>
      <c r="S287">
        <f>HYPERLINK("https://klasma.github.io/Logging_STROMSUND/artfynd/A 41493-2022.xlsx")</f>
        <v/>
      </c>
      <c r="T287">
        <f>HYPERLINK("https://klasma.github.io/Logging_STROMSUND/kartor/A 41493-2022.png")</f>
        <v/>
      </c>
      <c r="U287">
        <f>HYPERLINK("https://klasma.github.io/Logging_STROMSUND/knärot/A 41493-2022.png")</f>
        <v/>
      </c>
      <c r="V287">
        <f>HYPERLINK("https://klasma.github.io/Logging_STROMSUND/klagomål/A 41493-2022.docx")</f>
        <v/>
      </c>
      <c r="W287">
        <f>HYPERLINK("https://klasma.github.io/Logging_STROMSUND/klagomålsmail/A 41493-2022.docx")</f>
        <v/>
      </c>
      <c r="X287">
        <f>HYPERLINK("https://klasma.github.io/Logging_STROMSUND/tillsyn/A 41493-2022.docx")</f>
        <v/>
      </c>
      <c r="Y287">
        <f>HYPERLINK("https://klasma.github.io/Logging_STROMSUND/tillsynsmail/A 41493-2022.docx")</f>
        <v/>
      </c>
    </row>
    <row r="288" ht="15" customHeight="1">
      <c r="A288" t="inlineStr">
        <is>
          <t>A 57162-2022</t>
        </is>
      </c>
      <c r="B288" s="1" t="n">
        <v>44895</v>
      </c>
      <c r="C288" s="1" t="n">
        <v>45182</v>
      </c>
      <c r="D288" t="inlineStr">
        <is>
          <t>JÄMTLANDS LÄN</t>
        </is>
      </c>
      <c r="E288" t="inlineStr">
        <is>
          <t>BRÄCKE</t>
        </is>
      </c>
      <c r="F288" t="inlineStr">
        <is>
          <t>Övriga Aktiebolag</t>
        </is>
      </c>
      <c r="G288" t="n">
        <v>5.3</v>
      </c>
      <c r="H288" t="n">
        <v>3</v>
      </c>
      <c r="I288" t="n">
        <v>4</v>
      </c>
      <c r="J288" t="n">
        <v>1</v>
      </c>
      <c r="K288" t="n">
        <v>1</v>
      </c>
      <c r="L288" t="n">
        <v>0</v>
      </c>
      <c r="M288" t="n">
        <v>0</v>
      </c>
      <c r="N288" t="n">
        <v>0</v>
      </c>
      <c r="O288" t="n">
        <v>2</v>
      </c>
      <c r="P288" t="n">
        <v>1</v>
      </c>
      <c r="Q288" t="n">
        <v>7</v>
      </c>
      <c r="R288" s="2" t="inlineStr">
        <is>
          <t>Lammticka
Dofttaggsvamp
Finbräken
Guckusko
Tvåblad
Vårärt
Blåsippa</t>
        </is>
      </c>
      <c r="S288">
        <f>HYPERLINK("https://klasma.github.io/Logging_BRACKE/artfynd/A 57162-2022.xlsx")</f>
        <v/>
      </c>
      <c r="T288">
        <f>HYPERLINK("https://klasma.github.io/Logging_BRACKE/kartor/A 57162-2022.png")</f>
        <v/>
      </c>
      <c r="V288">
        <f>HYPERLINK("https://klasma.github.io/Logging_BRACKE/klagomål/A 57162-2022.docx")</f>
        <v/>
      </c>
      <c r="W288">
        <f>HYPERLINK("https://klasma.github.io/Logging_BRACKE/klagomålsmail/A 57162-2022.docx")</f>
        <v/>
      </c>
      <c r="X288">
        <f>HYPERLINK("https://klasma.github.io/Logging_BRACKE/tillsyn/A 57162-2022.docx")</f>
        <v/>
      </c>
      <c r="Y288">
        <f>HYPERLINK("https://klasma.github.io/Logging_BRACKE/tillsynsmail/A 57162-2022.docx")</f>
        <v/>
      </c>
    </row>
    <row r="289" ht="15" customHeight="1">
      <c r="A289" t="inlineStr">
        <is>
          <t>A 61386-2022</t>
        </is>
      </c>
      <c r="B289" s="1" t="n">
        <v>44915</v>
      </c>
      <c r="C289" s="1" t="n">
        <v>45182</v>
      </c>
      <c r="D289" t="inlineStr">
        <is>
          <t>JÄMTLANDS LÄN</t>
        </is>
      </c>
      <c r="E289" t="inlineStr">
        <is>
          <t>RAGUNDA</t>
        </is>
      </c>
      <c r="F289" t="inlineStr">
        <is>
          <t>Övriga Aktiebolag</t>
        </is>
      </c>
      <c r="G289" t="n">
        <v>19.7</v>
      </c>
      <c r="H289" t="n">
        <v>1</v>
      </c>
      <c r="I289" t="n">
        <v>2</v>
      </c>
      <c r="J289" t="n">
        <v>3</v>
      </c>
      <c r="K289" t="n">
        <v>2</v>
      </c>
      <c r="L289" t="n">
        <v>0</v>
      </c>
      <c r="M289" t="n">
        <v>0</v>
      </c>
      <c r="N289" t="n">
        <v>0</v>
      </c>
      <c r="O289" t="n">
        <v>5</v>
      </c>
      <c r="P289" t="n">
        <v>2</v>
      </c>
      <c r="Q289" t="n">
        <v>7</v>
      </c>
      <c r="R289" s="2" t="inlineStr">
        <is>
          <t>Knärot
Rynkskinn
Lunglav
Rosenticka
Ullticka
Svart trolldruva
Vanlig flatbagge</t>
        </is>
      </c>
      <c r="S289">
        <f>HYPERLINK("https://klasma.github.io/Logging_RAGUNDA/artfynd/A 61386-2022.xlsx")</f>
        <v/>
      </c>
      <c r="T289">
        <f>HYPERLINK("https://klasma.github.io/Logging_RAGUNDA/kartor/A 61386-2022.png")</f>
        <v/>
      </c>
      <c r="U289">
        <f>HYPERLINK("https://klasma.github.io/Logging_RAGUNDA/knärot/A 61386-2022.png")</f>
        <v/>
      </c>
      <c r="V289">
        <f>HYPERLINK("https://klasma.github.io/Logging_RAGUNDA/klagomål/A 61386-2022.docx")</f>
        <v/>
      </c>
      <c r="W289">
        <f>HYPERLINK("https://klasma.github.io/Logging_RAGUNDA/klagomålsmail/A 61386-2022.docx")</f>
        <v/>
      </c>
      <c r="X289">
        <f>HYPERLINK("https://klasma.github.io/Logging_RAGUNDA/tillsyn/A 61386-2022.docx")</f>
        <v/>
      </c>
      <c r="Y289">
        <f>HYPERLINK("https://klasma.github.io/Logging_RAGUNDA/tillsynsmail/A 61386-2022.docx")</f>
        <v/>
      </c>
    </row>
    <row r="290" ht="15" customHeight="1">
      <c r="A290" t="inlineStr">
        <is>
          <t>A 3341-2023</t>
        </is>
      </c>
      <c r="B290" s="1" t="n">
        <v>44945</v>
      </c>
      <c r="C290" s="1" t="n">
        <v>45182</v>
      </c>
      <c r="D290" t="inlineStr">
        <is>
          <t>JÄMTLANDS LÄN</t>
        </is>
      </c>
      <c r="E290" t="inlineStr">
        <is>
          <t>ÖSTERSUND</t>
        </is>
      </c>
      <c r="G290" t="n">
        <v>12.3</v>
      </c>
      <c r="H290" t="n">
        <v>1</v>
      </c>
      <c r="I290" t="n">
        <v>3</v>
      </c>
      <c r="J290" t="n">
        <v>3</v>
      </c>
      <c r="K290" t="n">
        <v>0</v>
      </c>
      <c r="L290" t="n">
        <v>0</v>
      </c>
      <c r="M290" t="n">
        <v>0</v>
      </c>
      <c r="N290" t="n">
        <v>0</v>
      </c>
      <c r="O290" t="n">
        <v>3</v>
      </c>
      <c r="P290" t="n">
        <v>0</v>
      </c>
      <c r="Q290" t="n">
        <v>7</v>
      </c>
      <c r="R290" s="2" t="inlineStr">
        <is>
          <t>Grantaggsvamp
Granticka
Äggvaxskivling
Finbräken
Kransrams
Trådfräken
Blåsippa</t>
        </is>
      </c>
      <c r="S290">
        <f>HYPERLINK("https://klasma.github.io/Logging_OSTERSUND/artfynd/A 3341-2023.xlsx")</f>
        <v/>
      </c>
      <c r="T290">
        <f>HYPERLINK("https://klasma.github.io/Logging_OSTERSUND/kartor/A 3341-2023.png")</f>
        <v/>
      </c>
      <c r="V290">
        <f>HYPERLINK("https://klasma.github.io/Logging_OSTERSUND/klagomål/A 3341-2023.docx")</f>
        <v/>
      </c>
      <c r="W290">
        <f>HYPERLINK("https://klasma.github.io/Logging_OSTERSUND/klagomålsmail/A 3341-2023.docx")</f>
        <v/>
      </c>
      <c r="X290">
        <f>HYPERLINK("https://klasma.github.io/Logging_OSTERSUND/tillsyn/A 3341-2023.docx")</f>
        <v/>
      </c>
      <c r="Y290">
        <f>HYPERLINK("https://klasma.github.io/Logging_OSTERSUND/tillsynsmail/A 3341-2023.docx")</f>
        <v/>
      </c>
    </row>
    <row r="291" ht="15" customHeight="1">
      <c r="A291" t="inlineStr">
        <is>
          <t>A 3703-2023</t>
        </is>
      </c>
      <c r="B291" s="1" t="n">
        <v>44950</v>
      </c>
      <c r="C291" s="1" t="n">
        <v>45182</v>
      </c>
      <c r="D291" t="inlineStr">
        <is>
          <t>JÄMTLANDS LÄN</t>
        </is>
      </c>
      <c r="E291" t="inlineStr">
        <is>
          <t>STRÖMSUND</t>
        </is>
      </c>
      <c r="F291" t="inlineStr">
        <is>
          <t>SCA</t>
        </is>
      </c>
      <c r="G291" t="n">
        <v>11.8</v>
      </c>
      <c r="H291" t="n">
        <v>0</v>
      </c>
      <c r="I291" t="n">
        <v>3</v>
      </c>
      <c r="J291" t="n">
        <v>4</v>
      </c>
      <c r="K291" t="n">
        <v>0</v>
      </c>
      <c r="L291" t="n">
        <v>0</v>
      </c>
      <c r="M291" t="n">
        <v>0</v>
      </c>
      <c r="N291" t="n">
        <v>0</v>
      </c>
      <c r="O291" t="n">
        <v>4</v>
      </c>
      <c r="P291" t="n">
        <v>0</v>
      </c>
      <c r="Q291" t="n">
        <v>7</v>
      </c>
      <c r="R291" s="2" t="inlineStr">
        <is>
          <t>Granticka
Harticka
Skrovellav
Ullticka
Korallblylav
Stor aspticka
Stuplav</t>
        </is>
      </c>
      <c r="S291">
        <f>HYPERLINK("https://klasma.github.io/Logging_STROMSUND/artfynd/A 3703-2023.xlsx")</f>
        <v/>
      </c>
      <c r="T291">
        <f>HYPERLINK("https://klasma.github.io/Logging_STROMSUND/kartor/A 3703-2023.png")</f>
        <v/>
      </c>
      <c r="V291">
        <f>HYPERLINK("https://klasma.github.io/Logging_STROMSUND/klagomål/A 3703-2023.docx")</f>
        <v/>
      </c>
      <c r="W291">
        <f>HYPERLINK("https://klasma.github.io/Logging_STROMSUND/klagomålsmail/A 3703-2023.docx")</f>
        <v/>
      </c>
      <c r="X291">
        <f>HYPERLINK("https://klasma.github.io/Logging_STROMSUND/tillsyn/A 3703-2023.docx")</f>
        <v/>
      </c>
      <c r="Y291">
        <f>HYPERLINK("https://klasma.github.io/Logging_STROMSUND/tillsynsmail/A 3703-2023.docx")</f>
        <v/>
      </c>
    </row>
    <row r="292" ht="15" customHeight="1">
      <c r="A292" t="inlineStr">
        <is>
          <t>A 4232-2023</t>
        </is>
      </c>
      <c r="B292" s="1" t="n">
        <v>44951</v>
      </c>
      <c r="C292" s="1" t="n">
        <v>45182</v>
      </c>
      <c r="D292" t="inlineStr">
        <is>
          <t>JÄMTLANDS LÄN</t>
        </is>
      </c>
      <c r="E292" t="inlineStr">
        <is>
          <t>BRÄCKE</t>
        </is>
      </c>
      <c r="G292" t="n">
        <v>12.6</v>
      </c>
      <c r="H292" t="n">
        <v>1</v>
      </c>
      <c r="I292" t="n">
        <v>2</v>
      </c>
      <c r="J292" t="n">
        <v>4</v>
      </c>
      <c r="K292" t="n">
        <v>1</v>
      </c>
      <c r="L292" t="n">
        <v>0</v>
      </c>
      <c r="M292" t="n">
        <v>0</v>
      </c>
      <c r="N292" t="n">
        <v>0</v>
      </c>
      <c r="O292" t="n">
        <v>5</v>
      </c>
      <c r="P292" t="n">
        <v>1</v>
      </c>
      <c r="Q292" t="n">
        <v>7</v>
      </c>
      <c r="R292" s="2" t="inlineStr">
        <is>
          <t>Gräddporing
Garnlav
Kolflarnlav
Lunglav
Mörk kolflarnlav
Dropptaggsvamp
Plattlummer</t>
        </is>
      </c>
      <c r="S292">
        <f>HYPERLINK("https://klasma.github.io/Logging_BRACKE/artfynd/A 4232-2023.xlsx")</f>
        <v/>
      </c>
      <c r="T292">
        <f>HYPERLINK("https://klasma.github.io/Logging_BRACKE/kartor/A 4232-2023.png")</f>
        <v/>
      </c>
      <c r="U292">
        <f>HYPERLINK("https://klasma.github.io/Logging_BRACKE/knärot/A 4232-2023.png")</f>
        <v/>
      </c>
      <c r="V292">
        <f>HYPERLINK("https://klasma.github.io/Logging_BRACKE/klagomål/A 4232-2023.docx")</f>
        <v/>
      </c>
      <c r="W292">
        <f>HYPERLINK("https://klasma.github.io/Logging_BRACKE/klagomålsmail/A 4232-2023.docx")</f>
        <v/>
      </c>
      <c r="X292">
        <f>HYPERLINK("https://klasma.github.io/Logging_BRACKE/tillsyn/A 4232-2023.docx")</f>
        <v/>
      </c>
      <c r="Y292">
        <f>HYPERLINK("https://klasma.github.io/Logging_BRACKE/tillsynsmail/A 4232-2023.docx")</f>
        <v/>
      </c>
    </row>
    <row r="293" ht="15" customHeight="1">
      <c r="A293" t="inlineStr">
        <is>
          <t>A 4340-2023</t>
        </is>
      </c>
      <c r="B293" s="1" t="n">
        <v>44953</v>
      </c>
      <c r="C293" s="1" t="n">
        <v>45182</v>
      </c>
      <c r="D293" t="inlineStr">
        <is>
          <t>JÄMTLANDS LÄN</t>
        </is>
      </c>
      <c r="E293" t="inlineStr">
        <is>
          <t>RAGUNDA</t>
        </is>
      </c>
      <c r="G293" t="n">
        <v>13.2</v>
      </c>
      <c r="H293" t="n">
        <v>2</v>
      </c>
      <c r="I293" t="n">
        <v>4</v>
      </c>
      <c r="J293" t="n">
        <v>2</v>
      </c>
      <c r="K293" t="n">
        <v>0</v>
      </c>
      <c r="L293" t="n">
        <v>0</v>
      </c>
      <c r="M293" t="n">
        <v>0</v>
      </c>
      <c r="N293" t="n">
        <v>0</v>
      </c>
      <c r="O293" t="n">
        <v>2</v>
      </c>
      <c r="P293" t="n">
        <v>0</v>
      </c>
      <c r="Q293" t="n">
        <v>7</v>
      </c>
      <c r="R293" s="2" t="inlineStr">
        <is>
          <t>Garnlav
Vitgrynig nållav
Bollvitmossa
Korallrot
Kransrams
Norrlandslav
Revlummer</t>
        </is>
      </c>
      <c r="S293">
        <f>HYPERLINK("https://klasma.github.io/Logging_RAGUNDA/artfynd/A 4340-2023.xlsx")</f>
        <v/>
      </c>
      <c r="T293">
        <f>HYPERLINK("https://klasma.github.io/Logging_RAGUNDA/kartor/A 4340-2023.png")</f>
        <v/>
      </c>
      <c r="V293">
        <f>HYPERLINK("https://klasma.github.io/Logging_RAGUNDA/klagomål/A 4340-2023.docx")</f>
        <v/>
      </c>
      <c r="W293">
        <f>HYPERLINK("https://klasma.github.io/Logging_RAGUNDA/klagomålsmail/A 4340-2023.docx")</f>
        <v/>
      </c>
      <c r="X293">
        <f>HYPERLINK("https://klasma.github.io/Logging_RAGUNDA/tillsyn/A 4340-2023.docx")</f>
        <v/>
      </c>
      <c r="Y293">
        <f>HYPERLINK("https://klasma.github.io/Logging_RAGUNDA/tillsynsmail/A 4340-2023.docx")</f>
        <v/>
      </c>
    </row>
    <row r="294" ht="15" customHeight="1">
      <c r="A294" t="inlineStr">
        <is>
          <t>A 8120-2023</t>
        </is>
      </c>
      <c r="B294" s="1" t="n">
        <v>44970</v>
      </c>
      <c r="C294" s="1" t="n">
        <v>45182</v>
      </c>
      <c r="D294" t="inlineStr">
        <is>
          <t>JÄMTLANDS LÄN</t>
        </is>
      </c>
      <c r="E294" t="inlineStr">
        <is>
          <t>ÖSTERSUND</t>
        </is>
      </c>
      <c r="G294" t="n">
        <v>4</v>
      </c>
      <c r="H294" t="n">
        <v>2</v>
      </c>
      <c r="I294" t="n">
        <v>3</v>
      </c>
      <c r="J294" t="n">
        <v>3</v>
      </c>
      <c r="K294" t="n">
        <v>1</v>
      </c>
      <c r="L294" t="n">
        <v>0</v>
      </c>
      <c r="M294" t="n">
        <v>0</v>
      </c>
      <c r="N294" t="n">
        <v>0</v>
      </c>
      <c r="O294" t="n">
        <v>4</v>
      </c>
      <c r="P294" t="n">
        <v>1</v>
      </c>
      <c r="Q294" t="n">
        <v>7</v>
      </c>
      <c r="R294" s="2" t="inlineStr">
        <is>
          <t>Knärot
Garnlav
Lunglav
Skogsfru
Bårdlav
Luddlav
Stuplav</t>
        </is>
      </c>
      <c r="S294">
        <f>HYPERLINK("https://klasma.github.io/Logging_OSTERSUND/artfynd/A 8120-2023.xlsx")</f>
        <v/>
      </c>
      <c r="T294">
        <f>HYPERLINK("https://klasma.github.io/Logging_OSTERSUND/kartor/A 8120-2023.png")</f>
        <v/>
      </c>
      <c r="U294">
        <f>HYPERLINK("https://klasma.github.io/Logging_OSTERSUND/knärot/A 8120-2023.png")</f>
        <v/>
      </c>
      <c r="V294">
        <f>HYPERLINK("https://klasma.github.io/Logging_OSTERSUND/klagomål/A 8120-2023.docx")</f>
        <v/>
      </c>
      <c r="W294">
        <f>HYPERLINK("https://klasma.github.io/Logging_OSTERSUND/klagomålsmail/A 8120-2023.docx")</f>
        <v/>
      </c>
      <c r="X294">
        <f>HYPERLINK("https://klasma.github.io/Logging_OSTERSUND/tillsyn/A 8120-2023.docx")</f>
        <v/>
      </c>
      <c r="Y294">
        <f>HYPERLINK("https://klasma.github.io/Logging_OSTERSUND/tillsynsmail/A 8120-2023.docx")</f>
        <v/>
      </c>
    </row>
    <row r="295" ht="15" customHeight="1">
      <c r="A295" t="inlineStr">
        <is>
          <t>A 8551-2023</t>
        </is>
      </c>
      <c r="B295" s="1" t="n">
        <v>44977</v>
      </c>
      <c r="C295" s="1" t="n">
        <v>45182</v>
      </c>
      <c r="D295" t="inlineStr">
        <is>
          <t>JÄMTLANDS LÄN</t>
        </is>
      </c>
      <c r="E295" t="inlineStr">
        <is>
          <t>ÅRE</t>
        </is>
      </c>
      <c r="F295" t="inlineStr">
        <is>
          <t>Övriga Aktiebolag</t>
        </is>
      </c>
      <c r="G295" t="n">
        <v>26.9</v>
      </c>
      <c r="H295" t="n">
        <v>0</v>
      </c>
      <c r="I295" t="n">
        <v>2</v>
      </c>
      <c r="J295" t="n">
        <v>4</v>
      </c>
      <c r="K295" t="n">
        <v>1</v>
      </c>
      <c r="L295" t="n">
        <v>0</v>
      </c>
      <c r="M295" t="n">
        <v>0</v>
      </c>
      <c r="N295" t="n">
        <v>0</v>
      </c>
      <c r="O295" t="n">
        <v>5</v>
      </c>
      <c r="P295" t="n">
        <v>1</v>
      </c>
      <c r="Q295" t="n">
        <v>7</v>
      </c>
      <c r="R295" s="2" t="inlineStr">
        <is>
          <t>Fläckporing
Blanksvart spiklav
Granticka
Kolflarnlav
Vedflamlav
Dropptaggsvamp
Skinnlav</t>
        </is>
      </c>
      <c r="S295">
        <f>HYPERLINK("https://klasma.github.io/Logging_ARE/artfynd/A 8551-2023.xlsx")</f>
        <v/>
      </c>
      <c r="T295">
        <f>HYPERLINK("https://klasma.github.io/Logging_ARE/kartor/A 8551-2023.png")</f>
        <v/>
      </c>
      <c r="V295">
        <f>HYPERLINK("https://klasma.github.io/Logging_ARE/klagomål/A 8551-2023.docx")</f>
        <v/>
      </c>
      <c r="W295">
        <f>HYPERLINK("https://klasma.github.io/Logging_ARE/klagomålsmail/A 8551-2023.docx")</f>
        <v/>
      </c>
      <c r="X295">
        <f>HYPERLINK("https://klasma.github.io/Logging_ARE/tillsyn/A 8551-2023.docx")</f>
        <v/>
      </c>
      <c r="Y295">
        <f>HYPERLINK("https://klasma.github.io/Logging_ARE/tillsynsmail/A 8551-2023.docx")</f>
        <v/>
      </c>
    </row>
    <row r="296" ht="15" customHeight="1">
      <c r="A296" t="inlineStr">
        <is>
          <t>A 11829-2023</t>
        </is>
      </c>
      <c r="B296" s="1" t="n">
        <v>44994</v>
      </c>
      <c r="C296" s="1" t="n">
        <v>45182</v>
      </c>
      <c r="D296" t="inlineStr">
        <is>
          <t>JÄMTLANDS LÄN</t>
        </is>
      </c>
      <c r="E296" t="inlineStr">
        <is>
          <t>RAGUNDA</t>
        </is>
      </c>
      <c r="F296" t="inlineStr">
        <is>
          <t>SCA</t>
        </is>
      </c>
      <c r="G296" t="n">
        <v>1.8</v>
      </c>
      <c r="H296" t="n">
        <v>0</v>
      </c>
      <c r="I296" t="n">
        <v>1</v>
      </c>
      <c r="J296" t="n">
        <v>6</v>
      </c>
      <c r="K296" t="n">
        <v>0</v>
      </c>
      <c r="L296" t="n">
        <v>0</v>
      </c>
      <c r="M296" t="n">
        <v>0</v>
      </c>
      <c r="N296" t="n">
        <v>0</v>
      </c>
      <c r="O296" t="n">
        <v>6</v>
      </c>
      <c r="P296" t="n">
        <v>0</v>
      </c>
      <c r="Q296" t="n">
        <v>7</v>
      </c>
      <c r="R296" s="2" t="inlineStr">
        <is>
          <t>Garnlav
Kolflarnlav
Lunglav
Ullticka
Vedflamlav
Vedtrappmossa
Vedticka</t>
        </is>
      </c>
      <c r="S296">
        <f>HYPERLINK("https://klasma.github.io/Logging_RAGUNDA/artfynd/A 11829-2023.xlsx")</f>
        <v/>
      </c>
      <c r="T296">
        <f>HYPERLINK("https://klasma.github.io/Logging_RAGUNDA/kartor/A 11829-2023.png")</f>
        <v/>
      </c>
      <c r="U296">
        <f>HYPERLINK("https://klasma.github.io/Logging_RAGUNDA/knärot/A 11829-2023.png")</f>
        <v/>
      </c>
      <c r="V296">
        <f>HYPERLINK("https://klasma.github.io/Logging_RAGUNDA/klagomål/A 11829-2023.docx")</f>
        <v/>
      </c>
      <c r="W296">
        <f>HYPERLINK("https://klasma.github.io/Logging_RAGUNDA/klagomålsmail/A 11829-2023.docx")</f>
        <v/>
      </c>
      <c r="X296">
        <f>HYPERLINK("https://klasma.github.io/Logging_RAGUNDA/tillsyn/A 11829-2023.docx")</f>
        <v/>
      </c>
      <c r="Y296">
        <f>HYPERLINK("https://klasma.github.io/Logging_RAGUNDA/tillsynsmail/A 11829-2023.docx")</f>
        <v/>
      </c>
    </row>
    <row r="297" ht="15" customHeight="1">
      <c r="A297" t="inlineStr">
        <is>
          <t>A 14058-2023</t>
        </is>
      </c>
      <c r="B297" s="1" t="n">
        <v>45007</v>
      </c>
      <c r="C297" s="1" t="n">
        <v>45182</v>
      </c>
      <c r="D297" t="inlineStr">
        <is>
          <t>JÄMTLANDS LÄN</t>
        </is>
      </c>
      <c r="E297" t="inlineStr">
        <is>
          <t>HÄRJEDALEN</t>
        </is>
      </c>
      <c r="F297" t="inlineStr">
        <is>
          <t>Bergvik skog väst AB</t>
        </is>
      </c>
      <c r="G297" t="n">
        <v>33.9</v>
      </c>
      <c r="H297" t="n">
        <v>1</v>
      </c>
      <c r="I297" t="n">
        <v>1</v>
      </c>
      <c r="J297" t="n">
        <v>5</v>
      </c>
      <c r="K297" t="n">
        <v>1</v>
      </c>
      <c r="L297" t="n">
        <v>0</v>
      </c>
      <c r="M297" t="n">
        <v>0</v>
      </c>
      <c r="N297" t="n">
        <v>0</v>
      </c>
      <c r="O297" t="n">
        <v>6</v>
      </c>
      <c r="P297" t="n">
        <v>1</v>
      </c>
      <c r="Q297" t="n">
        <v>7</v>
      </c>
      <c r="R297" s="2" t="inlineStr">
        <is>
          <t>Gräddporing
Björktrast
Kolflarnlav
Mörk kolflarnlav
Nordtagging
Vedflamlav
Skarp dropptaggsvamp</t>
        </is>
      </c>
      <c r="S297">
        <f>HYPERLINK("https://klasma.github.io/Logging_HARJEDALEN/artfynd/A 14058-2023.xlsx")</f>
        <v/>
      </c>
      <c r="T297">
        <f>HYPERLINK("https://klasma.github.io/Logging_HARJEDALEN/kartor/A 14058-2023.png")</f>
        <v/>
      </c>
      <c r="V297">
        <f>HYPERLINK("https://klasma.github.io/Logging_HARJEDALEN/klagomål/A 14058-2023.docx")</f>
        <v/>
      </c>
      <c r="W297">
        <f>HYPERLINK("https://klasma.github.io/Logging_HARJEDALEN/klagomålsmail/A 14058-2023.docx")</f>
        <v/>
      </c>
      <c r="X297">
        <f>HYPERLINK("https://klasma.github.io/Logging_HARJEDALEN/tillsyn/A 14058-2023.docx")</f>
        <v/>
      </c>
      <c r="Y297">
        <f>HYPERLINK("https://klasma.github.io/Logging_HARJEDALEN/tillsynsmail/A 14058-2023.docx")</f>
        <v/>
      </c>
    </row>
    <row r="298" ht="15" customHeight="1">
      <c r="A298" t="inlineStr">
        <is>
          <t>A 14188-2023</t>
        </is>
      </c>
      <c r="B298" s="1" t="n">
        <v>45009</v>
      </c>
      <c r="C298" s="1" t="n">
        <v>45182</v>
      </c>
      <c r="D298" t="inlineStr">
        <is>
          <t>JÄMTLANDS LÄN</t>
        </is>
      </c>
      <c r="E298" t="inlineStr">
        <is>
          <t>RAGUNDA</t>
        </is>
      </c>
      <c r="G298" t="n">
        <v>7.5</v>
      </c>
      <c r="H298" t="n">
        <v>1</v>
      </c>
      <c r="I298" t="n">
        <v>1</v>
      </c>
      <c r="J298" t="n">
        <v>5</v>
      </c>
      <c r="K298" t="n">
        <v>0</v>
      </c>
      <c r="L298" t="n">
        <v>0</v>
      </c>
      <c r="M298" t="n">
        <v>0</v>
      </c>
      <c r="N298" t="n">
        <v>0</v>
      </c>
      <c r="O298" t="n">
        <v>5</v>
      </c>
      <c r="P298" t="n">
        <v>0</v>
      </c>
      <c r="Q298" t="n">
        <v>7</v>
      </c>
      <c r="R298" s="2" t="inlineStr">
        <is>
          <t>Garnlav
Kolflarnlav
Mörk kolflarnlav
Vedflikmossa
Vedskivlav
Stuplav
Nattviol</t>
        </is>
      </c>
      <c r="S298">
        <f>HYPERLINK("https://klasma.github.io/Logging_RAGUNDA/artfynd/A 14188-2023.xlsx")</f>
        <v/>
      </c>
      <c r="T298">
        <f>HYPERLINK("https://klasma.github.io/Logging_RAGUNDA/kartor/A 14188-2023.png")</f>
        <v/>
      </c>
      <c r="V298">
        <f>HYPERLINK("https://klasma.github.io/Logging_RAGUNDA/klagomål/A 14188-2023.docx")</f>
        <v/>
      </c>
      <c r="W298">
        <f>HYPERLINK("https://klasma.github.io/Logging_RAGUNDA/klagomålsmail/A 14188-2023.docx")</f>
        <v/>
      </c>
      <c r="X298">
        <f>HYPERLINK("https://klasma.github.io/Logging_RAGUNDA/tillsyn/A 14188-2023.docx")</f>
        <v/>
      </c>
      <c r="Y298">
        <f>HYPERLINK("https://klasma.github.io/Logging_RAGUNDA/tillsynsmail/A 14188-2023.docx")</f>
        <v/>
      </c>
    </row>
    <row r="299" ht="15" customHeight="1">
      <c r="A299" t="inlineStr">
        <is>
          <t>A 16369-2023</t>
        </is>
      </c>
      <c r="B299" s="1" t="n">
        <v>45028</v>
      </c>
      <c r="C299" s="1" t="n">
        <v>45182</v>
      </c>
      <c r="D299" t="inlineStr">
        <is>
          <t>JÄMTLANDS LÄN</t>
        </is>
      </c>
      <c r="E299" t="inlineStr">
        <is>
          <t>ÖSTERSUND</t>
        </is>
      </c>
      <c r="F299" t="inlineStr">
        <is>
          <t>SCA</t>
        </is>
      </c>
      <c r="G299" t="n">
        <v>4.6</v>
      </c>
      <c r="H299" t="n">
        <v>1</v>
      </c>
      <c r="I299" t="n">
        <v>1</v>
      </c>
      <c r="J299" t="n">
        <v>4</v>
      </c>
      <c r="K299" t="n">
        <v>1</v>
      </c>
      <c r="L299" t="n">
        <v>0</v>
      </c>
      <c r="M299" t="n">
        <v>0</v>
      </c>
      <c r="N299" t="n">
        <v>0</v>
      </c>
      <c r="O299" t="n">
        <v>5</v>
      </c>
      <c r="P299" t="n">
        <v>1</v>
      </c>
      <c r="Q299" t="n">
        <v>7</v>
      </c>
      <c r="R299" s="2" t="inlineStr">
        <is>
          <t>Rynkskinn
Flattoppad klubbsvamp
Granticka
Gränsticka
Ullticka
Rödgul trumpetsvamp
Blåsippa</t>
        </is>
      </c>
      <c r="S299">
        <f>HYPERLINK("https://klasma.github.io/Logging_OSTERSUND/artfynd/A 16369-2023.xlsx")</f>
        <v/>
      </c>
      <c r="T299">
        <f>HYPERLINK("https://klasma.github.io/Logging_OSTERSUND/kartor/A 16369-2023.png")</f>
        <v/>
      </c>
      <c r="V299">
        <f>HYPERLINK("https://klasma.github.io/Logging_OSTERSUND/klagomål/A 16369-2023.docx")</f>
        <v/>
      </c>
      <c r="W299">
        <f>HYPERLINK("https://klasma.github.io/Logging_OSTERSUND/klagomålsmail/A 16369-2023.docx")</f>
        <v/>
      </c>
      <c r="X299">
        <f>HYPERLINK("https://klasma.github.io/Logging_OSTERSUND/tillsyn/A 16369-2023.docx")</f>
        <v/>
      </c>
      <c r="Y299">
        <f>HYPERLINK("https://klasma.github.io/Logging_OSTERSUND/tillsynsmail/A 16369-2023.docx")</f>
        <v/>
      </c>
    </row>
    <row r="300" ht="15" customHeight="1">
      <c r="A300" t="inlineStr">
        <is>
          <t>A 16688-2023</t>
        </is>
      </c>
      <c r="B300" s="1" t="n">
        <v>45028</v>
      </c>
      <c r="C300" s="1" t="n">
        <v>45182</v>
      </c>
      <c r="D300" t="inlineStr">
        <is>
          <t>JÄMTLANDS LÄN</t>
        </is>
      </c>
      <c r="E300" t="inlineStr">
        <is>
          <t>ÖSTERSUND</t>
        </is>
      </c>
      <c r="G300" t="n">
        <v>5</v>
      </c>
      <c r="H300" t="n">
        <v>1</v>
      </c>
      <c r="I300" t="n">
        <v>3</v>
      </c>
      <c r="J300" t="n">
        <v>2</v>
      </c>
      <c r="K300" t="n">
        <v>0</v>
      </c>
      <c r="L300" t="n">
        <v>1</v>
      </c>
      <c r="M300" t="n">
        <v>0</v>
      </c>
      <c r="N300" t="n">
        <v>0</v>
      </c>
      <c r="O300" t="n">
        <v>3</v>
      </c>
      <c r="P300" t="n">
        <v>1</v>
      </c>
      <c r="Q300" t="n">
        <v>7</v>
      </c>
      <c r="R300" s="2" t="inlineStr">
        <is>
          <t>Trolldruvemätare
Grantaggsvamp
Persiljespindling
Kransrams
Svart trolldruva
Underviol
Blåsippa</t>
        </is>
      </c>
      <c r="S300">
        <f>HYPERLINK("https://klasma.github.io/Logging_OSTERSUND/artfynd/A 16688-2023.xlsx")</f>
        <v/>
      </c>
      <c r="T300">
        <f>HYPERLINK("https://klasma.github.io/Logging_OSTERSUND/kartor/A 16688-2023.png")</f>
        <v/>
      </c>
      <c r="V300">
        <f>HYPERLINK("https://klasma.github.io/Logging_OSTERSUND/klagomål/A 16688-2023.docx")</f>
        <v/>
      </c>
      <c r="W300">
        <f>HYPERLINK("https://klasma.github.io/Logging_OSTERSUND/klagomålsmail/A 16688-2023.docx")</f>
        <v/>
      </c>
      <c r="X300">
        <f>HYPERLINK("https://klasma.github.io/Logging_OSTERSUND/tillsyn/A 16688-2023.docx")</f>
        <v/>
      </c>
      <c r="Y300">
        <f>HYPERLINK("https://klasma.github.io/Logging_OSTERSUND/tillsynsmail/A 16688-2023.docx")</f>
        <v/>
      </c>
    </row>
    <row r="301" ht="15" customHeight="1">
      <c r="A301" t="inlineStr">
        <is>
          <t>A 19358-2023</t>
        </is>
      </c>
      <c r="B301" s="1" t="n">
        <v>45049</v>
      </c>
      <c r="C301" s="1" t="n">
        <v>45182</v>
      </c>
      <c r="D301" t="inlineStr">
        <is>
          <t>JÄMTLANDS LÄN</t>
        </is>
      </c>
      <c r="E301" t="inlineStr">
        <is>
          <t>KROKOM</t>
        </is>
      </c>
      <c r="G301" t="n">
        <v>41.3</v>
      </c>
      <c r="H301" t="n">
        <v>1</v>
      </c>
      <c r="I301" t="n">
        <v>2</v>
      </c>
      <c r="J301" t="n">
        <v>4</v>
      </c>
      <c r="K301" t="n">
        <v>1</v>
      </c>
      <c r="L301" t="n">
        <v>0</v>
      </c>
      <c r="M301" t="n">
        <v>0</v>
      </c>
      <c r="N301" t="n">
        <v>0</v>
      </c>
      <c r="O301" t="n">
        <v>5</v>
      </c>
      <c r="P301" t="n">
        <v>1</v>
      </c>
      <c r="Q301" t="n">
        <v>7</v>
      </c>
      <c r="R301" s="2" t="inlineStr">
        <is>
          <t>Rynkskinn
Garnlav
Rosenticka
Tretåig hackspett
Ullticka
Trådticka
Vedticka</t>
        </is>
      </c>
      <c r="S301">
        <f>HYPERLINK("https://klasma.github.io/Logging_KROKOM/artfynd/A 19358-2023.xlsx")</f>
        <v/>
      </c>
      <c r="T301">
        <f>HYPERLINK("https://klasma.github.io/Logging_KROKOM/kartor/A 19358-2023.png")</f>
        <v/>
      </c>
      <c r="V301">
        <f>HYPERLINK("https://klasma.github.io/Logging_KROKOM/klagomål/A 19358-2023.docx")</f>
        <v/>
      </c>
      <c r="W301">
        <f>HYPERLINK("https://klasma.github.io/Logging_KROKOM/klagomålsmail/A 19358-2023.docx")</f>
        <v/>
      </c>
      <c r="X301">
        <f>HYPERLINK("https://klasma.github.io/Logging_KROKOM/tillsyn/A 19358-2023.docx")</f>
        <v/>
      </c>
      <c r="Y301">
        <f>HYPERLINK("https://klasma.github.io/Logging_KROKOM/tillsynsmail/A 19358-2023.docx")</f>
        <v/>
      </c>
    </row>
    <row r="302" ht="15" customHeight="1">
      <c r="A302" t="inlineStr">
        <is>
          <t>A 20601-2023</t>
        </is>
      </c>
      <c r="B302" s="1" t="n">
        <v>45057</v>
      </c>
      <c r="C302" s="1" t="n">
        <v>45182</v>
      </c>
      <c r="D302" t="inlineStr">
        <is>
          <t>JÄMTLANDS LÄN</t>
        </is>
      </c>
      <c r="E302" t="inlineStr">
        <is>
          <t>BRÄCKE</t>
        </is>
      </c>
      <c r="F302" t="inlineStr">
        <is>
          <t>SCA</t>
        </is>
      </c>
      <c r="G302" t="n">
        <v>7.9</v>
      </c>
      <c r="H302" t="n">
        <v>0</v>
      </c>
      <c r="I302" t="n">
        <v>2</v>
      </c>
      <c r="J302" t="n">
        <v>1</v>
      </c>
      <c r="K302" t="n">
        <v>4</v>
      </c>
      <c r="L302" t="n">
        <v>0</v>
      </c>
      <c r="M302" t="n">
        <v>0</v>
      </c>
      <c r="N302" t="n">
        <v>0</v>
      </c>
      <c r="O302" t="n">
        <v>5</v>
      </c>
      <c r="P302" t="n">
        <v>4</v>
      </c>
      <c r="Q302" t="n">
        <v>7</v>
      </c>
      <c r="R302" s="2" t="inlineStr">
        <is>
          <t>Goliatmusseron
Lammticka
Strandviol
Tallgråticka
Skrovlig taggsvamp
Skarp dropptaggsvamp
Tallfingersvamp</t>
        </is>
      </c>
      <c r="S302">
        <f>HYPERLINK("https://klasma.github.io/Logging_BRACKE/artfynd/A 20601-2023.xlsx")</f>
        <v/>
      </c>
      <c r="T302">
        <f>HYPERLINK("https://klasma.github.io/Logging_BRACKE/kartor/A 20601-2023.png")</f>
        <v/>
      </c>
      <c r="V302">
        <f>HYPERLINK("https://klasma.github.io/Logging_BRACKE/klagomål/A 20601-2023.docx")</f>
        <v/>
      </c>
      <c r="W302">
        <f>HYPERLINK("https://klasma.github.io/Logging_BRACKE/klagomålsmail/A 20601-2023.docx")</f>
        <v/>
      </c>
      <c r="X302">
        <f>HYPERLINK("https://klasma.github.io/Logging_BRACKE/tillsyn/A 20601-2023.docx")</f>
        <v/>
      </c>
      <c r="Y302">
        <f>HYPERLINK("https://klasma.github.io/Logging_BRACKE/tillsynsmail/A 20601-2023.docx")</f>
        <v/>
      </c>
    </row>
    <row r="303" ht="15" customHeight="1">
      <c r="A303" t="inlineStr">
        <is>
          <t>A 22467-2023</t>
        </is>
      </c>
      <c r="B303" s="1" t="n">
        <v>45070</v>
      </c>
      <c r="C303" s="1" t="n">
        <v>45182</v>
      </c>
      <c r="D303" t="inlineStr">
        <is>
          <t>JÄMTLANDS LÄN</t>
        </is>
      </c>
      <c r="E303" t="inlineStr">
        <is>
          <t>STRÖMSUND</t>
        </is>
      </c>
      <c r="F303" t="inlineStr">
        <is>
          <t>SCA</t>
        </is>
      </c>
      <c r="G303" t="n">
        <v>5.6</v>
      </c>
      <c r="H303" t="n">
        <v>0</v>
      </c>
      <c r="I303" t="n">
        <v>4</v>
      </c>
      <c r="J303" t="n">
        <v>3</v>
      </c>
      <c r="K303" t="n">
        <v>0</v>
      </c>
      <c r="L303" t="n">
        <v>0</v>
      </c>
      <c r="M303" t="n">
        <v>0</v>
      </c>
      <c r="N303" t="n">
        <v>0</v>
      </c>
      <c r="O303" t="n">
        <v>3</v>
      </c>
      <c r="P303" t="n">
        <v>0</v>
      </c>
      <c r="Q303" t="n">
        <v>7</v>
      </c>
      <c r="R303" s="2" t="inlineStr">
        <is>
          <t>Gammelgransskål
Lunglav
Skrovellav
Skinnlav
Stuplav
Trådticka
Vedticka</t>
        </is>
      </c>
      <c r="S303">
        <f>HYPERLINK("https://klasma.github.io/Logging_STROMSUND/artfynd/A 22467-2023.xlsx")</f>
        <v/>
      </c>
      <c r="T303">
        <f>HYPERLINK("https://klasma.github.io/Logging_STROMSUND/kartor/A 22467-2023.png")</f>
        <v/>
      </c>
      <c r="V303">
        <f>HYPERLINK("https://klasma.github.io/Logging_STROMSUND/klagomål/A 22467-2023.docx")</f>
        <v/>
      </c>
      <c r="W303">
        <f>HYPERLINK("https://klasma.github.io/Logging_STROMSUND/klagomålsmail/A 22467-2023.docx")</f>
        <v/>
      </c>
      <c r="X303">
        <f>HYPERLINK("https://klasma.github.io/Logging_STROMSUND/tillsyn/A 22467-2023.docx")</f>
        <v/>
      </c>
      <c r="Y303">
        <f>HYPERLINK("https://klasma.github.io/Logging_STROMSUND/tillsynsmail/A 22467-2023.docx")</f>
        <v/>
      </c>
    </row>
    <row r="304" ht="15" customHeight="1">
      <c r="A304" t="inlineStr">
        <is>
          <t>A 26369-2023</t>
        </is>
      </c>
      <c r="B304" s="1" t="n">
        <v>45091</v>
      </c>
      <c r="C304" s="1" t="n">
        <v>45182</v>
      </c>
      <c r="D304" t="inlineStr">
        <is>
          <t>JÄMTLANDS LÄN</t>
        </is>
      </c>
      <c r="E304" t="inlineStr">
        <is>
          <t>BERG</t>
        </is>
      </c>
      <c r="F304" t="inlineStr">
        <is>
          <t>SCA</t>
        </is>
      </c>
      <c r="G304" t="n">
        <v>34</v>
      </c>
      <c r="H304" t="n">
        <v>0</v>
      </c>
      <c r="I304" t="n">
        <v>1</v>
      </c>
      <c r="J304" t="n">
        <v>5</v>
      </c>
      <c r="K304" t="n">
        <v>1</v>
      </c>
      <c r="L304" t="n">
        <v>0</v>
      </c>
      <c r="M304" t="n">
        <v>0</v>
      </c>
      <c r="N304" t="n">
        <v>0</v>
      </c>
      <c r="O304" t="n">
        <v>6</v>
      </c>
      <c r="P304" t="n">
        <v>1</v>
      </c>
      <c r="Q304" t="n">
        <v>7</v>
      </c>
      <c r="R304" s="2" t="inlineStr">
        <is>
          <t>Gräddporing
Garnlav
Mörk kolflarnlav
Reliktbock
Vedflamlav
Vedskivlav
Dropptaggsvamp</t>
        </is>
      </c>
      <c r="S304">
        <f>HYPERLINK("https://klasma.github.io/Logging_BERG/artfynd/A 26369-2023.xlsx")</f>
        <v/>
      </c>
      <c r="T304">
        <f>HYPERLINK("https://klasma.github.io/Logging_BERG/kartor/A 26369-2023.png")</f>
        <v/>
      </c>
      <c r="V304">
        <f>HYPERLINK("https://klasma.github.io/Logging_BERG/klagomål/A 26369-2023.docx")</f>
        <v/>
      </c>
      <c r="W304">
        <f>HYPERLINK("https://klasma.github.io/Logging_BERG/klagomålsmail/A 26369-2023.docx")</f>
        <v/>
      </c>
      <c r="X304">
        <f>HYPERLINK("https://klasma.github.io/Logging_BERG/tillsyn/A 26369-2023.docx")</f>
        <v/>
      </c>
      <c r="Y304">
        <f>HYPERLINK("https://klasma.github.io/Logging_BERG/tillsynsmail/A 26369-2023.docx")</f>
        <v/>
      </c>
    </row>
    <row r="305" ht="15" customHeight="1">
      <c r="A305" t="inlineStr">
        <is>
          <t>A 36373-2023</t>
        </is>
      </c>
      <c r="B305" s="1" t="n">
        <v>45149</v>
      </c>
      <c r="C305" s="1" t="n">
        <v>45182</v>
      </c>
      <c r="D305" t="inlineStr">
        <is>
          <t>JÄMTLANDS LÄN</t>
        </is>
      </c>
      <c r="E305" t="inlineStr">
        <is>
          <t>KROKOM</t>
        </is>
      </c>
      <c r="G305" t="n">
        <v>13.8</v>
      </c>
      <c r="H305" t="n">
        <v>1</v>
      </c>
      <c r="I305" t="n">
        <v>1</v>
      </c>
      <c r="J305" t="n">
        <v>5</v>
      </c>
      <c r="K305" t="n">
        <v>1</v>
      </c>
      <c r="L305" t="n">
        <v>0</v>
      </c>
      <c r="M305" t="n">
        <v>0</v>
      </c>
      <c r="N305" t="n">
        <v>0</v>
      </c>
      <c r="O305" t="n">
        <v>6</v>
      </c>
      <c r="P305" t="n">
        <v>1</v>
      </c>
      <c r="Q305" t="n">
        <v>7</v>
      </c>
      <c r="R305" s="2" t="inlineStr">
        <is>
          <t>Rynkskinn
Garnlav
Granticka
Tretåig hackspett
Ullticka
Vitgrynig nållav
Trådticka</t>
        </is>
      </c>
      <c r="S305">
        <f>HYPERLINK("https://klasma.github.io/Logging_KROKOM/artfynd/A 36373-2023.xlsx")</f>
        <v/>
      </c>
      <c r="T305">
        <f>HYPERLINK("https://klasma.github.io/Logging_KROKOM/kartor/A 36373-2023.png")</f>
        <v/>
      </c>
      <c r="V305">
        <f>HYPERLINK("https://klasma.github.io/Logging_KROKOM/klagomål/A 36373-2023.docx")</f>
        <v/>
      </c>
      <c r="W305">
        <f>HYPERLINK("https://klasma.github.io/Logging_KROKOM/klagomålsmail/A 36373-2023.docx")</f>
        <v/>
      </c>
      <c r="X305">
        <f>HYPERLINK("https://klasma.github.io/Logging_KROKOM/tillsyn/A 36373-2023.docx")</f>
        <v/>
      </c>
      <c r="Y305">
        <f>HYPERLINK("https://klasma.github.io/Logging_KROKOM/tillsynsmail/A 36373-2023.docx")</f>
        <v/>
      </c>
    </row>
    <row r="306" ht="15" customHeight="1">
      <c r="A306" t="inlineStr">
        <is>
          <t>A 42372-2018</t>
        </is>
      </c>
      <c r="B306" s="1" t="n">
        <v>43353</v>
      </c>
      <c r="C306" s="1" t="n">
        <v>45182</v>
      </c>
      <c r="D306" t="inlineStr">
        <is>
          <t>JÄMTLANDS LÄN</t>
        </is>
      </c>
      <c r="E306" t="inlineStr">
        <is>
          <t>STRÖMSUND</t>
        </is>
      </c>
      <c r="F306" t="inlineStr">
        <is>
          <t>Holmen skog AB</t>
        </is>
      </c>
      <c r="G306" t="n">
        <v>13.2</v>
      </c>
      <c r="H306" t="n">
        <v>0</v>
      </c>
      <c r="I306" t="n">
        <v>0</v>
      </c>
      <c r="J306" t="n">
        <v>5</v>
      </c>
      <c r="K306" t="n">
        <v>1</v>
      </c>
      <c r="L306" t="n">
        <v>0</v>
      </c>
      <c r="M306" t="n">
        <v>0</v>
      </c>
      <c r="N306" t="n">
        <v>0</v>
      </c>
      <c r="O306" t="n">
        <v>6</v>
      </c>
      <c r="P306" t="n">
        <v>1</v>
      </c>
      <c r="Q306" t="n">
        <v>6</v>
      </c>
      <c r="R306" s="2" t="inlineStr">
        <is>
          <t>Norsk näverlav
Brunpudrad nållav
Gammelgransskål
Garnlav
Granticka
Rödbrun blekspik</t>
        </is>
      </c>
      <c r="S306">
        <f>HYPERLINK("https://klasma.github.io/Logging_STROMSUND/artfynd/A 42372-2018.xlsx")</f>
        <v/>
      </c>
      <c r="T306">
        <f>HYPERLINK("https://klasma.github.io/Logging_STROMSUND/kartor/A 42372-2018.png")</f>
        <v/>
      </c>
      <c r="V306">
        <f>HYPERLINK("https://klasma.github.io/Logging_STROMSUND/klagomål/A 42372-2018.docx")</f>
        <v/>
      </c>
      <c r="W306">
        <f>HYPERLINK("https://klasma.github.io/Logging_STROMSUND/klagomålsmail/A 42372-2018.docx")</f>
        <v/>
      </c>
      <c r="X306">
        <f>HYPERLINK("https://klasma.github.io/Logging_STROMSUND/tillsyn/A 42372-2018.docx")</f>
        <v/>
      </c>
      <c r="Y306">
        <f>HYPERLINK("https://klasma.github.io/Logging_STROMSUND/tillsynsmail/A 42372-2018.docx")</f>
        <v/>
      </c>
    </row>
    <row r="307" ht="15" customHeight="1">
      <c r="A307" t="inlineStr">
        <is>
          <t>A 32501-2019</t>
        </is>
      </c>
      <c r="B307" s="1" t="n">
        <v>43644</v>
      </c>
      <c r="C307" s="1" t="n">
        <v>45182</v>
      </c>
      <c r="D307" t="inlineStr">
        <is>
          <t>JÄMTLANDS LÄN</t>
        </is>
      </c>
      <c r="E307" t="inlineStr">
        <is>
          <t>HÄRJEDALEN</t>
        </is>
      </c>
      <c r="F307" t="inlineStr">
        <is>
          <t>SCA</t>
        </is>
      </c>
      <c r="G307" t="n">
        <v>1</v>
      </c>
      <c r="H307" t="n">
        <v>1</v>
      </c>
      <c r="I307" t="n">
        <v>3</v>
      </c>
      <c r="J307" t="n">
        <v>3</v>
      </c>
      <c r="K307" t="n">
        <v>0</v>
      </c>
      <c r="L307" t="n">
        <v>0</v>
      </c>
      <c r="M307" t="n">
        <v>0</v>
      </c>
      <c r="N307" t="n">
        <v>0</v>
      </c>
      <c r="O307" t="n">
        <v>3</v>
      </c>
      <c r="P307" t="n">
        <v>0</v>
      </c>
      <c r="Q307" t="n">
        <v>6</v>
      </c>
      <c r="R307" s="2" t="inlineStr">
        <is>
          <t>Garnlav
Lunglav
Vitgrynig nållav
Skinnlav
Spindelblomster
Stuplav</t>
        </is>
      </c>
      <c r="S307">
        <f>HYPERLINK("https://klasma.github.io/Logging_HARJEDALEN/artfynd/A 32501-2019.xlsx")</f>
        <v/>
      </c>
      <c r="T307">
        <f>HYPERLINK("https://klasma.github.io/Logging_HARJEDALEN/kartor/A 32501-2019.png")</f>
        <v/>
      </c>
      <c r="V307">
        <f>HYPERLINK("https://klasma.github.io/Logging_HARJEDALEN/klagomål/A 32501-2019.docx")</f>
        <v/>
      </c>
      <c r="W307">
        <f>HYPERLINK("https://klasma.github.io/Logging_HARJEDALEN/klagomålsmail/A 32501-2019.docx")</f>
        <v/>
      </c>
      <c r="X307">
        <f>HYPERLINK("https://klasma.github.io/Logging_HARJEDALEN/tillsyn/A 32501-2019.docx")</f>
        <v/>
      </c>
      <c r="Y307">
        <f>HYPERLINK("https://klasma.github.io/Logging_HARJEDALEN/tillsynsmail/A 32501-2019.docx")</f>
        <v/>
      </c>
    </row>
    <row r="308" ht="15" customHeight="1">
      <c r="A308" t="inlineStr">
        <is>
          <t>A 38530-2019</t>
        </is>
      </c>
      <c r="B308" s="1" t="n">
        <v>43685</v>
      </c>
      <c r="C308" s="1" t="n">
        <v>45182</v>
      </c>
      <c r="D308" t="inlineStr">
        <is>
          <t>JÄMTLANDS LÄN</t>
        </is>
      </c>
      <c r="E308" t="inlineStr">
        <is>
          <t>HÄRJEDALEN</t>
        </is>
      </c>
      <c r="F308" t="inlineStr">
        <is>
          <t>Sveaskog</t>
        </is>
      </c>
      <c r="G308" t="n">
        <v>67.8</v>
      </c>
      <c r="H308" t="n">
        <v>0</v>
      </c>
      <c r="I308" t="n">
        <v>1</v>
      </c>
      <c r="J308" t="n">
        <v>5</v>
      </c>
      <c r="K308" t="n">
        <v>0</v>
      </c>
      <c r="L308" t="n">
        <v>0</v>
      </c>
      <c r="M308" t="n">
        <v>0</v>
      </c>
      <c r="N308" t="n">
        <v>0</v>
      </c>
      <c r="O308" t="n">
        <v>5</v>
      </c>
      <c r="P308" t="n">
        <v>0</v>
      </c>
      <c r="Q308" t="n">
        <v>6</v>
      </c>
      <c r="R308" s="2" t="inlineStr">
        <is>
          <t>Garnlav
Kolflarnlav
Mörk kolflarnlav
Skrovellav
Violettgrå tagellav
Skuggblåslav</t>
        </is>
      </c>
      <c r="S308">
        <f>HYPERLINK("https://klasma.github.io/Logging_HARJEDALEN/artfynd/A 38530-2019.xlsx")</f>
        <v/>
      </c>
      <c r="T308">
        <f>HYPERLINK("https://klasma.github.io/Logging_HARJEDALEN/kartor/A 38530-2019.png")</f>
        <v/>
      </c>
      <c r="V308">
        <f>HYPERLINK("https://klasma.github.io/Logging_HARJEDALEN/klagomål/A 38530-2019.docx")</f>
        <v/>
      </c>
      <c r="W308">
        <f>HYPERLINK("https://klasma.github.io/Logging_HARJEDALEN/klagomålsmail/A 38530-2019.docx")</f>
        <v/>
      </c>
      <c r="X308">
        <f>HYPERLINK("https://klasma.github.io/Logging_HARJEDALEN/tillsyn/A 38530-2019.docx")</f>
        <v/>
      </c>
      <c r="Y308">
        <f>HYPERLINK("https://klasma.github.io/Logging_HARJEDALEN/tillsynsmail/A 38530-2019.docx")</f>
        <v/>
      </c>
    </row>
    <row r="309" ht="15" customHeight="1">
      <c r="A309" t="inlineStr">
        <is>
          <t>A 68314-2019</t>
        </is>
      </c>
      <c r="B309" s="1" t="n">
        <v>43817</v>
      </c>
      <c r="C309" s="1" t="n">
        <v>45182</v>
      </c>
      <c r="D309" t="inlineStr">
        <is>
          <t>JÄMTLANDS LÄN</t>
        </is>
      </c>
      <c r="E309" t="inlineStr">
        <is>
          <t>KROKOM</t>
        </is>
      </c>
      <c r="F309" t="inlineStr">
        <is>
          <t>SCA</t>
        </is>
      </c>
      <c r="G309" t="n">
        <v>12.6</v>
      </c>
      <c r="H309" t="n">
        <v>0</v>
      </c>
      <c r="I309" t="n">
        <v>1</v>
      </c>
      <c r="J309" t="n">
        <v>3</v>
      </c>
      <c r="K309" t="n">
        <v>2</v>
      </c>
      <c r="L309" t="n">
        <v>0</v>
      </c>
      <c r="M309" t="n">
        <v>0</v>
      </c>
      <c r="N309" t="n">
        <v>0</v>
      </c>
      <c r="O309" t="n">
        <v>5</v>
      </c>
      <c r="P309" t="n">
        <v>2</v>
      </c>
      <c r="Q309" t="n">
        <v>6</v>
      </c>
      <c r="R309" s="2" t="inlineStr">
        <is>
          <t>Gräddporing
Rynkskinn
Doftskinn
Tallticka
Vedtrappmossa
Korallblylav</t>
        </is>
      </c>
      <c r="S309">
        <f>HYPERLINK("https://klasma.github.io/Logging_KROKOM/artfynd/A 68314-2019.xlsx")</f>
        <v/>
      </c>
      <c r="T309">
        <f>HYPERLINK("https://klasma.github.io/Logging_KROKOM/kartor/A 68314-2019.png")</f>
        <v/>
      </c>
      <c r="V309">
        <f>HYPERLINK("https://klasma.github.io/Logging_KROKOM/klagomål/A 68314-2019.docx")</f>
        <v/>
      </c>
      <c r="W309">
        <f>HYPERLINK("https://klasma.github.io/Logging_KROKOM/klagomålsmail/A 68314-2019.docx")</f>
        <v/>
      </c>
      <c r="X309">
        <f>HYPERLINK("https://klasma.github.io/Logging_KROKOM/tillsyn/A 68314-2019.docx")</f>
        <v/>
      </c>
      <c r="Y309">
        <f>HYPERLINK("https://klasma.github.io/Logging_KROKOM/tillsynsmail/A 68314-2019.docx")</f>
        <v/>
      </c>
    </row>
    <row r="310" ht="15" customHeight="1">
      <c r="A310" t="inlineStr">
        <is>
          <t>A 31537-2020</t>
        </is>
      </c>
      <c r="B310" s="1" t="n">
        <v>44013</v>
      </c>
      <c r="C310" s="1" t="n">
        <v>45182</v>
      </c>
      <c r="D310" t="inlineStr">
        <is>
          <t>JÄMTLANDS LÄN</t>
        </is>
      </c>
      <c r="E310" t="inlineStr">
        <is>
          <t>KROKOM</t>
        </is>
      </c>
      <c r="G310" t="n">
        <v>5</v>
      </c>
      <c r="H310" t="n">
        <v>2</v>
      </c>
      <c r="I310" t="n">
        <v>1</v>
      </c>
      <c r="J310" t="n">
        <v>4</v>
      </c>
      <c r="K310" t="n">
        <v>1</v>
      </c>
      <c r="L310" t="n">
        <v>0</v>
      </c>
      <c r="M310" t="n">
        <v>0</v>
      </c>
      <c r="N310" t="n">
        <v>0</v>
      </c>
      <c r="O310" t="n">
        <v>5</v>
      </c>
      <c r="P310" t="n">
        <v>1</v>
      </c>
      <c r="Q310" t="n">
        <v>6</v>
      </c>
      <c r="R310" s="2" t="inlineStr">
        <is>
          <t>Knärot
Garnlav
Gränsticka
Tretåig hackspett
Ullticka
Korallblylav</t>
        </is>
      </c>
      <c r="S310">
        <f>HYPERLINK("https://klasma.github.io/Logging_KROKOM/artfynd/A 31537-2020.xlsx")</f>
        <v/>
      </c>
      <c r="T310">
        <f>HYPERLINK("https://klasma.github.io/Logging_KROKOM/kartor/A 31537-2020.png")</f>
        <v/>
      </c>
      <c r="U310">
        <f>HYPERLINK("https://klasma.github.io/Logging_KROKOM/knärot/A 31537-2020.png")</f>
        <v/>
      </c>
      <c r="V310">
        <f>HYPERLINK("https://klasma.github.io/Logging_KROKOM/klagomål/A 31537-2020.docx")</f>
        <v/>
      </c>
      <c r="W310">
        <f>HYPERLINK("https://klasma.github.io/Logging_KROKOM/klagomålsmail/A 31537-2020.docx")</f>
        <v/>
      </c>
      <c r="X310">
        <f>HYPERLINK("https://klasma.github.io/Logging_KROKOM/tillsyn/A 31537-2020.docx")</f>
        <v/>
      </c>
      <c r="Y310">
        <f>HYPERLINK("https://klasma.github.io/Logging_KROKOM/tillsynsmail/A 31537-2020.docx")</f>
        <v/>
      </c>
    </row>
    <row r="311" ht="15" customHeight="1">
      <c r="A311" t="inlineStr">
        <is>
          <t>A 34633-2020</t>
        </is>
      </c>
      <c r="B311" s="1" t="n">
        <v>44034</v>
      </c>
      <c r="C311" s="1" t="n">
        <v>45182</v>
      </c>
      <c r="D311" t="inlineStr">
        <is>
          <t>JÄMTLANDS LÄN</t>
        </is>
      </c>
      <c r="E311" t="inlineStr">
        <is>
          <t>ÅRE</t>
        </is>
      </c>
      <c r="G311" t="n">
        <v>39.6</v>
      </c>
      <c r="H311" t="n">
        <v>1</v>
      </c>
      <c r="I311" t="n">
        <v>1</v>
      </c>
      <c r="J311" t="n">
        <v>5</v>
      </c>
      <c r="K311" t="n">
        <v>0</v>
      </c>
      <c r="L311" t="n">
        <v>0</v>
      </c>
      <c r="M311" t="n">
        <v>0</v>
      </c>
      <c r="N311" t="n">
        <v>0</v>
      </c>
      <c r="O311" t="n">
        <v>5</v>
      </c>
      <c r="P311" t="n">
        <v>0</v>
      </c>
      <c r="Q311" t="n">
        <v>6</v>
      </c>
      <c r="R311" s="2" t="inlineStr">
        <is>
          <t>Garnlav
Granticka
Gränsticka
Skrovellav
Tretåig hackspett
Sotlav</t>
        </is>
      </c>
      <c r="S311">
        <f>HYPERLINK("https://klasma.github.io/Logging_ARE/artfynd/A 34633-2020.xlsx")</f>
        <v/>
      </c>
      <c r="T311">
        <f>HYPERLINK("https://klasma.github.io/Logging_ARE/kartor/A 34633-2020.png")</f>
        <v/>
      </c>
      <c r="V311">
        <f>HYPERLINK("https://klasma.github.io/Logging_ARE/klagomål/A 34633-2020.docx")</f>
        <v/>
      </c>
      <c r="W311">
        <f>HYPERLINK("https://klasma.github.io/Logging_ARE/klagomålsmail/A 34633-2020.docx")</f>
        <v/>
      </c>
      <c r="X311">
        <f>HYPERLINK("https://klasma.github.io/Logging_ARE/tillsyn/A 34633-2020.docx")</f>
        <v/>
      </c>
      <c r="Y311">
        <f>HYPERLINK("https://klasma.github.io/Logging_ARE/tillsynsmail/A 34633-2020.docx")</f>
        <v/>
      </c>
    </row>
    <row r="312" ht="15" customHeight="1">
      <c r="A312" t="inlineStr">
        <is>
          <t>A 61315-2020</t>
        </is>
      </c>
      <c r="B312" s="1" t="n">
        <v>44155</v>
      </c>
      <c r="C312" s="1" t="n">
        <v>45182</v>
      </c>
      <c r="D312" t="inlineStr">
        <is>
          <t>JÄMTLANDS LÄN</t>
        </is>
      </c>
      <c r="E312" t="inlineStr">
        <is>
          <t>KROKOM</t>
        </is>
      </c>
      <c r="F312" t="inlineStr">
        <is>
          <t>Övriga Aktiebolag</t>
        </is>
      </c>
      <c r="G312" t="n">
        <v>56.4</v>
      </c>
      <c r="H312" t="n">
        <v>0</v>
      </c>
      <c r="I312" t="n">
        <v>3</v>
      </c>
      <c r="J312" t="n">
        <v>3</v>
      </c>
      <c r="K312" t="n">
        <v>0</v>
      </c>
      <c r="L312" t="n">
        <v>0</v>
      </c>
      <c r="M312" t="n">
        <v>0</v>
      </c>
      <c r="N312" t="n">
        <v>0</v>
      </c>
      <c r="O312" t="n">
        <v>3</v>
      </c>
      <c r="P312" t="n">
        <v>0</v>
      </c>
      <c r="Q312" t="n">
        <v>6</v>
      </c>
      <c r="R312" s="2" t="inlineStr">
        <is>
          <t>Gammelgransskål
Granticka
Vitgrynig nållav
Barkkornlav
Skinnlav
Vedticka</t>
        </is>
      </c>
      <c r="S312">
        <f>HYPERLINK("https://klasma.github.io/Logging_KROKOM/artfynd/A 61315-2020.xlsx")</f>
        <v/>
      </c>
      <c r="T312">
        <f>HYPERLINK("https://klasma.github.io/Logging_KROKOM/kartor/A 61315-2020.png")</f>
        <v/>
      </c>
      <c r="V312">
        <f>HYPERLINK("https://klasma.github.io/Logging_KROKOM/klagomål/A 61315-2020.docx")</f>
        <v/>
      </c>
      <c r="W312">
        <f>HYPERLINK("https://klasma.github.io/Logging_KROKOM/klagomålsmail/A 61315-2020.docx")</f>
        <v/>
      </c>
      <c r="X312">
        <f>HYPERLINK("https://klasma.github.io/Logging_KROKOM/tillsyn/A 61315-2020.docx")</f>
        <v/>
      </c>
      <c r="Y312">
        <f>HYPERLINK("https://klasma.github.io/Logging_KROKOM/tillsynsmail/A 61315-2020.docx")</f>
        <v/>
      </c>
    </row>
    <row r="313" ht="15" customHeight="1">
      <c r="A313" t="inlineStr">
        <is>
          <t>A 63324-2020</t>
        </is>
      </c>
      <c r="B313" s="1" t="n">
        <v>44165</v>
      </c>
      <c r="C313" s="1" t="n">
        <v>45182</v>
      </c>
      <c r="D313" t="inlineStr">
        <is>
          <t>JÄMTLANDS LÄN</t>
        </is>
      </c>
      <c r="E313" t="inlineStr">
        <is>
          <t>ÅRE</t>
        </is>
      </c>
      <c r="G313" t="n">
        <v>61.4</v>
      </c>
      <c r="H313" t="n">
        <v>0</v>
      </c>
      <c r="I313" t="n">
        <v>2</v>
      </c>
      <c r="J313" t="n">
        <v>3</v>
      </c>
      <c r="K313" t="n">
        <v>1</v>
      </c>
      <c r="L313" t="n">
        <v>0</v>
      </c>
      <c r="M313" t="n">
        <v>0</v>
      </c>
      <c r="N313" t="n">
        <v>0</v>
      </c>
      <c r="O313" t="n">
        <v>4</v>
      </c>
      <c r="P313" t="n">
        <v>1</v>
      </c>
      <c r="Q313" t="n">
        <v>6</v>
      </c>
      <c r="R313" s="2" t="inlineStr">
        <is>
          <t>Rynkskinn
Skrovellav
Ullticka
Vedflikmossa
Sotlav
Vedticka</t>
        </is>
      </c>
      <c r="S313">
        <f>HYPERLINK("https://klasma.github.io/Logging_ARE/artfynd/A 63324-2020.xlsx")</f>
        <v/>
      </c>
      <c r="T313">
        <f>HYPERLINK("https://klasma.github.io/Logging_ARE/kartor/A 63324-2020.png")</f>
        <v/>
      </c>
      <c r="V313">
        <f>HYPERLINK("https://klasma.github.io/Logging_ARE/klagomål/A 63324-2020.docx")</f>
        <v/>
      </c>
      <c r="W313">
        <f>HYPERLINK("https://klasma.github.io/Logging_ARE/klagomålsmail/A 63324-2020.docx")</f>
        <v/>
      </c>
      <c r="X313">
        <f>HYPERLINK("https://klasma.github.io/Logging_ARE/tillsyn/A 63324-2020.docx")</f>
        <v/>
      </c>
      <c r="Y313">
        <f>HYPERLINK("https://klasma.github.io/Logging_ARE/tillsynsmail/A 63324-2020.docx")</f>
        <v/>
      </c>
    </row>
    <row r="314" ht="15" customHeight="1">
      <c r="A314" t="inlineStr">
        <is>
          <t>A 64062-2020</t>
        </is>
      </c>
      <c r="B314" s="1" t="n">
        <v>44167</v>
      </c>
      <c r="C314" s="1" t="n">
        <v>45182</v>
      </c>
      <c r="D314" t="inlineStr">
        <is>
          <t>JÄMTLANDS LÄN</t>
        </is>
      </c>
      <c r="E314" t="inlineStr">
        <is>
          <t>BRÄCKE</t>
        </is>
      </c>
      <c r="F314" t="inlineStr">
        <is>
          <t>Övriga Aktiebolag</t>
        </is>
      </c>
      <c r="G314" t="n">
        <v>14</v>
      </c>
      <c r="H314" t="n">
        <v>3</v>
      </c>
      <c r="I314" t="n">
        <v>4</v>
      </c>
      <c r="J314" t="n">
        <v>1</v>
      </c>
      <c r="K314" t="n">
        <v>0</v>
      </c>
      <c r="L314" t="n">
        <v>0</v>
      </c>
      <c r="M314" t="n">
        <v>0</v>
      </c>
      <c r="N314" t="n">
        <v>0</v>
      </c>
      <c r="O314" t="n">
        <v>1</v>
      </c>
      <c r="P314" t="n">
        <v>0</v>
      </c>
      <c r="Q314" t="n">
        <v>6</v>
      </c>
      <c r="R314" s="2" t="inlineStr">
        <is>
          <t>Garnlav
Gräsull
Guckusko
Tvåblad
Vågbandad barkbock
Fläcknycklar</t>
        </is>
      </c>
      <c r="S314">
        <f>HYPERLINK("https://klasma.github.io/Logging_BRACKE/artfynd/A 64062-2020.xlsx")</f>
        <v/>
      </c>
      <c r="T314">
        <f>HYPERLINK("https://klasma.github.io/Logging_BRACKE/kartor/A 64062-2020.png")</f>
        <v/>
      </c>
      <c r="U314">
        <f>HYPERLINK("https://klasma.github.io/Logging_BRACKE/knärot/A 64062-2020.png")</f>
        <v/>
      </c>
      <c r="V314">
        <f>HYPERLINK("https://klasma.github.io/Logging_BRACKE/klagomål/A 64062-2020.docx")</f>
        <v/>
      </c>
      <c r="W314">
        <f>HYPERLINK("https://klasma.github.io/Logging_BRACKE/klagomålsmail/A 64062-2020.docx")</f>
        <v/>
      </c>
      <c r="X314">
        <f>HYPERLINK("https://klasma.github.io/Logging_BRACKE/tillsyn/A 64062-2020.docx")</f>
        <v/>
      </c>
      <c r="Y314">
        <f>HYPERLINK("https://klasma.github.io/Logging_BRACKE/tillsynsmail/A 64062-2020.docx")</f>
        <v/>
      </c>
    </row>
    <row r="315" ht="15" customHeight="1">
      <c r="A315" t="inlineStr">
        <is>
          <t>A 65832-2020</t>
        </is>
      </c>
      <c r="B315" s="1" t="n">
        <v>44174</v>
      </c>
      <c r="C315" s="1" t="n">
        <v>45182</v>
      </c>
      <c r="D315" t="inlineStr">
        <is>
          <t>JÄMTLANDS LÄN</t>
        </is>
      </c>
      <c r="E315" t="inlineStr">
        <is>
          <t>STRÖMSUND</t>
        </is>
      </c>
      <c r="F315" t="inlineStr">
        <is>
          <t>Holmen skog AB</t>
        </is>
      </c>
      <c r="G315" t="n">
        <v>42.2</v>
      </c>
      <c r="H315" t="n">
        <v>1</v>
      </c>
      <c r="I315" t="n">
        <v>1</v>
      </c>
      <c r="J315" t="n">
        <v>5</v>
      </c>
      <c r="K315" t="n">
        <v>0</v>
      </c>
      <c r="L315" t="n">
        <v>0</v>
      </c>
      <c r="M315" t="n">
        <v>0</v>
      </c>
      <c r="N315" t="n">
        <v>0</v>
      </c>
      <c r="O315" t="n">
        <v>5</v>
      </c>
      <c r="P315" t="n">
        <v>0</v>
      </c>
      <c r="Q315" t="n">
        <v>6</v>
      </c>
      <c r="R315" s="2" t="inlineStr">
        <is>
          <t>Gränsticka
Harticka
Skrovellav
Tretåig hackspett
Vitgrynig nållav
Gulnål</t>
        </is>
      </c>
      <c r="S315">
        <f>HYPERLINK("https://klasma.github.io/Logging_STROMSUND/artfynd/A 65832-2020.xlsx")</f>
        <v/>
      </c>
      <c r="T315">
        <f>HYPERLINK("https://klasma.github.io/Logging_STROMSUND/kartor/A 65832-2020.png")</f>
        <v/>
      </c>
      <c r="V315">
        <f>HYPERLINK("https://klasma.github.io/Logging_STROMSUND/klagomål/A 65832-2020.docx")</f>
        <v/>
      </c>
      <c r="W315">
        <f>HYPERLINK("https://klasma.github.io/Logging_STROMSUND/klagomålsmail/A 65832-2020.docx")</f>
        <v/>
      </c>
      <c r="X315">
        <f>HYPERLINK("https://klasma.github.io/Logging_STROMSUND/tillsyn/A 65832-2020.docx")</f>
        <v/>
      </c>
      <c r="Y315">
        <f>HYPERLINK("https://klasma.github.io/Logging_STROMSUND/tillsynsmail/A 65832-2020.docx")</f>
        <v/>
      </c>
    </row>
    <row r="316" ht="15" customHeight="1">
      <c r="A316" t="inlineStr">
        <is>
          <t>A 1762-2021</t>
        </is>
      </c>
      <c r="B316" s="1" t="n">
        <v>44209</v>
      </c>
      <c r="C316" s="1" t="n">
        <v>45182</v>
      </c>
      <c r="D316" t="inlineStr">
        <is>
          <t>JÄMTLANDS LÄN</t>
        </is>
      </c>
      <c r="E316" t="inlineStr">
        <is>
          <t>RAGUNDA</t>
        </is>
      </c>
      <c r="G316" t="n">
        <v>1</v>
      </c>
      <c r="H316" t="n">
        <v>2</v>
      </c>
      <c r="I316" t="n">
        <v>4</v>
      </c>
      <c r="J316" t="n">
        <v>0</v>
      </c>
      <c r="K316" t="n">
        <v>0</v>
      </c>
      <c r="L316" t="n">
        <v>0</v>
      </c>
      <c r="M316" t="n">
        <v>0</v>
      </c>
      <c r="N316" t="n">
        <v>0</v>
      </c>
      <c r="O316" t="n">
        <v>0</v>
      </c>
      <c r="P316" t="n">
        <v>0</v>
      </c>
      <c r="Q316" t="n">
        <v>6</v>
      </c>
      <c r="R316" s="2" t="inlineStr">
        <is>
          <t>Aspvedgnagare
Strutbräken
Svart trolldruva
Tibast
Blåsippa
Revlummer</t>
        </is>
      </c>
      <c r="S316">
        <f>HYPERLINK("https://klasma.github.io/Logging_RAGUNDA/artfynd/A 1762-2021.xlsx")</f>
        <v/>
      </c>
      <c r="T316">
        <f>HYPERLINK("https://klasma.github.io/Logging_RAGUNDA/kartor/A 1762-2021.png")</f>
        <v/>
      </c>
      <c r="V316">
        <f>HYPERLINK("https://klasma.github.io/Logging_RAGUNDA/klagomål/A 1762-2021.docx")</f>
        <v/>
      </c>
      <c r="W316">
        <f>HYPERLINK("https://klasma.github.io/Logging_RAGUNDA/klagomålsmail/A 1762-2021.docx")</f>
        <v/>
      </c>
      <c r="X316">
        <f>HYPERLINK("https://klasma.github.io/Logging_RAGUNDA/tillsyn/A 1762-2021.docx")</f>
        <v/>
      </c>
      <c r="Y316">
        <f>HYPERLINK("https://klasma.github.io/Logging_RAGUNDA/tillsynsmail/A 1762-2021.docx")</f>
        <v/>
      </c>
    </row>
    <row r="317" ht="15" customHeight="1">
      <c r="A317" t="inlineStr">
        <is>
          <t>A 7732-2021</t>
        </is>
      </c>
      <c r="B317" s="1" t="n">
        <v>44242</v>
      </c>
      <c r="C317" s="1" t="n">
        <v>45182</v>
      </c>
      <c r="D317" t="inlineStr">
        <is>
          <t>JÄMTLANDS LÄN</t>
        </is>
      </c>
      <c r="E317" t="inlineStr">
        <is>
          <t>HÄRJEDALEN</t>
        </is>
      </c>
      <c r="G317" t="n">
        <v>30.5</v>
      </c>
      <c r="H317" t="n">
        <v>0</v>
      </c>
      <c r="I317" t="n">
        <v>2</v>
      </c>
      <c r="J317" t="n">
        <v>4</v>
      </c>
      <c r="K317" t="n">
        <v>0</v>
      </c>
      <c r="L317" t="n">
        <v>0</v>
      </c>
      <c r="M317" t="n">
        <v>0</v>
      </c>
      <c r="N317" t="n">
        <v>0</v>
      </c>
      <c r="O317" t="n">
        <v>4</v>
      </c>
      <c r="P317" t="n">
        <v>0</v>
      </c>
      <c r="Q317" t="n">
        <v>6</v>
      </c>
      <c r="R317" s="2" t="inlineStr">
        <is>
          <t>Garnlav
Granticka
Knottrig blåslav
Vitgrynig nållav
Stuplav
Vedticka</t>
        </is>
      </c>
      <c r="S317">
        <f>HYPERLINK("https://klasma.github.io/Logging_HARJEDALEN/artfynd/A 7732-2021.xlsx")</f>
        <v/>
      </c>
      <c r="T317">
        <f>HYPERLINK("https://klasma.github.io/Logging_HARJEDALEN/kartor/A 7732-2021.png")</f>
        <v/>
      </c>
      <c r="V317">
        <f>HYPERLINK("https://klasma.github.io/Logging_HARJEDALEN/klagomål/A 7732-2021.docx")</f>
        <v/>
      </c>
      <c r="W317">
        <f>HYPERLINK("https://klasma.github.io/Logging_HARJEDALEN/klagomålsmail/A 7732-2021.docx")</f>
        <v/>
      </c>
      <c r="X317">
        <f>HYPERLINK("https://klasma.github.io/Logging_HARJEDALEN/tillsyn/A 7732-2021.docx")</f>
        <v/>
      </c>
      <c r="Y317">
        <f>HYPERLINK("https://klasma.github.io/Logging_HARJEDALEN/tillsynsmail/A 7732-2021.docx")</f>
        <v/>
      </c>
    </row>
    <row r="318" ht="15" customHeight="1">
      <c r="A318" t="inlineStr">
        <is>
          <t>A 12925-2021</t>
        </is>
      </c>
      <c r="B318" s="1" t="n">
        <v>44271</v>
      </c>
      <c r="C318" s="1" t="n">
        <v>45182</v>
      </c>
      <c r="D318" t="inlineStr">
        <is>
          <t>JÄMTLANDS LÄN</t>
        </is>
      </c>
      <c r="E318" t="inlineStr">
        <is>
          <t>KROKOM</t>
        </is>
      </c>
      <c r="G318" t="n">
        <v>12</v>
      </c>
      <c r="H318" t="n">
        <v>0</v>
      </c>
      <c r="I318" t="n">
        <v>5</v>
      </c>
      <c r="J318" t="n">
        <v>1</v>
      </c>
      <c r="K318" t="n">
        <v>0</v>
      </c>
      <c r="L318" t="n">
        <v>0</v>
      </c>
      <c r="M318" t="n">
        <v>0</v>
      </c>
      <c r="N318" t="n">
        <v>0</v>
      </c>
      <c r="O318" t="n">
        <v>1</v>
      </c>
      <c r="P318" t="n">
        <v>0</v>
      </c>
      <c r="Q318" t="n">
        <v>6</v>
      </c>
      <c r="R318" s="2" t="inlineStr">
        <is>
          <t>Flattoppad klubbsvamp
Barrfagerspindling
Diskvaxskivling
Kryddspindling
Strimspindling
Svavelriska</t>
        </is>
      </c>
      <c r="S318">
        <f>HYPERLINK("https://klasma.github.io/Logging_KROKOM/artfynd/A 12925-2021.xlsx")</f>
        <v/>
      </c>
      <c r="T318">
        <f>HYPERLINK("https://klasma.github.io/Logging_KROKOM/kartor/A 12925-2021.png")</f>
        <v/>
      </c>
      <c r="V318">
        <f>HYPERLINK("https://klasma.github.io/Logging_KROKOM/klagomål/A 12925-2021.docx")</f>
        <v/>
      </c>
      <c r="W318">
        <f>HYPERLINK("https://klasma.github.io/Logging_KROKOM/klagomålsmail/A 12925-2021.docx")</f>
        <v/>
      </c>
      <c r="X318">
        <f>HYPERLINK("https://klasma.github.io/Logging_KROKOM/tillsyn/A 12925-2021.docx")</f>
        <v/>
      </c>
      <c r="Y318">
        <f>HYPERLINK("https://klasma.github.io/Logging_KROKOM/tillsynsmail/A 12925-2021.docx")</f>
        <v/>
      </c>
    </row>
    <row r="319" ht="15" customHeight="1">
      <c r="A319" t="inlineStr">
        <is>
          <t>A 14205-2021</t>
        </is>
      </c>
      <c r="B319" s="1" t="n">
        <v>44278</v>
      </c>
      <c r="C319" s="1" t="n">
        <v>45182</v>
      </c>
      <c r="D319" t="inlineStr">
        <is>
          <t>JÄMTLANDS LÄN</t>
        </is>
      </c>
      <c r="E319" t="inlineStr">
        <is>
          <t>ÅRE</t>
        </is>
      </c>
      <c r="G319" t="n">
        <v>16.7</v>
      </c>
      <c r="H319" t="n">
        <v>1</v>
      </c>
      <c r="I319" t="n">
        <v>2</v>
      </c>
      <c r="J319" t="n">
        <v>4</v>
      </c>
      <c r="K319" t="n">
        <v>0</v>
      </c>
      <c r="L319" t="n">
        <v>0</v>
      </c>
      <c r="M319" t="n">
        <v>0</v>
      </c>
      <c r="N319" t="n">
        <v>0</v>
      </c>
      <c r="O319" t="n">
        <v>4</v>
      </c>
      <c r="P319" t="n">
        <v>0</v>
      </c>
      <c r="Q319" t="n">
        <v>6</v>
      </c>
      <c r="R319" s="2" t="inlineStr">
        <is>
          <t>Granticka
Leptoporus mollis
Skrovellav
Tretåig hackspett
Blåmossa
Stuplav</t>
        </is>
      </c>
      <c r="S319">
        <f>HYPERLINK("https://klasma.github.io/Logging_ARE/artfynd/A 14205-2021.xlsx")</f>
        <v/>
      </c>
      <c r="T319">
        <f>HYPERLINK("https://klasma.github.io/Logging_ARE/kartor/A 14205-2021.png")</f>
        <v/>
      </c>
      <c r="V319">
        <f>HYPERLINK("https://klasma.github.io/Logging_ARE/klagomål/A 14205-2021.docx")</f>
        <v/>
      </c>
      <c r="W319">
        <f>HYPERLINK("https://klasma.github.io/Logging_ARE/klagomålsmail/A 14205-2021.docx")</f>
        <v/>
      </c>
      <c r="X319">
        <f>HYPERLINK("https://klasma.github.io/Logging_ARE/tillsyn/A 14205-2021.docx")</f>
        <v/>
      </c>
      <c r="Y319">
        <f>HYPERLINK("https://klasma.github.io/Logging_ARE/tillsynsmail/A 14205-2021.docx")</f>
        <v/>
      </c>
    </row>
    <row r="320" ht="15" customHeight="1">
      <c r="A320" t="inlineStr">
        <is>
          <t>A 16508-2021</t>
        </is>
      </c>
      <c r="B320" s="1" t="n">
        <v>44293</v>
      </c>
      <c r="C320" s="1" t="n">
        <v>45182</v>
      </c>
      <c r="D320" t="inlineStr">
        <is>
          <t>JÄMTLANDS LÄN</t>
        </is>
      </c>
      <c r="E320" t="inlineStr">
        <is>
          <t>BERG</t>
        </is>
      </c>
      <c r="G320" t="n">
        <v>18.9</v>
      </c>
      <c r="H320" t="n">
        <v>0</v>
      </c>
      <c r="I320" t="n">
        <v>1</v>
      </c>
      <c r="J320" t="n">
        <v>5</v>
      </c>
      <c r="K320" t="n">
        <v>0</v>
      </c>
      <c r="L320" t="n">
        <v>0</v>
      </c>
      <c r="M320" t="n">
        <v>0</v>
      </c>
      <c r="N320" t="n">
        <v>0</v>
      </c>
      <c r="O320" t="n">
        <v>5</v>
      </c>
      <c r="P320" t="n">
        <v>0</v>
      </c>
      <c r="Q320" t="n">
        <v>6</v>
      </c>
      <c r="R320" s="2" t="inlineStr">
        <is>
          <t>Gammelgransskål
Garnlav
Granticka
Knottrig blåslav
Rödbrun blekspik
Vedticka</t>
        </is>
      </c>
      <c r="S320">
        <f>HYPERLINK("https://klasma.github.io/Logging_BERG/artfynd/A 16508-2021.xlsx")</f>
        <v/>
      </c>
      <c r="T320">
        <f>HYPERLINK("https://klasma.github.io/Logging_BERG/kartor/A 16508-2021.png")</f>
        <v/>
      </c>
      <c r="V320">
        <f>HYPERLINK("https://klasma.github.io/Logging_BERG/klagomål/A 16508-2021.docx")</f>
        <v/>
      </c>
      <c r="W320">
        <f>HYPERLINK("https://klasma.github.io/Logging_BERG/klagomålsmail/A 16508-2021.docx")</f>
        <v/>
      </c>
      <c r="X320">
        <f>HYPERLINK("https://klasma.github.io/Logging_BERG/tillsyn/A 16508-2021.docx")</f>
        <v/>
      </c>
      <c r="Y320">
        <f>HYPERLINK("https://klasma.github.io/Logging_BERG/tillsynsmail/A 16508-2021.docx")</f>
        <v/>
      </c>
    </row>
    <row r="321" ht="15" customHeight="1">
      <c r="A321" t="inlineStr">
        <is>
          <t>A 19014-2021</t>
        </is>
      </c>
      <c r="B321" s="1" t="n">
        <v>44308</v>
      </c>
      <c r="C321" s="1" t="n">
        <v>45182</v>
      </c>
      <c r="D321" t="inlineStr">
        <is>
          <t>JÄMTLANDS LÄN</t>
        </is>
      </c>
      <c r="E321" t="inlineStr">
        <is>
          <t>KROKOM</t>
        </is>
      </c>
      <c r="G321" t="n">
        <v>4.5</v>
      </c>
      <c r="H321" t="n">
        <v>2</v>
      </c>
      <c r="I321" t="n">
        <v>2</v>
      </c>
      <c r="J321" t="n">
        <v>3</v>
      </c>
      <c r="K321" t="n">
        <v>0</v>
      </c>
      <c r="L321" t="n">
        <v>0</v>
      </c>
      <c r="M321" t="n">
        <v>0</v>
      </c>
      <c r="N321" t="n">
        <v>0</v>
      </c>
      <c r="O321" t="n">
        <v>3</v>
      </c>
      <c r="P321" t="n">
        <v>0</v>
      </c>
      <c r="Q321" t="n">
        <v>6</v>
      </c>
      <c r="R321" s="2" t="inlineStr">
        <is>
          <t>Garnlav
Lunglav
Skrovellav
Kransrams
Spindelblomster
Fläcknycklar</t>
        </is>
      </c>
      <c r="S321">
        <f>HYPERLINK("https://klasma.github.io/Logging_KROKOM/artfynd/A 19014-2021.xlsx")</f>
        <v/>
      </c>
      <c r="T321">
        <f>HYPERLINK("https://klasma.github.io/Logging_KROKOM/kartor/A 19014-2021.png")</f>
        <v/>
      </c>
      <c r="V321">
        <f>HYPERLINK("https://klasma.github.io/Logging_KROKOM/klagomål/A 19014-2021.docx")</f>
        <v/>
      </c>
      <c r="W321">
        <f>HYPERLINK("https://klasma.github.io/Logging_KROKOM/klagomålsmail/A 19014-2021.docx")</f>
        <v/>
      </c>
      <c r="X321">
        <f>HYPERLINK("https://klasma.github.io/Logging_KROKOM/tillsyn/A 19014-2021.docx")</f>
        <v/>
      </c>
      <c r="Y321">
        <f>HYPERLINK("https://klasma.github.io/Logging_KROKOM/tillsynsmail/A 19014-2021.docx")</f>
        <v/>
      </c>
    </row>
    <row r="322" ht="15" customHeight="1">
      <c r="A322" t="inlineStr">
        <is>
          <t>A 24523-2021</t>
        </is>
      </c>
      <c r="B322" s="1" t="n">
        <v>44337</v>
      </c>
      <c r="C322" s="1" t="n">
        <v>45182</v>
      </c>
      <c r="D322" t="inlineStr">
        <is>
          <t>JÄMTLANDS LÄN</t>
        </is>
      </c>
      <c r="E322" t="inlineStr">
        <is>
          <t>ÖSTERSUND</t>
        </is>
      </c>
      <c r="G322" t="n">
        <v>9.300000000000001</v>
      </c>
      <c r="H322" t="n">
        <v>2</v>
      </c>
      <c r="I322" t="n">
        <v>3</v>
      </c>
      <c r="J322" t="n">
        <v>2</v>
      </c>
      <c r="K322" t="n">
        <v>0</v>
      </c>
      <c r="L322" t="n">
        <v>0</v>
      </c>
      <c r="M322" t="n">
        <v>0</v>
      </c>
      <c r="N322" t="n">
        <v>0</v>
      </c>
      <c r="O322" t="n">
        <v>2</v>
      </c>
      <c r="P322" t="n">
        <v>0</v>
      </c>
      <c r="Q322" t="n">
        <v>6</v>
      </c>
      <c r="R322" s="2" t="inlineStr">
        <is>
          <t>Garnlav
Spillkråka
Svart trolldruva
Tibast
Underviol
Blåsippa</t>
        </is>
      </c>
      <c r="S322">
        <f>HYPERLINK("https://klasma.github.io/Logging_OSTERSUND/artfynd/A 24523-2021.xlsx")</f>
        <v/>
      </c>
      <c r="T322">
        <f>HYPERLINK("https://klasma.github.io/Logging_OSTERSUND/kartor/A 24523-2021.png")</f>
        <v/>
      </c>
      <c r="V322">
        <f>HYPERLINK("https://klasma.github.io/Logging_OSTERSUND/klagomål/A 24523-2021.docx")</f>
        <v/>
      </c>
      <c r="W322">
        <f>HYPERLINK("https://klasma.github.io/Logging_OSTERSUND/klagomålsmail/A 24523-2021.docx")</f>
        <v/>
      </c>
      <c r="X322">
        <f>HYPERLINK("https://klasma.github.io/Logging_OSTERSUND/tillsyn/A 24523-2021.docx")</f>
        <v/>
      </c>
      <c r="Y322">
        <f>HYPERLINK("https://klasma.github.io/Logging_OSTERSUND/tillsynsmail/A 24523-2021.docx")</f>
        <v/>
      </c>
    </row>
    <row r="323" ht="15" customHeight="1">
      <c r="A323" t="inlineStr">
        <is>
          <t>A 28178-2021</t>
        </is>
      </c>
      <c r="B323" s="1" t="n">
        <v>44355</v>
      </c>
      <c r="C323" s="1" t="n">
        <v>45182</v>
      </c>
      <c r="D323" t="inlineStr">
        <is>
          <t>JÄMTLANDS LÄN</t>
        </is>
      </c>
      <c r="E323" t="inlineStr">
        <is>
          <t>KROKOM</t>
        </is>
      </c>
      <c r="G323" t="n">
        <v>8.800000000000001</v>
      </c>
      <c r="H323" t="n">
        <v>4</v>
      </c>
      <c r="I323" t="n">
        <v>4</v>
      </c>
      <c r="J323" t="n">
        <v>0</v>
      </c>
      <c r="K323" t="n">
        <v>0</v>
      </c>
      <c r="L323" t="n">
        <v>0</v>
      </c>
      <c r="M323" t="n">
        <v>0</v>
      </c>
      <c r="N323" t="n">
        <v>0</v>
      </c>
      <c r="O323" t="n">
        <v>0</v>
      </c>
      <c r="P323" t="n">
        <v>0</v>
      </c>
      <c r="Q323" t="n">
        <v>6</v>
      </c>
      <c r="R323" s="2" t="inlineStr">
        <is>
          <t>Finbräken
Grönkulla
Tvåblad
Underviol
Fläcknycklar
Blåsippa</t>
        </is>
      </c>
      <c r="S323">
        <f>HYPERLINK("https://klasma.github.io/Logging_KROKOM/artfynd/A 28178-2021.xlsx")</f>
        <v/>
      </c>
      <c r="T323">
        <f>HYPERLINK("https://klasma.github.io/Logging_KROKOM/kartor/A 28178-2021.png")</f>
        <v/>
      </c>
      <c r="V323">
        <f>HYPERLINK("https://klasma.github.io/Logging_KROKOM/klagomål/A 28178-2021.docx")</f>
        <v/>
      </c>
      <c r="W323">
        <f>HYPERLINK("https://klasma.github.io/Logging_KROKOM/klagomålsmail/A 28178-2021.docx")</f>
        <v/>
      </c>
      <c r="X323">
        <f>HYPERLINK("https://klasma.github.io/Logging_KROKOM/tillsyn/A 28178-2021.docx")</f>
        <v/>
      </c>
      <c r="Y323">
        <f>HYPERLINK("https://klasma.github.io/Logging_KROKOM/tillsynsmail/A 28178-2021.docx")</f>
        <v/>
      </c>
    </row>
    <row r="324" ht="15" customHeight="1">
      <c r="A324" t="inlineStr">
        <is>
          <t>A 28512-2021</t>
        </is>
      </c>
      <c r="B324" s="1" t="n">
        <v>44356</v>
      </c>
      <c r="C324" s="1" t="n">
        <v>45182</v>
      </c>
      <c r="D324" t="inlineStr">
        <is>
          <t>JÄMTLANDS LÄN</t>
        </is>
      </c>
      <c r="E324" t="inlineStr">
        <is>
          <t>ÖSTERSUND</t>
        </is>
      </c>
      <c r="G324" t="n">
        <v>1.5</v>
      </c>
      <c r="H324" t="n">
        <v>2</v>
      </c>
      <c r="I324" t="n">
        <v>1</v>
      </c>
      <c r="J324" t="n">
        <v>5</v>
      </c>
      <c r="K324" t="n">
        <v>0</v>
      </c>
      <c r="L324" t="n">
        <v>0</v>
      </c>
      <c r="M324" t="n">
        <v>0</v>
      </c>
      <c r="N324" t="n">
        <v>0</v>
      </c>
      <c r="O324" t="n">
        <v>5</v>
      </c>
      <c r="P324" t="n">
        <v>0</v>
      </c>
      <c r="Q324" t="n">
        <v>6</v>
      </c>
      <c r="R324" s="2" t="inlineStr">
        <is>
          <t>Garnlav
Lunglav
Skrovellav
Talltita
Tretåig hackspett
Luddlav</t>
        </is>
      </c>
      <c r="S324">
        <f>HYPERLINK("https://klasma.github.io/Logging_OSTERSUND/artfynd/A 28512-2021.xlsx")</f>
        <v/>
      </c>
      <c r="T324">
        <f>HYPERLINK("https://klasma.github.io/Logging_OSTERSUND/kartor/A 28512-2021.png")</f>
        <v/>
      </c>
      <c r="U324">
        <f>HYPERLINK("https://klasma.github.io/Logging_OSTERSUND/knärot/A 28512-2021.png")</f>
        <v/>
      </c>
      <c r="V324">
        <f>HYPERLINK("https://klasma.github.io/Logging_OSTERSUND/klagomål/A 28512-2021.docx")</f>
        <v/>
      </c>
      <c r="W324">
        <f>HYPERLINK("https://klasma.github.io/Logging_OSTERSUND/klagomålsmail/A 28512-2021.docx")</f>
        <v/>
      </c>
      <c r="X324">
        <f>HYPERLINK("https://klasma.github.io/Logging_OSTERSUND/tillsyn/A 28512-2021.docx")</f>
        <v/>
      </c>
      <c r="Y324">
        <f>HYPERLINK("https://klasma.github.io/Logging_OSTERSUND/tillsynsmail/A 28512-2021.docx")</f>
        <v/>
      </c>
    </row>
    <row r="325" ht="15" customHeight="1">
      <c r="A325" t="inlineStr">
        <is>
          <t>A 32355-2021</t>
        </is>
      </c>
      <c r="B325" s="1" t="n">
        <v>44371</v>
      </c>
      <c r="C325" s="1" t="n">
        <v>45182</v>
      </c>
      <c r="D325" t="inlineStr">
        <is>
          <t>JÄMTLANDS LÄN</t>
        </is>
      </c>
      <c r="E325" t="inlineStr">
        <is>
          <t>STRÖMSUND</t>
        </is>
      </c>
      <c r="F325" t="inlineStr">
        <is>
          <t>SCA</t>
        </is>
      </c>
      <c r="G325" t="n">
        <v>14.3</v>
      </c>
      <c r="H325" t="n">
        <v>0</v>
      </c>
      <c r="I325" t="n">
        <v>0</v>
      </c>
      <c r="J325" t="n">
        <v>4</v>
      </c>
      <c r="K325" t="n">
        <v>2</v>
      </c>
      <c r="L325" t="n">
        <v>0</v>
      </c>
      <c r="M325" t="n">
        <v>0</v>
      </c>
      <c r="N325" t="n">
        <v>0</v>
      </c>
      <c r="O325" t="n">
        <v>6</v>
      </c>
      <c r="P325" t="n">
        <v>2</v>
      </c>
      <c r="Q325" t="n">
        <v>6</v>
      </c>
      <c r="R325" s="2" t="inlineStr">
        <is>
          <t>Liten sotlav
Norsk näverlav
Gammelgransskål
Granticka
Harticka
Ullticka</t>
        </is>
      </c>
      <c r="S325">
        <f>HYPERLINK("https://klasma.github.io/Logging_STROMSUND/artfynd/A 32355-2021.xlsx")</f>
        <v/>
      </c>
      <c r="T325">
        <f>HYPERLINK("https://klasma.github.io/Logging_STROMSUND/kartor/A 32355-2021.png")</f>
        <v/>
      </c>
      <c r="V325">
        <f>HYPERLINK("https://klasma.github.io/Logging_STROMSUND/klagomål/A 32355-2021.docx")</f>
        <v/>
      </c>
      <c r="W325">
        <f>HYPERLINK("https://klasma.github.io/Logging_STROMSUND/klagomålsmail/A 32355-2021.docx")</f>
        <v/>
      </c>
      <c r="X325">
        <f>HYPERLINK("https://klasma.github.io/Logging_STROMSUND/tillsyn/A 32355-2021.docx")</f>
        <v/>
      </c>
      <c r="Y325">
        <f>HYPERLINK("https://klasma.github.io/Logging_STROMSUND/tillsynsmail/A 32355-2021.docx")</f>
        <v/>
      </c>
    </row>
    <row r="326" ht="15" customHeight="1">
      <c r="A326" t="inlineStr">
        <is>
          <t>A 42550-2021</t>
        </is>
      </c>
      <c r="B326" s="1" t="n">
        <v>44427</v>
      </c>
      <c r="C326" s="1" t="n">
        <v>45182</v>
      </c>
      <c r="D326" t="inlineStr">
        <is>
          <t>JÄMTLANDS LÄN</t>
        </is>
      </c>
      <c r="E326" t="inlineStr">
        <is>
          <t>STRÖMSUND</t>
        </is>
      </c>
      <c r="F326" t="inlineStr">
        <is>
          <t>SCA</t>
        </is>
      </c>
      <c r="G326" t="n">
        <v>4.8</v>
      </c>
      <c r="H326" t="n">
        <v>0</v>
      </c>
      <c r="I326" t="n">
        <v>2</v>
      </c>
      <c r="J326" t="n">
        <v>4</v>
      </c>
      <c r="K326" t="n">
        <v>0</v>
      </c>
      <c r="L326" t="n">
        <v>0</v>
      </c>
      <c r="M326" t="n">
        <v>0</v>
      </c>
      <c r="N326" t="n">
        <v>0</v>
      </c>
      <c r="O326" t="n">
        <v>4</v>
      </c>
      <c r="P326" t="n">
        <v>0</v>
      </c>
      <c r="Q326" t="n">
        <v>6</v>
      </c>
      <c r="R326" s="2" t="inlineStr">
        <is>
          <t>Garnlav
Kolflarnlav
Lunglav
Skrovellav
Källmossa
Ögonpyrola</t>
        </is>
      </c>
      <c r="S326">
        <f>HYPERLINK("https://klasma.github.io/Logging_STROMSUND/artfynd/A 42550-2021.xlsx")</f>
        <v/>
      </c>
      <c r="T326">
        <f>HYPERLINK("https://klasma.github.io/Logging_STROMSUND/kartor/A 42550-2021.png")</f>
        <v/>
      </c>
      <c r="V326">
        <f>HYPERLINK("https://klasma.github.io/Logging_STROMSUND/klagomål/A 42550-2021.docx")</f>
        <v/>
      </c>
      <c r="W326">
        <f>HYPERLINK("https://klasma.github.io/Logging_STROMSUND/klagomålsmail/A 42550-2021.docx")</f>
        <v/>
      </c>
      <c r="X326">
        <f>HYPERLINK("https://klasma.github.io/Logging_STROMSUND/tillsyn/A 42550-2021.docx")</f>
        <v/>
      </c>
      <c r="Y326">
        <f>HYPERLINK("https://klasma.github.io/Logging_STROMSUND/tillsynsmail/A 42550-2021.docx")</f>
        <v/>
      </c>
    </row>
    <row r="327" ht="15" customHeight="1">
      <c r="A327" t="inlineStr">
        <is>
          <t>A 54194-2021</t>
        </is>
      </c>
      <c r="B327" s="1" t="n">
        <v>44470</v>
      </c>
      <c r="C327" s="1" t="n">
        <v>45182</v>
      </c>
      <c r="D327" t="inlineStr">
        <is>
          <t>JÄMTLANDS LÄN</t>
        </is>
      </c>
      <c r="E327" t="inlineStr">
        <is>
          <t>STRÖMSUND</t>
        </is>
      </c>
      <c r="G327" t="n">
        <v>15.8</v>
      </c>
      <c r="H327" t="n">
        <v>2</v>
      </c>
      <c r="I327" t="n">
        <v>3</v>
      </c>
      <c r="J327" t="n">
        <v>2</v>
      </c>
      <c r="K327" t="n">
        <v>0</v>
      </c>
      <c r="L327" t="n">
        <v>0</v>
      </c>
      <c r="M327" t="n">
        <v>0</v>
      </c>
      <c r="N327" t="n">
        <v>0</v>
      </c>
      <c r="O327" t="n">
        <v>2</v>
      </c>
      <c r="P327" t="n">
        <v>0</v>
      </c>
      <c r="Q327" t="n">
        <v>6</v>
      </c>
      <c r="R327" s="2" t="inlineStr">
        <is>
          <t>Granticka
Lunglav
Grönkulla
Kransrams
Stuplav
Blåsippa</t>
        </is>
      </c>
      <c r="S327">
        <f>HYPERLINK("https://klasma.github.io/Logging_STROMSUND/artfynd/A 54194-2021.xlsx")</f>
        <v/>
      </c>
      <c r="T327">
        <f>HYPERLINK("https://klasma.github.io/Logging_STROMSUND/kartor/A 54194-2021.png")</f>
        <v/>
      </c>
      <c r="V327">
        <f>HYPERLINK("https://klasma.github.io/Logging_STROMSUND/klagomål/A 54194-2021.docx")</f>
        <v/>
      </c>
      <c r="W327">
        <f>HYPERLINK("https://klasma.github.io/Logging_STROMSUND/klagomålsmail/A 54194-2021.docx")</f>
        <v/>
      </c>
      <c r="X327">
        <f>HYPERLINK("https://klasma.github.io/Logging_STROMSUND/tillsyn/A 54194-2021.docx")</f>
        <v/>
      </c>
      <c r="Y327">
        <f>HYPERLINK("https://klasma.github.io/Logging_STROMSUND/tillsynsmail/A 54194-2021.docx")</f>
        <v/>
      </c>
    </row>
    <row r="328" ht="15" customHeight="1">
      <c r="A328" t="inlineStr">
        <is>
          <t>A 56194-2021</t>
        </is>
      </c>
      <c r="B328" s="1" t="n">
        <v>44477</v>
      </c>
      <c r="C328" s="1" t="n">
        <v>45182</v>
      </c>
      <c r="D328" t="inlineStr">
        <is>
          <t>JÄMTLANDS LÄN</t>
        </is>
      </c>
      <c r="E328" t="inlineStr">
        <is>
          <t>KROKOM</t>
        </is>
      </c>
      <c r="F328" t="inlineStr">
        <is>
          <t>Övriga Aktiebolag</t>
        </is>
      </c>
      <c r="G328" t="n">
        <v>25.1</v>
      </c>
      <c r="H328" t="n">
        <v>0</v>
      </c>
      <c r="I328" t="n">
        <v>5</v>
      </c>
      <c r="J328" t="n">
        <v>1</v>
      </c>
      <c r="K328" t="n">
        <v>0</v>
      </c>
      <c r="L328" t="n">
        <v>0</v>
      </c>
      <c r="M328" t="n">
        <v>0</v>
      </c>
      <c r="N328" t="n">
        <v>0</v>
      </c>
      <c r="O328" t="n">
        <v>1</v>
      </c>
      <c r="P328" t="n">
        <v>0</v>
      </c>
      <c r="Q328" t="n">
        <v>6</v>
      </c>
      <c r="R328" s="2" t="inlineStr">
        <is>
          <t>Lunglav
Granriska
Kambräken
Korallblylav
Luddlav
Västlig hakmossa</t>
        </is>
      </c>
      <c r="S328">
        <f>HYPERLINK("https://klasma.github.io/Logging_KROKOM/artfynd/A 56194-2021.xlsx")</f>
        <v/>
      </c>
      <c r="T328">
        <f>HYPERLINK("https://klasma.github.io/Logging_KROKOM/kartor/A 56194-2021.png")</f>
        <v/>
      </c>
      <c r="V328">
        <f>HYPERLINK("https://klasma.github.io/Logging_KROKOM/klagomål/A 56194-2021.docx")</f>
        <v/>
      </c>
      <c r="W328">
        <f>HYPERLINK("https://klasma.github.io/Logging_KROKOM/klagomålsmail/A 56194-2021.docx")</f>
        <v/>
      </c>
      <c r="X328">
        <f>HYPERLINK("https://klasma.github.io/Logging_KROKOM/tillsyn/A 56194-2021.docx")</f>
        <v/>
      </c>
      <c r="Y328">
        <f>HYPERLINK("https://klasma.github.io/Logging_KROKOM/tillsynsmail/A 56194-2021.docx")</f>
        <v/>
      </c>
    </row>
    <row r="329" ht="15" customHeight="1">
      <c r="A329" t="inlineStr">
        <is>
          <t>A 60004-2021</t>
        </is>
      </c>
      <c r="B329" s="1" t="n">
        <v>44494</v>
      </c>
      <c r="C329" s="1" t="n">
        <v>45182</v>
      </c>
      <c r="D329" t="inlineStr">
        <is>
          <t>JÄMTLANDS LÄN</t>
        </is>
      </c>
      <c r="E329" t="inlineStr">
        <is>
          <t>KROKOM</t>
        </is>
      </c>
      <c r="F329" t="inlineStr">
        <is>
          <t>SCA</t>
        </is>
      </c>
      <c r="G329" t="n">
        <v>5.8</v>
      </c>
      <c r="H329" t="n">
        <v>3</v>
      </c>
      <c r="I329" t="n">
        <v>3</v>
      </c>
      <c r="J329" t="n">
        <v>1</v>
      </c>
      <c r="K329" t="n">
        <v>1</v>
      </c>
      <c r="L329" t="n">
        <v>0</v>
      </c>
      <c r="M329" t="n">
        <v>0</v>
      </c>
      <c r="N329" t="n">
        <v>0</v>
      </c>
      <c r="O329" t="n">
        <v>2</v>
      </c>
      <c r="P329" t="n">
        <v>1</v>
      </c>
      <c r="Q329" t="n">
        <v>6</v>
      </c>
      <c r="R329" s="2" t="inlineStr">
        <is>
          <t>Knärot
Ullticka
Diskvaxskivling
Guckusko
Svavelriska
Blåsippa</t>
        </is>
      </c>
      <c r="S329">
        <f>HYPERLINK("https://klasma.github.io/Logging_KROKOM/artfynd/A 60004-2021.xlsx")</f>
        <v/>
      </c>
      <c r="T329">
        <f>HYPERLINK("https://klasma.github.io/Logging_KROKOM/kartor/A 60004-2021.png")</f>
        <v/>
      </c>
      <c r="U329">
        <f>HYPERLINK("https://klasma.github.io/Logging_KROKOM/knärot/A 60004-2021.png")</f>
        <v/>
      </c>
      <c r="V329">
        <f>HYPERLINK("https://klasma.github.io/Logging_KROKOM/klagomål/A 60004-2021.docx")</f>
        <v/>
      </c>
      <c r="W329">
        <f>HYPERLINK("https://klasma.github.io/Logging_KROKOM/klagomålsmail/A 60004-2021.docx")</f>
        <v/>
      </c>
      <c r="X329">
        <f>HYPERLINK("https://klasma.github.io/Logging_KROKOM/tillsyn/A 60004-2021.docx")</f>
        <v/>
      </c>
      <c r="Y329">
        <f>HYPERLINK("https://klasma.github.io/Logging_KROKOM/tillsynsmail/A 60004-2021.docx")</f>
        <v/>
      </c>
    </row>
    <row r="330" ht="15" customHeight="1">
      <c r="A330" t="inlineStr">
        <is>
          <t>A 70205-2021</t>
        </is>
      </c>
      <c r="B330" s="1" t="n">
        <v>44534</v>
      </c>
      <c r="C330" s="1" t="n">
        <v>45182</v>
      </c>
      <c r="D330" t="inlineStr">
        <is>
          <t>JÄMTLANDS LÄN</t>
        </is>
      </c>
      <c r="E330" t="inlineStr">
        <is>
          <t>KROKOM</t>
        </is>
      </c>
      <c r="F330" t="inlineStr">
        <is>
          <t>SCA</t>
        </is>
      </c>
      <c r="G330" t="n">
        <v>5.4</v>
      </c>
      <c r="H330" t="n">
        <v>0</v>
      </c>
      <c r="I330" t="n">
        <v>1</v>
      </c>
      <c r="J330" t="n">
        <v>5</v>
      </c>
      <c r="K330" t="n">
        <v>0</v>
      </c>
      <c r="L330" t="n">
        <v>0</v>
      </c>
      <c r="M330" t="n">
        <v>0</v>
      </c>
      <c r="N330" t="n">
        <v>0</v>
      </c>
      <c r="O330" t="n">
        <v>5</v>
      </c>
      <c r="P330" t="n">
        <v>0</v>
      </c>
      <c r="Q330" t="n">
        <v>6</v>
      </c>
      <c r="R330" s="2" t="inlineStr">
        <is>
          <t>Garnlav
Granticka
Harticka
Skrovellav
Ullticka
Trådticka</t>
        </is>
      </c>
      <c r="S330">
        <f>HYPERLINK("https://klasma.github.io/Logging_KROKOM/artfynd/A 70205-2021.xlsx")</f>
        <v/>
      </c>
      <c r="T330">
        <f>HYPERLINK("https://klasma.github.io/Logging_KROKOM/kartor/A 70205-2021.png")</f>
        <v/>
      </c>
      <c r="V330">
        <f>HYPERLINK("https://klasma.github.io/Logging_KROKOM/klagomål/A 70205-2021.docx")</f>
        <v/>
      </c>
      <c r="W330">
        <f>HYPERLINK("https://klasma.github.io/Logging_KROKOM/klagomålsmail/A 70205-2021.docx")</f>
        <v/>
      </c>
      <c r="X330">
        <f>HYPERLINK("https://klasma.github.io/Logging_KROKOM/tillsyn/A 70205-2021.docx")</f>
        <v/>
      </c>
      <c r="Y330">
        <f>HYPERLINK("https://klasma.github.io/Logging_KROKOM/tillsynsmail/A 70205-2021.docx")</f>
        <v/>
      </c>
    </row>
    <row r="331" ht="15" customHeight="1">
      <c r="A331" t="inlineStr">
        <is>
          <t>A 22335-2022</t>
        </is>
      </c>
      <c r="B331" s="1" t="n">
        <v>44712</v>
      </c>
      <c r="C331" s="1" t="n">
        <v>45182</v>
      </c>
      <c r="D331" t="inlineStr">
        <is>
          <t>JÄMTLANDS LÄN</t>
        </is>
      </c>
      <c r="E331" t="inlineStr">
        <is>
          <t>STRÖMSUND</t>
        </is>
      </c>
      <c r="F331" t="inlineStr">
        <is>
          <t>SCA</t>
        </is>
      </c>
      <c r="G331" t="n">
        <v>2.6</v>
      </c>
      <c r="H331" t="n">
        <v>1</v>
      </c>
      <c r="I331" t="n">
        <v>0</v>
      </c>
      <c r="J331" t="n">
        <v>5</v>
      </c>
      <c r="K331" t="n">
        <v>1</v>
      </c>
      <c r="L331" t="n">
        <v>0</v>
      </c>
      <c r="M331" t="n">
        <v>0</v>
      </c>
      <c r="N331" t="n">
        <v>0</v>
      </c>
      <c r="O331" t="n">
        <v>6</v>
      </c>
      <c r="P331" t="n">
        <v>1</v>
      </c>
      <c r="Q331" t="n">
        <v>6</v>
      </c>
      <c r="R331" s="2" t="inlineStr">
        <is>
          <t>Doftticka
Dvärgbägarlav
Kolflarnlav
Lunglav
Vedflamlav
Vedskivlav</t>
        </is>
      </c>
      <c r="S331">
        <f>HYPERLINK("https://klasma.github.io/Logging_STROMSUND/artfynd/A 22335-2022.xlsx")</f>
        <v/>
      </c>
      <c r="T331">
        <f>HYPERLINK("https://klasma.github.io/Logging_STROMSUND/kartor/A 22335-2022.png")</f>
        <v/>
      </c>
      <c r="V331">
        <f>HYPERLINK("https://klasma.github.io/Logging_STROMSUND/klagomål/A 22335-2022.docx")</f>
        <v/>
      </c>
      <c r="W331">
        <f>HYPERLINK("https://klasma.github.io/Logging_STROMSUND/klagomålsmail/A 22335-2022.docx")</f>
        <v/>
      </c>
      <c r="X331">
        <f>HYPERLINK("https://klasma.github.io/Logging_STROMSUND/tillsyn/A 22335-2022.docx")</f>
        <v/>
      </c>
      <c r="Y331">
        <f>HYPERLINK("https://klasma.github.io/Logging_STROMSUND/tillsynsmail/A 22335-2022.docx")</f>
        <v/>
      </c>
    </row>
    <row r="332" ht="15" customHeight="1">
      <c r="A332" t="inlineStr">
        <is>
          <t>A 25817-2022</t>
        </is>
      </c>
      <c r="B332" s="1" t="n">
        <v>44733</v>
      </c>
      <c r="C332" s="1" t="n">
        <v>45182</v>
      </c>
      <c r="D332" t="inlineStr">
        <is>
          <t>JÄMTLANDS LÄN</t>
        </is>
      </c>
      <c r="E332" t="inlineStr">
        <is>
          <t>ÅRE</t>
        </is>
      </c>
      <c r="G332" t="n">
        <v>11.3</v>
      </c>
      <c r="H332" t="n">
        <v>0</v>
      </c>
      <c r="I332" t="n">
        <v>1</v>
      </c>
      <c r="J332" t="n">
        <v>5</v>
      </c>
      <c r="K332" t="n">
        <v>0</v>
      </c>
      <c r="L332" t="n">
        <v>0</v>
      </c>
      <c r="M332" t="n">
        <v>0</v>
      </c>
      <c r="N332" t="n">
        <v>0</v>
      </c>
      <c r="O332" t="n">
        <v>5</v>
      </c>
      <c r="P332" t="n">
        <v>0</v>
      </c>
      <c r="Q332" t="n">
        <v>6</v>
      </c>
      <c r="R332" s="2" t="inlineStr">
        <is>
          <t>Dofttaggsvamp
Garnlav
Granticka
Gränsticka
Harticka
Trådticka</t>
        </is>
      </c>
      <c r="S332">
        <f>HYPERLINK("https://klasma.github.io/Logging_ARE/artfynd/A 25817-2022.xlsx")</f>
        <v/>
      </c>
      <c r="T332">
        <f>HYPERLINK("https://klasma.github.io/Logging_ARE/kartor/A 25817-2022.png")</f>
        <v/>
      </c>
      <c r="V332">
        <f>HYPERLINK("https://klasma.github.io/Logging_ARE/klagomål/A 25817-2022.docx")</f>
        <v/>
      </c>
      <c r="W332">
        <f>HYPERLINK("https://klasma.github.io/Logging_ARE/klagomålsmail/A 25817-2022.docx")</f>
        <v/>
      </c>
      <c r="X332">
        <f>HYPERLINK("https://klasma.github.io/Logging_ARE/tillsyn/A 25817-2022.docx")</f>
        <v/>
      </c>
      <c r="Y332">
        <f>HYPERLINK("https://klasma.github.io/Logging_ARE/tillsynsmail/A 25817-2022.docx")</f>
        <v/>
      </c>
    </row>
    <row r="333" ht="15" customHeight="1">
      <c r="A333" t="inlineStr">
        <is>
          <t>A 31719-2022</t>
        </is>
      </c>
      <c r="B333" s="1" t="n">
        <v>44776</v>
      </c>
      <c r="C333" s="1" t="n">
        <v>45182</v>
      </c>
      <c r="D333" t="inlineStr">
        <is>
          <t>JÄMTLANDS LÄN</t>
        </is>
      </c>
      <c r="E333" t="inlineStr">
        <is>
          <t>BERG</t>
        </is>
      </c>
      <c r="G333" t="n">
        <v>4.2</v>
      </c>
      <c r="H333" t="n">
        <v>1</v>
      </c>
      <c r="I333" t="n">
        <v>0</v>
      </c>
      <c r="J333" t="n">
        <v>5</v>
      </c>
      <c r="K333" t="n">
        <v>1</v>
      </c>
      <c r="L333" t="n">
        <v>0</v>
      </c>
      <c r="M333" t="n">
        <v>0</v>
      </c>
      <c r="N333" t="n">
        <v>0</v>
      </c>
      <c r="O333" t="n">
        <v>6</v>
      </c>
      <c r="P333" t="n">
        <v>1</v>
      </c>
      <c r="Q333" t="n">
        <v>6</v>
      </c>
      <c r="R333" s="2" t="inlineStr">
        <is>
          <t>Knärot
Garnlav
Lunglav
Rosenticka
Ullticka
Vedtrappmossa</t>
        </is>
      </c>
      <c r="S333">
        <f>HYPERLINK("https://klasma.github.io/Logging_BERG/artfynd/A 31719-2022.xlsx")</f>
        <v/>
      </c>
      <c r="T333">
        <f>HYPERLINK("https://klasma.github.io/Logging_BERG/kartor/A 31719-2022.png")</f>
        <v/>
      </c>
      <c r="U333">
        <f>HYPERLINK("https://klasma.github.io/Logging_BERG/knärot/A 31719-2022.png")</f>
        <v/>
      </c>
      <c r="V333">
        <f>HYPERLINK("https://klasma.github.io/Logging_BERG/klagomål/A 31719-2022.docx")</f>
        <v/>
      </c>
      <c r="W333">
        <f>HYPERLINK("https://klasma.github.io/Logging_BERG/klagomålsmail/A 31719-2022.docx")</f>
        <v/>
      </c>
      <c r="X333">
        <f>HYPERLINK("https://klasma.github.io/Logging_BERG/tillsyn/A 31719-2022.docx")</f>
        <v/>
      </c>
      <c r="Y333">
        <f>HYPERLINK("https://klasma.github.io/Logging_BERG/tillsynsmail/A 31719-2022.docx")</f>
        <v/>
      </c>
    </row>
    <row r="334" ht="15" customHeight="1">
      <c r="A334" t="inlineStr">
        <is>
          <t>A 33901-2022</t>
        </is>
      </c>
      <c r="B334" s="1" t="n">
        <v>44790</v>
      </c>
      <c r="C334" s="1" t="n">
        <v>45182</v>
      </c>
      <c r="D334" t="inlineStr">
        <is>
          <t>JÄMTLANDS LÄN</t>
        </is>
      </c>
      <c r="E334" t="inlineStr">
        <is>
          <t>STRÖMSUND</t>
        </is>
      </c>
      <c r="F334" t="inlineStr">
        <is>
          <t>Holmen skog AB</t>
        </is>
      </c>
      <c r="G334" t="n">
        <v>4.7</v>
      </c>
      <c r="H334" t="n">
        <v>0</v>
      </c>
      <c r="I334" t="n">
        <v>1</v>
      </c>
      <c r="J334" t="n">
        <v>5</v>
      </c>
      <c r="K334" t="n">
        <v>0</v>
      </c>
      <c r="L334" t="n">
        <v>0</v>
      </c>
      <c r="M334" t="n">
        <v>0</v>
      </c>
      <c r="N334" t="n">
        <v>0</v>
      </c>
      <c r="O334" t="n">
        <v>5</v>
      </c>
      <c r="P334" t="n">
        <v>0</v>
      </c>
      <c r="Q334" t="n">
        <v>6</v>
      </c>
      <c r="R334" s="2" t="inlineStr">
        <is>
          <t>Gammelgransskål
Granticka
Lunglav
Rosenticka
Ullticka
Vedticka</t>
        </is>
      </c>
      <c r="S334">
        <f>HYPERLINK("https://klasma.github.io/Logging_STROMSUND/artfynd/A 33901-2022.xlsx")</f>
        <v/>
      </c>
      <c r="T334">
        <f>HYPERLINK("https://klasma.github.io/Logging_STROMSUND/kartor/A 33901-2022.png")</f>
        <v/>
      </c>
      <c r="V334">
        <f>HYPERLINK("https://klasma.github.io/Logging_STROMSUND/klagomål/A 33901-2022.docx")</f>
        <v/>
      </c>
      <c r="W334">
        <f>HYPERLINK("https://klasma.github.io/Logging_STROMSUND/klagomålsmail/A 33901-2022.docx")</f>
        <v/>
      </c>
      <c r="X334">
        <f>HYPERLINK("https://klasma.github.io/Logging_STROMSUND/tillsyn/A 33901-2022.docx")</f>
        <v/>
      </c>
      <c r="Y334">
        <f>HYPERLINK("https://klasma.github.io/Logging_STROMSUND/tillsynsmail/A 33901-2022.docx")</f>
        <v/>
      </c>
    </row>
    <row r="335" ht="15" customHeight="1">
      <c r="A335" t="inlineStr">
        <is>
          <t>A 36221-2022</t>
        </is>
      </c>
      <c r="B335" s="1" t="n">
        <v>44803</v>
      </c>
      <c r="C335" s="1" t="n">
        <v>45182</v>
      </c>
      <c r="D335" t="inlineStr">
        <is>
          <t>JÄMTLANDS LÄN</t>
        </is>
      </c>
      <c r="E335" t="inlineStr">
        <is>
          <t>STRÖMSUND</t>
        </is>
      </c>
      <c r="G335" t="n">
        <v>8.6</v>
      </c>
      <c r="H335" t="n">
        <v>2</v>
      </c>
      <c r="I335" t="n">
        <v>2</v>
      </c>
      <c r="J335" t="n">
        <v>2</v>
      </c>
      <c r="K335" t="n">
        <v>2</v>
      </c>
      <c r="L335" t="n">
        <v>0</v>
      </c>
      <c r="M335" t="n">
        <v>0</v>
      </c>
      <c r="N335" t="n">
        <v>0</v>
      </c>
      <c r="O335" t="n">
        <v>4</v>
      </c>
      <c r="P335" t="n">
        <v>2</v>
      </c>
      <c r="Q335" t="n">
        <v>6</v>
      </c>
      <c r="R335" s="2" t="inlineStr">
        <is>
          <t>Knärot
Liten hornflikmossa
Lunglav
Vedtrappmossa
Guckusko
Rödgul trumpetsvamp</t>
        </is>
      </c>
      <c r="S335">
        <f>HYPERLINK("https://klasma.github.io/Logging_STROMSUND/artfynd/A 36221-2022.xlsx")</f>
        <v/>
      </c>
      <c r="T335">
        <f>HYPERLINK("https://klasma.github.io/Logging_STROMSUND/kartor/A 36221-2022.png")</f>
        <v/>
      </c>
      <c r="U335">
        <f>HYPERLINK("https://klasma.github.io/Logging_STROMSUND/knärot/A 36221-2022.png")</f>
        <v/>
      </c>
      <c r="V335">
        <f>HYPERLINK("https://klasma.github.io/Logging_STROMSUND/klagomål/A 36221-2022.docx")</f>
        <v/>
      </c>
      <c r="W335">
        <f>HYPERLINK("https://klasma.github.io/Logging_STROMSUND/klagomålsmail/A 36221-2022.docx")</f>
        <v/>
      </c>
      <c r="X335">
        <f>HYPERLINK("https://klasma.github.io/Logging_STROMSUND/tillsyn/A 36221-2022.docx")</f>
        <v/>
      </c>
      <c r="Y335">
        <f>HYPERLINK("https://klasma.github.io/Logging_STROMSUND/tillsynsmail/A 36221-2022.docx")</f>
        <v/>
      </c>
    </row>
    <row r="336" ht="15" customHeight="1">
      <c r="A336" t="inlineStr">
        <is>
          <t>A 36365-2022</t>
        </is>
      </c>
      <c r="B336" s="1" t="n">
        <v>44803</v>
      </c>
      <c r="C336" s="1" t="n">
        <v>45182</v>
      </c>
      <c r="D336" t="inlineStr">
        <is>
          <t>JÄMTLANDS LÄN</t>
        </is>
      </c>
      <c r="E336" t="inlineStr">
        <is>
          <t>STRÖMSUND</t>
        </is>
      </c>
      <c r="F336" t="inlineStr">
        <is>
          <t>SCA</t>
        </is>
      </c>
      <c r="G336" t="n">
        <v>16.8</v>
      </c>
      <c r="H336" t="n">
        <v>1</v>
      </c>
      <c r="I336" t="n">
        <v>2</v>
      </c>
      <c r="J336" t="n">
        <v>4</v>
      </c>
      <c r="K336" t="n">
        <v>0</v>
      </c>
      <c r="L336" t="n">
        <v>0</v>
      </c>
      <c r="M336" t="n">
        <v>0</v>
      </c>
      <c r="N336" t="n">
        <v>0</v>
      </c>
      <c r="O336" t="n">
        <v>4</v>
      </c>
      <c r="P336" t="n">
        <v>0</v>
      </c>
      <c r="Q336" t="n">
        <v>6</v>
      </c>
      <c r="R336" s="2" t="inlineStr">
        <is>
          <t>Garnlav
Lunglav
Skogsfru
Skrovellav
Bårdlav
Stuplav</t>
        </is>
      </c>
      <c r="S336">
        <f>HYPERLINK("https://klasma.github.io/Logging_STROMSUND/artfynd/A 36365-2022.xlsx")</f>
        <v/>
      </c>
      <c r="T336">
        <f>HYPERLINK("https://klasma.github.io/Logging_STROMSUND/kartor/A 36365-2022.png")</f>
        <v/>
      </c>
      <c r="V336">
        <f>HYPERLINK("https://klasma.github.io/Logging_STROMSUND/klagomål/A 36365-2022.docx")</f>
        <v/>
      </c>
      <c r="W336">
        <f>HYPERLINK("https://klasma.github.io/Logging_STROMSUND/klagomålsmail/A 36365-2022.docx")</f>
        <v/>
      </c>
      <c r="X336">
        <f>HYPERLINK("https://klasma.github.io/Logging_STROMSUND/tillsyn/A 36365-2022.docx")</f>
        <v/>
      </c>
      <c r="Y336">
        <f>HYPERLINK("https://klasma.github.io/Logging_STROMSUND/tillsynsmail/A 36365-2022.docx")</f>
        <v/>
      </c>
    </row>
    <row r="337" ht="15" customHeight="1">
      <c r="A337" t="inlineStr">
        <is>
          <t>A 37398-2022</t>
        </is>
      </c>
      <c r="B337" s="1" t="n">
        <v>44806</v>
      </c>
      <c r="C337" s="1" t="n">
        <v>45182</v>
      </c>
      <c r="D337" t="inlineStr">
        <is>
          <t>JÄMTLANDS LÄN</t>
        </is>
      </c>
      <c r="E337" t="inlineStr">
        <is>
          <t>BERG</t>
        </is>
      </c>
      <c r="G337" t="n">
        <v>29.6</v>
      </c>
      <c r="H337" t="n">
        <v>3</v>
      </c>
      <c r="I337" t="n">
        <v>1</v>
      </c>
      <c r="J337" t="n">
        <v>5</v>
      </c>
      <c r="K337" t="n">
        <v>0</v>
      </c>
      <c r="L337" t="n">
        <v>0</v>
      </c>
      <c r="M337" t="n">
        <v>0</v>
      </c>
      <c r="N337" t="n">
        <v>0</v>
      </c>
      <c r="O337" t="n">
        <v>5</v>
      </c>
      <c r="P337" t="n">
        <v>0</v>
      </c>
      <c r="Q337" t="n">
        <v>6</v>
      </c>
      <c r="R337" s="2" t="inlineStr">
        <is>
          <t>Gränsticka
Harticka
Spillkråka
Stjärntagging
Tretåig hackspett
Spindelblomster</t>
        </is>
      </c>
      <c r="S337">
        <f>HYPERLINK("https://klasma.github.io/Logging_BERG/artfynd/A 37398-2022.xlsx")</f>
        <v/>
      </c>
      <c r="T337">
        <f>HYPERLINK("https://klasma.github.io/Logging_BERG/kartor/A 37398-2022.png")</f>
        <v/>
      </c>
      <c r="V337">
        <f>HYPERLINK("https://klasma.github.io/Logging_BERG/klagomål/A 37398-2022.docx")</f>
        <v/>
      </c>
      <c r="W337">
        <f>HYPERLINK("https://klasma.github.io/Logging_BERG/klagomålsmail/A 37398-2022.docx")</f>
        <v/>
      </c>
      <c r="X337">
        <f>HYPERLINK("https://klasma.github.io/Logging_BERG/tillsyn/A 37398-2022.docx")</f>
        <v/>
      </c>
      <c r="Y337">
        <f>HYPERLINK("https://klasma.github.io/Logging_BERG/tillsynsmail/A 37398-2022.docx")</f>
        <v/>
      </c>
    </row>
    <row r="338" ht="15" customHeight="1">
      <c r="A338" t="inlineStr">
        <is>
          <t>A 41492-2022</t>
        </is>
      </c>
      <c r="B338" s="1" t="n">
        <v>44826</v>
      </c>
      <c r="C338" s="1" t="n">
        <v>45182</v>
      </c>
      <c r="D338" t="inlineStr">
        <is>
          <t>JÄMTLANDS LÄN</t>
        </is>
      </c>
      <c r="E338" t="inlineStr">
        <is>
          <t>STRÖMSUND</t>
        </is>
      </c>
      <c r="F338" t="inlineStr">
        <is>
          <t>SCA</t>
        </is>
      </c>
      <c r="G338" t="n">
        <v>6.2</v>
      </c>
      <c r="H338" t="n">
        <v>2</v>
      </c>
      <c r="I338" t="n">
        <v>0</v>
      </c>
      <c r="J338" t="n">
        <v>5</v>
      </c>
      <c r="K338" t="n">
        <v>1</v>
      </c>
      <c r="L338" t="n">
        <v>0</v>
      </c>
      <c r="M338" t="n">
        <v>0</v>
      </c>
      <c r="N338" t="n">
        <v>0</v>
      </c>
      <c r="O338" t="n">
        <v>6</v>
      </c>
      <c r="P338" t="n">
        <v>1</v>
      </c>
      <c r="Q338" t="n">
        <v>6</v>
      </c>
      <c r="R338" s="2" t="inlineStr">
        <is>
          <t>Knärot
Gammelgransskål
Granticka
Lunglav
Talltita
Ullticka</t>
        </is>
      </c>
      <c r="S338">
        <f>HYPERLINK("https://klasma.github.io/Logging_STROMSUND/artfynd/A 41492-2022.xlsx")</f>
        <v/>
      </c>
      <c r="T338">
        <f>HYPERLINK("https://klasma.github.io/Logging_STROMSUND/kartor/A 41492-2022.png")</f>
        <v/>
      </c>
      <c r="U338">
        <f>HYPERLINK("https://klasma.github.io/Logging_STROMSUND/knärot/A 41492-2022.png")</f>
        <v/>
      </c>
      <c r="V338">
        <f>HYPERLINK("https://klasma.github.io/Logging_STROMSUND/klagomål/A 41492-2022.docx")</f>
        <v/>
      </c>
      <c r="W338">
        <f>HYPERLINK("https://klasma.github.io/Logging_STROMSUND/klagomålsmail/A 41492-2022.docx")</f>
        <v/>
      </c>
      <c r="X338">
        <f>HYPERLINK("https://klasma.github.io/Logging_STROMSUND/tillsyn/A 41492-2022.docx")</f>
        <v/>
      </c>
      <c r="Y338">
        <f>HYPERLINK("https://klasma.github.io/Logging_STROMSUND/tillsynsmail/A 41492-2022.docx")</f>
        <v/>
      </c>
    </row>
    <row r="339" ht="15" customHeight="1">
      <c r="A339" t="inlineStr">
        <is>
          <t>A 43190-2022</t>
        </is>
      </c>
      <c r="B339" s="1" t="n">
        <v>44834</v>
      </c>
      <c r="C339" s="1" t="n">
        <v>45182</v>
      </c>
      <c r="D339" t="inlineStr">
        <is>
          <t>JÄMTLANDS LÄN</t>
        </is>
      </c>
      <c r="E339" t="inlineStr">
        <is>
          <t>KROKOM</t>
        </is>
      </c>
      <c r="G339" t="n">
        <v>6.8</v>
      </c>
      <c r="H339" t="n">
        <v>2</v>
      </c>
      <c r="I339" t="n">
        <v>2</v>
      </c>
      <c r="J339" t="n">
        <v>3</v>
      </c>
      <c r="K339" t="n">
        <v>1</v>
      </c>
      <c r="L339" t="n">
        <v>0</v>
      </c>
      <c r="M339" t="n">
        <v>0</v>
      </c>
      <c r="N339" t="n">
        <v>0</v>
      </c>
      <c r="O339" t="n">
        <v>4</v>
      </c>
      <c r="P339" t="n">
        <v>1</v>
      </c>
      <c r="Q339" t="n">
        <v>6</v>
      </c>
      <c r="R339" s="2" t="inlineStr">
        <is>
          <t>Knärot
Lunglav
Talltita
Ullticka
Bårdlav
Skinnlav</t>
        </is>
      </c>
      <c r="S339">
        <f>HYPERLINK("https://klasma.github.io/Logging_KROKOM/artfynd/A 43190-2022.xlsx")</f>
        <v/>
      </c>
      <c r="T339">
        <f>HYPERLINK("https://klasma.github.io/Logging_KROKOM/kartor/A 43190-2022.png")</f>
        <v/>
      </c>
      <c r="U339">
        <f>HYPERLINK("https://klasma.github.io/Logging_KROKOM/knärot/A 43190-2022.png")</f>
        <v/>
      </c>
      <c r="V339">
        <f>HYPERLINK("https://klasma.github.io/Logging_KROKOM/klagomål/A 43190-2022.docx")</f>
        <v/>
      </c>
      <c r="W339">
        <f>HYPERLINK("https://klasma.github.io/Logging_KROKOM/klagomålsmail/A 43190-2022.docx")</f>
        <v/>
      </c>
      <c r="X339">
        <f>HYPERLINK("https://klasma.github.io/Logging_KROKOM/tillsyn/A 43190-2022.docx")</f>
        <v/>
      </c>
      <c r="Y339">
        <f>HYPERLINK("https://klasma.github.io/Logging_KROKOM/tillsynsmail/A 43190-2022.docx")</f>
        <v/>
      </c>
    </row>
    <row r="340" ht="15" customHeight="1">
      <c r="A340" t="inlineStr">
        <is>
          <t>A 49540-2022</t>
        </is>
      </c>
      <c r="B340" s="1" t="n">
        <v>44861</v>
      </c>
      <c r="C340" s="1" t="n">
        <v>45182</v>
      </c>
      <c r="D340" t="inlineStr">
        <is>
          <t>JÄMTLANDS LÄN</t>
        </is>
      </c>
      <c r="E340" t="inlineStr">
        <is>
          <t>BRÄCKE</t>
        </is>
      </c>
      <c r="F340" t="inlineStr">
        <is>
          <t>SCA</t>
        </is>
      </c>
      <c r="G340" t="n">
        <v>10.5</v>
      </c>
      <c r="H340" t="n">
        <v>2</v>
      </c>
      <c r="I340" t="n">
        <v>0</v>
      </c>
      <c r="J340" t="n">
        <v>4</v>
      </c>
      <c r="K340" t="n">
        <v>2</v>
      </c>
      <c r="L340" t="n">
        <v>0</v>
      </c>
      <c r="M340" t="n">
        <v>0</v>
      </c>
      <c r="N340" t="n">
        <v>0</v>
      </c>
      <c r="O340" t="n">
        <v>6</v>
      </c>
      <c r="P340" t="n">
        <v>2</v>
      </c>
      <c r="Q340" t="n">
        <v>6</v>
      </c>
      <c r="R340" s="2" t="inlineStr">
        <is>
          <t>Knärot
Rynkskinn
Rosenticka
Talltita
Ullticka
Äggvaxskivling</t>
        </is>
      </c>
      <c r="S340">
        <f>HYPERLINK("https://klasma.github.io/Logging_BRACKE/artfynd/A 49540-2022.xlsx")</f>
        <v/>
      </c>
      <c r="T340">
        <f>HYPERLINK("https://klasma.github.io/Logging_BRACKE/kartor/A 49540-2022.png")</f>
        <v/>
      </c>
      <c r="U340">
        <f>HYPERLINK("https://klasma.github.io/Logging_BRACKE/knärot/A 49540-2022.png")</f>
        <v/>
      </c>
      <c r="V340">
        <f>HYPERLINK("https://klasma.github.io/Logging_BRACKE/klagomål/A 49540-2022.docx")</f>
        <v/>
      </c>
      <c r="W340">
        <f>HYPERLINK("https://klasma.github.io/Logging_BRACKE/klagomålsmail/A 49540-2022.docx")</f>
        <v/>
      </c>
      <c r="X340">
        <f>HYPERLINK("https://klasma.github.io/Logging_BRACKE/tillsyn/A 49540-2022.docx")</f>
        <v/>
      </c>
      <c r="Y340">
        <f>HYPERLINK("https://klasma.github.io/Logging_BRACKE/tillsynsmail/A 49540-2022.docx")</f>
        <v/>
      </c>
    </row>
    <row r="341" ht="15" customHeight="1">
      <c r="A341" t="inlineStr">
        <is>
          <t>A 53021-2022</t>
        </is>
      </c>
      <c r="B341" s="1" t="n">
        <v>44875</v>
      </c>
      <c r="C341" s="1" t="n">
        <v>45182</v>
      </c>
      <c r="D341" t="inlineStr">
        <is>
          <t>JÄMTLANDS LÄN</t>
        </is>
      </c>
      <c r="E341" t="inlineStr">
        <is>
          <t>RAGUNDA</t>
        </is>
      </c>
      <c r="F341" t="inlineStr">
        <is>
          <t>SCA</t>
        </is>
      </c>
      <c r="G341" t="n">
        <v>6.1</v>
      </c>
      <c r="H341" t="n">
        <v>0</v>
      </c>
      <c r="I341" t="n">
        <v>2</v>
      </c>
      <c r="J341" t="n">
        <v>4</v>
      </c>
      <c r="K341" t="n">
        <v>0</v>
      </c>
      <c r="L341" t="n">
        <v>0</v>
      </c>
      <c r="M341" t="n">
        <v>0</v>
      </c>
      <c r="N341" t="n">
        <v>0</v>
      </c>
      <c r="O341" t="n">
        <v>4</v>
      </c>
      <c r="P341" t="n">
        <v>0</v>
      </c>
      <c r="Q341" t="n">
        <v>6</v>
      </c>
      <c r="R341" s="2" t="inlineStr">
        <is>
          <t>Gammelgransskål
Garnlav
Granticka
Vitgrynig nållav
Bollvitmossa
Ögonpyrola</t>
        </is>
      </c>
      <c r="S341">
        <f>HYPERLINK("https://klasma.github.io/Logging_RAGUNDA/artfynd/A 53021-2022.xlsx")</f>
        <v/>
      </c>
      <c r="T341">
        <f>HYPERLINK("https://klasma.github.io/Logging_RAGUNDA/kartor/A 53021-2022.png")</f>
        <v/>
      </c>
      <c r="V341">
        <f>HYPERLINK("https://klasma.github.io/Logging_RAGUNDA/klagomål/A 53021-2022.docx")</f>
        <v/>
      </c>
      <c r="W341">
        <f>HYPERLINK("https://klasma.github.io/Logging_RAGUNDA/klagomålsmail/A 53021-2022.docx")</f>
        <v/>
      </c>
      <c r="X341">
        <f>HYPERLINK("https://klasma.github.io/Logging_RAGUNDA/tillsyn/A 53021-2022.docx")</f>
        <v/>
      </c>
      <c r="Y341">
        <f>HYPERLINK("https://klasma.github.io/Logging_RAGUNDA/tillsynsmail/A 53021-2022.docx")</f>
        <v/>
      </c>
    </row>
    <row r="342" ht="15" customHeight="1">
      <c r="A342" t="inlineStr">
        <is>
          <t>A 53277-2022</t>
        </is>
      </c>
      <c r="B342" s="1" t="n">
        <v>44876</v>
      </c>
      <c r="C342" s="1" t="n">
        <v>45182</v>
      </c>
      <c r="D342" t="inlineStr">
        <is>
          <t>JÄMTLANDS LÄN</t>
        </is>
      </c>
      <c r="E342" t="inlineStr">
        <is>
          <t>RAGUNDA</t>
        </is>
      </c>
      <c r="F342" t="inlineStr">
        <is>
          <t>SCA</t>
        </is>
      </c>
      <c r="G342" t="n">
        <v>2.5</v>
      </c>
      <c r="H342" t="n">
        <v>1</v>
      </c>
      <c r="I342" t="n">
        <v>3</v>
      </c>
      <c r="J342" t="n">
        <v>3</v>
      </c>
      <c r="K342" t="n">
        <v>0</v>
      </c>
      <c r="L342" t="n">
        <v>0</v>
      </c>
      <c r="M342" t="n">
        <v>0</v>
      </c>
      <c r="N342" t="n">
        <v>0</v>
      </c>
      <c r="O342" t="n">
        <v>3</v>
      </c>
      <c r="P342" t="n">
        <v>0</v>
      </c>
      <c r="Q342" t="n">
        <v>6</v>
      </c>
      <c r="R342" s="2" t="inlineStr">
        <is>
          <t>Garnlav
Kolflarnlav
Ullticka
Dropptaggsvamp
Plattlummer
Vedticka</t>
        </is>
      </c>
      <c r="S342">
        <f>HYPERLINK("https://klasma.github.io/Logging_RAGUNDA/artfynd/A 53277-2022.xlsx")</f>
        <v/>
      </c>
      <c r="T342">
        <f>HYPERLINK("https://klasma.github.io/Logging_RAGUNDA/kartor/A 53277-2022.png")</f>
        <v/>
      </c>
      <c r="V342">
        <f>HYPERLINK("https://klasma.github.io/Logging_RAGUNDA/klagomål/A 53277-2022.docx")</f>
        <v/>
      </c>
      <c r="W342">
        <f>HYPERLINK("https://klasma.github.io/Logging_RAGUNDA/klagomålsmail/A 53277-2022.docx")</f>
        <v/>
      </c>
      <c r="X342">
        <f>HYPERLINK("https://klasma.github.io/Logging_RAGUNDA/tillsyn/A 53277-2022.docx")</f>
        <v/>
      </c>
      <c r="Y342">
        <f>HYPERLINK("https://klasma.github.io/Logging_RAGUNDA/tillsynsmail/A 53277-2022.docx")</f>
        <v/>
      </c>
    </row>
    <row r="343" ht="15" customHeight="1">
      <c r="A343" t="inlineStr">
        <is>
          <t>A 56888-2022</t>
        </is>
      </c>
      <c r="B343" s="1" t="n">
        <v>44894</v>
      </c>
      <c r="C343" s="1" t="n">
        <v>45182</v>
      </c>
      <c r="D343" t="inlineStr">
        <is>
          <t>JÄMTLANDS LÄN</t>
        </is>
      </c>
      <c r="E343" t="inlineStr">
        <is>
          <t>ÅRE</t>
        </is>
      </c>
      <c r="F343" t="inlineStr">
        <is>
          <t>Övriga Aktiebolag</t>
        </is>
      </c>
      <c r="G343" t="n">
        <v>46.2</v>
      </c>
      <c r="H343" t="n">
        <v>2</v>
      </c>
      <c r="I343" t="n">
        <v>1</v>
      </c>
      <c r="J343" t="n">
        <v>4</v>
      </c>
      <c r="K343" t="n">
        <v>1</v>
      </c>
      <c r="L343" t="n">
        <v>0</v>
      </c>
      <c r="M343" t="n">
        <v>0</v>
      </c>
      <c r="N343" t="n">
        <v>0</v>
      </c>
      <c r="O343" t="n">
        <v>5</v>
      </c>
      <c r="P343" t="n">
        <v>1</v>
      </c>
      <c r="Q343" t="n">
        <v>6</v>
      </c>
      <c r="R343" s="2" t="inlineStr">
        <is>
          <t>Liten hornflikmossa
Garnlav
Granticka
Spillkråka
Tretåig hackspett
Korallblylav</t>
        </is>
      </c>
      <c r="S343">
        <f>HYPERLINK("https://klasma.github.io/Logging_ARE/artfynd/A 56888-2022.xlsx")</f>
        <v/>
      </c>
      <c r="T343">
        <f>HYPERLINK("https://klasma.github.io/Logging_ARE/kartor/A 56888-2022.png")</f>
        <v/>
      </c>
      <c r="V343">
        <f>HYPERLINK("https://klasma.github.io/Logging_ARE/klagomål/A 56888-2022.docx")</f>
        <v/>
      </c>
      <c r="W343">
        <f>HYPERLINK("https://klasma.github.io/Logging_ARE/klagomålsmail/A 56888-2022.docx")</f>
        <v/>
      </c>
      <c r="X343">
        <f>HYPERLINK("https://klasma.github.io/Logging_ARE/tillsyn/A 56888-2022.docx")</f>
        <v/>
      </c>
      <c r="Y343">
        <f>HYPERLINK("https://klasma.github.io/Logging_ARE/tillsynsmail/A 56888-2022.docx")</f>
        <v/>
      </c>
    </row>
    <row r="344" ht="15" customHeight="1">
      <c r="A344" t="inlineStr">
        <is>
          <t>A 60669-2022</t>
        </is>
      </c>
      <c r="B344" s="1" t="n">
        <v>44911</v>
      </c>
      <c r="C344" s="1" t="n">
        <v>45182</v>
      </c>
      <c r="D344" t="inlineStr">
        <is>
          <t>JÄMTLANDS LÄN</t>
        </is>
      </c>
      <c r="E344" t="inlineStr">
        <is>
          <t>RAGUNDA</t>
        </is>
      </c>
      <c r="F344" t="inlineStr">
        <is>
          <t>SCA</t>
        </is>
      </c>
      <c r="G344" t="n">
        <v>2.3</v>
      </c>
      <c r="H344" t="n">
        <v>0</v>
      </c>
      <c r="I344" t="n">
        <v>1</v>
      </c>
      <c r="J344" t="n">
        <v>5</v>
      </c>
      <c r="K344" t="n">
        <v>0</v>
      </c>
      <c r="L344" t="n">
        <v>0</v>
      </c>
      <c r="M344" t="n">
        <v>0</v>
      </c>
      <c r="N344" t="n">
        <v>0</v>
      </c>
      <c r="O344" t="n">
        <v>5</v>
      </c>
      <c r="P344" t="n">
        <v>0</v>
      </c>
      <c r="Q344" t="n">
        <v>6</v>
      </c>
      <c r="R344" s="2" t="inlineStr">
        <is>
          <t>Dvärgbägarlav
Garnlav
Kolflarnlav
Lunglav
Vedskivlav
Dropptaggsvamp</t>
        </is>
      </c>
      <c r="S344">
        <f>HYPERLINK("https://klasma.github.io/Logging_RAGUNDA/artfynd/A 60669-2022.xlsx")</f>
        <v/>
      </c>
      <c r="T344">
        <f>HYPERLINK("https://klasma.github.io/Logging_RAGUNDA/kartor/A 60669-2022.png")</f>
        <v/>
      </c>
      <c r="V344">
        <f>HYPERLINK("https://klasma.github.io/Logging_RAGUNDA/klagomål/A 60669-2022.docx")</f>
        <v/>
      </c>
      <c r="W344">
        <f>HYPERLINK("https://klasma.github.io/Logging_RAGUNDA/klagomålsmail/A 60669-2022.docx")</f>
        <v/>
      </c>
      <c r="X344">
        <f>HYPERLINK("https://klasma.github.io/Logging_RAGUNDA/tillsyn/A 60669-2022.docx")</f>
        <v/>
      </c>
      <c r="Y344">
        <f>HYPERLINK("https://klasma.github.io/Logging_RAGUNDA/tillsynsmail/A 60669-2022.docx")</f>
        <v/>
      </c>
    </row>
    <row r="345" ht="15" customHeight="1">
      <c r="A345" t="inlineStr">
        <is>
          <t>A 376-2023</t>
        </is>
      </c>
      <c r="B345" s="1" t="n">
        <v>44929</v>
      </c>
      <c r="C345" s="1" t="n">
        <v>45182</v>
      </c>
      <c r="D345" t="inlineStr">
        <is>
          <t>JÄMTLANDS LÄN</t>
        </is>
      </c>
      <c r="E345" t="inlineStr">
        <is>
          <t>ÖSTERSUND</t>
        </is>
      </c>
      <c r="G345" t="n">
        <v>11.5</v>
      </c>
      <c r="H345" t="n">
        <v>2</v>
      </c>
      <c r="I345" t="n">
        <v>1</v>
      </c>
      <c r="J345" t="n">
        <v>5</v>
      </c>
      <c r="K345" t="n">
        <v>0</v>
      </c>
      <c r="L345" t="n">
        <v>0</v>
      </c>
      <c r="M345" t="n">
        <v>0</v>
      </c>
      <c r="N345" t="n">
        <v>0</v>
      </c>
      <c r="O345" t="n">
        <v>5</v>
      </c>
      <c r="P345" t="n">
        <v>0</v>
      </c>
      <c r="Q345" t="n">
        <v>6</v>
      </c>
      <c r="R345" s="2" t="inlineStr">
        <is>
          <t>Garnlav
Lunglav
Skrovellav
Spillkråka
Tretåig hackspett
Stuplav</t>
        </is>
      </c>
      <c r="S345">
        <f>HYPERLINK("https://klasma.github.io/Logging_OSTERSUND/artfynd/A 376-2023.xlsx")</f>
        <v/>
      </c>
      <c r="T345">
        <f>HYPERLINK("https://klasma.github.io/Logging_OSTERSUND/kartor/A 376-2023.png")</f>
        <v/>
      </c>
      <c r="V345">
        <f>HYPERLINK("https://klasma.github.io/Logging_OSTERSUND/klagomål/A 376-2023.docx")</f>
        <v/>
      </c>
      <c r="W345">
        <f>HYPERLINK("https://klasma.github.io/Logging_OSTERSUND/klagomålsmail/A 376-2023.docx")</f>
        <v/>
      </c>
      <c r="X345">
        <f>HYPERLINK("https://klasma.github.io/Logging_OSTERSUND/tillsyn/A 376-2023.docx")</f>
        <v/>
      </c>
      <c r="Y345">
        <f>HYPERLINK("https://klasma.github.io/Logging_OSTERSUND/tillsynsmail/A 376-2023.docx")</f>
        <v/>
      </c>
    </row>
    <row r="346" ht="15" customHeight="1">
      <c r="A346" t="inlineStr">
        <is>
          <t>A 538-2023</t>
        </is>
      </c>
      <c r="B346" s="1" t="n">
        <v>44930</v>
      </c>
      <c r="C346" s="1" t="n">
        <v>45182</v>
      </c>
      <c r="D346" t="inlineStr">
        <is>
          <t>JÄMTLANDS LÄN</t>
        </is>
      </c>
      <c r="E346" t="inlineStr">
        <is>
          <t>STRÖMSUND</t>
        </is>
      </c>
      <c r="G346" t="n">
        <v>108.6</v>
      </c>
      <c r="H346" t="n">
        <v>2</v>
      </c>
      <c r="I346" t="n">
        <v>1</v>
      </c>
      <c r="J346" t="n">
        <v>5</v>
      </c>
      <c r="K346" t="n">
        <v>0</v>
      </c>
      <c r="L346" t="n">
        <v>0</v>
      </c>
      <c r="M346" t="n">
        <v>0</v>
      </c>
      <c r="N346" t="n">
        <v>0</v>
      </c>
      <c r="O346" t="n">
        <v>5</v>
      </c>
      <c r="P346" t="n">
        <v>0</v>
      </c>
      <c r="Q346" t="n">
        <v>6</v>
      </c>
      <c r="R346" s="2" t="inlineStr">
        <is>
          <t>Garnlav
Granticka
Skrovellav
Talltita
Tretåig hackspett
Stuplav</t>
        </is>
      </c>
      <c r="S346">
        <f>HYPERLINK("https://klasma.github.io/Logging_STROMSUND/artfynd/A 538-2023.xlsx")</f>
        <v/>
      </c>
      <c r="T346">
        <f>HYPERLINK("https://klasma.github.io/Logging_STROMSUND/kartor/A 538-2023.png")</f>
        <v/>
      </c>
      <c r="V346">
        <f>HYPERLINK("https://klasma.github.io/Logging_STROMSUND/klagomål/A 538-2023.docx")</f>
        <v/>
      </c>
      <c r="W346">
        <f>HYPERLINK("https://klasma.github.io/Logging_STROMSUND/klagomålsmail/A 538-2023.docx")</f>
        <v/>
      </c>
      <c r="X346">
        <f>HYPERLINK("https://klasma.github.io/Logging_STROMSUND/tillsyn/A 538-2023.docx")</f>
        <v/>
      </c>
      <c r="Y346">
        <f>HYPERLINK("https://klasma.github.io/Logging_STROMSUND/tillsynsmail/A 538-2023.docx")</f>
        <v/>
      </c>
    </row>
    <row r="347" ht="15" customHeight="1">
      <c r="A347" t="inlineStr">
        <is>
          <t>A 933-2023</t>
        </is>
      </c>
      <c r="B347" s="1" t="n">
        <v>44932</v>
      </c>
      <c r="C347" s="1" t="n">
        <v>45182</v>
      </c>
      <c r="D347" t="inlineStr">
        <is>
          <t>JÄMTLANDS LÄN</t>
        </is>
      </c>
      <c r="E347" t="inlineStr">
        <is>
          <t>RAGUNDA</t>
        </is>
      </c>
      <c r="F347" t="inlineStr">
        <is>
          <t>SCA</t>
        </is>
      </c>
      <c r="G347" t="n">
        <v>2</v>
      </c>
      <c r="H347" t="n">
        <v>3</v>
      </c>
      <c r="I347" t="n">
        <v>3</v>
      </c>
      <c r="J347" t="n">
        <v>0</v>
      </c>
      <c r="K347" t="n">
        <v>0</v>
      </c>
      <c r="L347" t="n">
        <v>1</v>
      </c>
      <c r="M347" t="n">
        <v>0</v>
      </c>
      <c r="N347" t="n">
        <v>0</v>
      </c>
      <c r="O347" t="n">
        <v>1</v>
      </c>
      <c r="P347" t="n">
        <v>1</v>
      </c>
      <c r="Q347" t="n">
        <v>6</v>
      </c>
      <c r="R347" s="2" t="inlineStr">
        <is>
          <t>Trolldruvemätare
Stor aspticka
Svart trolldruva
Tvåblad
Nattviol
Gullviva</t>
        </is>
      </c>
      <c r="S347">
        <f>HYPERLINK("https://klasma.github.io/Logging_RAGUNDA/artfynd/A 933-2023.xlsx")</f>
        <v/>
      </c>
      <c r="T347">
        <f>HYPERLINK("https://klasma.github.io/Logging_RAGUNDA/kartor/A 933-2023.png")</f>
        <v/>
      </c>
      <c r="V347">
        <f>HYPERLINK("https://klasma.github.io/Logging_RAGUNDA/klagomål/A 933-2023.docx")</f>
        <v/>
      </c>
      <c r="W347">
        <f>HYPERLINK("https://klasma.github.io/Logging_RAGUNDA/klagomålsmail/A 933-2023.docx")</f>
        <v/>
      </c>
      <c r="X347">
        <f>HYPERLINK("https://klasma.github.io/Logging_RAGUNDA/tillsyn/A 933-2023.docx")</f>
        <v/>
      </c>
      <c r="Y347">
        <f>HYPERLINK("https://klasma.github.io/Logging_RAGUNDA/tillsynsmail/A 933-2023.docx")</f>
        <v/>
      </c>
    </row>
    <row r="348" ht="15" customHeight="1">
      <c r="A348" t="inlineStr">
        <is>
          <t>A 3206-2023</t>
        </is>
      </c>
      <c r="B348" s="1" t="n">
        <v>44946</v>
      </c>
      <c r="C348" s="1" t="n">
        <v>45182</v>
      </c>
      <c r="D348" t="inlineStr">
        <is>
          <t>JÄMTLANDS LÄN</t>
        </is>
      </c>
      <c r="E348" t="inlineStr">
        <is>
          <t>ÅRE</t>
        </is>
      </c>
      <c r="G348" t="n">
        <v>9.5</v>
      </c>
      <c r="H348" t="n">
        <v>1</v>
      </c>
      <c r="I348" t="n">
        <v>0</v>
      </c>
      <c r="J348" t="n">
        <v>6</v>
      </c>
      <c r="K348" t="n">
        <v>0</v>
      </c>
      <c r="L348" t="n">
        <v>0</v>
      </c>
      <c r="M348" t="n">
        <v>0</v>
      </c>
      <c r="N348" t="n">
        <v>0</v>
      </c>
      <c r="O348" t="n">
        <v>6</v>
      </c>
      <c r="P348" t="n">
        <v>0</v>
      </c>
      <c r="Q348" t="n">
        <v>6</v>
      </c>
      <c r="R348" s="2" t="inlineStr">
        <is>
          <t>Garnlav
Granticka
Liten svartspik
Skrovellav
Tretåig hackspett
Vitgrynig nållav</t>
        </is>
      </c>
      <c r="S348">
        <f>HYPERLINK("https://klasma.github.io/Logging_ARE/artfynd/A 3206-2023.xlsx")</f>
        <v/>
      </c>
      <c r="T348">
        <f>HYPERLINK("https://klasma.github.io/Logging_ARE/kartor/A 3206-2023.png")</f>
        <v/>
      </c>
      <c r="V348">
        <f>HYPERLINK("https://klasma.github.io/Logging_ARE/klagomål/A 3206-2023.docx")</f>
        <v/>
      </c>
      <c r="W348">
        <f>HYPERLINK("https://klasma.github.io/Logging_ARE/klagomålsmail/A 3206-2023.docx")</f>
        <v/>
      </c>
      <c r="X348">
        <f>HYPERLINK("https://klasma.github.io/Logging_ARE/tillsyn/A 3206-2023.docx")</f>
        <v/>
      </c>
      <c r="Y348">
        <f>HYPERLINK("https://klasma.github.io/Logging_ARE/tillsynsmail/A 3206-2023.docx")</f>
        <v/>
      </c>
    </row>
    <row r="349" ht="15" customHeight="1">
      <c r="A349" t="inlineStr">
        <is>
          <t>A 3704-2023</t>
        </is>
      </c>
      <c r="B349" s="1" t="n">
        <v>44950</v>
      </c>
      <c r="C349" s="1" t="n">
        <v>45182</v>
      </c>
      <c r="D349" t="inlineStr">
        <is>
          <t>JÄMTLANDS LÄN</t>
        </is>
      </c>
      <c r="E349" t="inlineStr">
        <is>
          <t>STRÖMSUND</t>
        </is>
      </c>
      <c r="F349" t="inlineStr">
        <is>
          <t>SCA</t>
        </is>
      </c>
      <c r="G349" t="n">
        <v>11.5</v>
      </c>
      <c r="H349" t="n">
        <v>0</v>
      </c>
      <c r="I349" t="n">
        <v>1</v>
      </c>
      <c r="J349" t="n">
        <v>5</v>
      </c>
      <c r="K349" t="n">
        <v>0</v>
      </c>
      <c r="L349" t="n">
        <v>0</v>
      </c>
      <c r="M349" t="n">
        <v>0</v>
      </c>
      <c r="N349" t="n">
        <v>0</v>
      </c>
      <c r="O349" t="n">
        <v>5</v>
      </c>
      <c r="P349" t="n">
        <v>0</v>
      </c>
      <c r="Q349" t="n">
        <v>6</v>
      </c>
      <c r="R349" s="2" t="inlineStr">
        <is>
          <t>Garnlav
Granticka
Harticka
Lunglav
Ullticka
Korallblylav</t>
        </is>
      </c>
      <c r="S349">
        <f>HYPERLINK("https://klasma.github.io/Logging_STROMSUND/artfynd/A 3704-2023.xlsx")</f>
        <v/>
      </c>
      <c r="T349">
        <f>HYPERLINK("https://klasma.github.io/Logging_STROMSUND/kartor/A 3704-2023.png")</f>
        <v/>
      </c>
      <c r="V349">
        <f>HYPERLINK("https://klasma.github.io/Logging_STROMSUND/klagomål/A 3704-2023.docx")</f>
        <v/>
      </c>
      <c r="W349">
        <f>HYPERLINK("https://klasma.github.io/Logging_STROMSUND/klagomålsmail/A 3704-2023.docx")</f>
        <v/>
      </c>
      <c r="X349">
        <f>HYPERLINK("https://klasma.github.io/Logging_STROMSUND/tillsyn/A 3704-2023.docx")</f>
        <v/>
      </c>
      <c r="Y349">
        <f>HYPERLINK("https://klasma.github.io/Logging_STROMSUND/tillsynsmail/A 3704-2023.docx")</f>
        <v/>
      </c>
    </row>
    <row r="350" ht="15" customHeight="1">
      <c r="A350" t="inlineStr">
        <is>
          <t>A 10023-2023</t>
        </is>
      </c>
      <c r="B350" s="1" t="n">
        <v>44979</v>
      </c>
      <c r="C350" s="1" t="n">
        <v>45182</v>
      </c>
      <c r="D350" t="inlineStr">
        <is>
          <t>JÄMTLANDS LÄN</t>
        </is>
      </c>
      <c r="E350" t="inlineStr">
        <is>
          <t>HÄRJEDALEN</t>
        </is>
      </c>
      <c r="G350" t="n">
        <v>12.6</v>
      </c>
      <c r="H350" t="n">
        <v>6</v>
      </c>
      <c r="I350" t="n">
        <v>1</v>
      </c>
      <c r="J350" t="n">
        <v>0</v>
      </c>
      <c r="K350" t="n">
        <v>0</v>
      </c>
      <c r="L350" t="n">
        <v>0</v>
      </c>
      <c r="M350" t="n">
        <v>0</v>
      </c>
      <c r="N350" t="n">
        <v>0</v>
      </c>
      <c r="O350" t="n">
        <v>0</v>
      </c>
      <c r="P350" t="n">
        <v>0</v>
      </c>
      <c r="Q350" t="n">
        <v>6</v>
      </c>
      <c r="R350" s="2" t="inlineStr">
        <is>
          <t>Spindelblomster
Vanlig groda
Fläcknycklar
Lopplummer
Mattlummer
Revlummer</t>
        </is>
      </c>
      <c r="S350">
        <f>HYPERLINK("https://klasma.github.io/Logging_HARJEDALEN/artfynd/A 10023-2023.xlsx")</f>
        <v/>
      </c>
      <c r="T350">
        <f>HYPERLINK("https://klasma.github.io/Logging_HARJEDALEN/kartor/A 10023-2023.png")</f>
        <v/>
      </c>
      <c r="V350">
        <f>HYPERLINK("https://klasma.github.io/Logging_HARJEDALEN/klagomål/A 10023-2023.docx")</f>
        <v/>
      </c>
      <c r="W350">
        <f>HYPERLINK("https://klasma.github.io/Logging_HARJEDALEN/klagomålsmail/A 10023-2023.docx")</f>
        <v/>
      </c>
      <c r="X350">
        <f>HYPERLINK("https://klasma.github.io/Logging_HARJEDALEN/tillsyn/A 10023-2023.docx")</f>
        <v/>
      </c>
      <c r="Y350">
        <f>HYPERLINK("https://klasma.github.io/Logging_HARJEDALEN/tillsynsmail/A 10023-2023.docx")</f>
        <v/>
      </c>
    </row>
    <row r="351" ht="15" customHeight="1">
      <c r="A351" t="inlineStr">
        <is>
          <t>A 11828-2023</t>
        </is>
      </c>
      <c r="B351" s="1" t="n">
        <v>44994</v>
      </c>
      <c r="C351" s="1" t="n">
        <v>45182</v>
      </c>
      <c r="D351" t="inlineStr">
        <is>
          <t>JÄMTLANDS LÄN</t>
        </is>
      </c>
      <c r="E351" t="inlineStr">
        <is>
          <t>RAGUNDA</t>
        </is>
      </c>
      <c r="F351" t="inlineStr">
        <is>
          <t>SCA</t>
        </is>
      </c>
      <c r="G351" t="n">
        <v>2.7</v>
      </c>
      <c r="H351" t="n">
        <v>0</v>
      </c>
      <c r="I351" t="n">
        <v>0</v>
      </c>
      <c r="J351" t="n">
        <v>6</v>
      </c>
      <c r="K351" t="n">
        <v>0</v>
      </c>
      <c r="L351" t="n">
        <v>0</v>
      </c>
      <c r="M351" t="n">
        <v>0</v>
      </c>
      <c r="N351" t="n">
        <v>0</v>
      </c>
      <c r="O351" t="n">
        <v>6</v>
      </c>
      <c r="P351" t="n">
        <v>0</v>
      </c>
      <c r="Q351" t="n">
        <v>6</v>
      </c>
      <c r="R351" s="2" t="inlineStr">
        <is>
          <t>Dvärgbägarlav
Garnlav
Kolflarnlav
Mörk kolflarnlav
Vedskivlav
Vedtrappmossa</t>
        </is>
      </c>
      <c r="S351">
        <f>HYPERLINK("https://klasma.github.io/Logging_RAGUNDA/artfynd/A 11828-2023.xlsx")</f>
        <v/>
      </c>
      <c r="T351">
        <f>HYPERLINK("https://klasma.github.io/Logging_RAGUNDA/kartor/A 11828-2023.png")</f>
        <v/>
      </c>
      <c r="V351">
        <f>HYPERLINK("https://klasma.github.io/Logging_RAGUNDA/klagomål/A 11828-2023.docx")</f>
        <v/>
      </c>
      <c r="W351">
        <f>HYPERLINK("https://klasma.github.io/Logging_RAGUNDA/klagomålsmail/A 11828-2023.docx")</f>
        <v/>
      </c>
      <c r="X351">
        <f>HYPERLINK("https://klasma.github.io/Logging_RAGUNDA/tillsyn/A 11828-2023.docx")</f>
        <v/>
      </c>
      <c r="Y351">
        <f>HYPERLINK("https://klasma.github.io/Logging_RAGUNDA/tillsynsmail/A 11828-2023.docx")</f>
        <v/>
      </c>
    </row>
    <row r="352" ht="15" customHeight="1">
      <c r="A352" t="inlineStr">
        <is>
          <t>A 15073-2023</t>
        </is>
      </c>
      <c r="B352" s="1" t="n">
        <v>45015</v>
      </c>
      <c r="C352" s="1" t="n">
        <v>45182</v>
      </c>
      <c r="D352" t="inlineStr">
        <is>
          <t>JÄMTLANDS LÄN</t>
        </is>
      </c>
      <c r="E352" t="inlineStr">
        <is>
          <t>RAGUNDA</t>
        </is>
      </c>
      <c r="G352" t="n">
        <v>18.8</v>
      </c>
      <c r="H352" t="n">
        <v>1</v>
      </c>
      <c r="I352" t="n">
        <v>1</v>
      </c>
      <c r="J352" t="n">
        <v>4</v>
      </c>
      <c r="K352" t="n">
        <v>1</v>
      </c>
      <c r="L352" t="n">
        <v>0</v>
      </c>
      <c r="M352" t="n">
        <v>0</v>
      </c>
      <c r="N352" t="n">
        <v>0</v>
      </c>
      <c r="O352" t="n">
        <v>5</v>
      </c>
      <c r="P352" t="n">
        <v>1</v>
      </c>
      <c r="Q352" t="n">
        <v>6</v>
      </c>
      <c r="R352" s="2" t="inlineStr">
        <is>
          <t>Knärot
Garnlav
Kolflarnlav
Lunglav
Vedtrappmossa
Bårdlav</t>
        </is>
      </c>
      <c r="S352">
        <f>HYPERLINK("https://klasma.github.io/Logging_RAGUNDA/artfynd/A 15073-2023.xlsx")</f>
        <v/>
      </c>
      <c r="T352">
        <f>HYPERLINK("https://klasma.github.io/Logging_RAGUNDA/kartor/A 15073-2023.png")</f>
        <v/>
      </c>
      <c r="U352">
        <f>HYPERLINK("https://klasma.github.io/Logging_RAGUNDA/knärot/A 15073-2023.png")</f>
        <v/>
      </c>
      <c r="V352">
        <f>HYPERLINK("https://klasma.github.io/Logging_RAGUNDA/klagomål/A 15073-2023.docx")</f>
        <v/>
      </c>
      <c r="W352">
        <f>HYPERLINK("https://klasma.github.io/Logging_RAGUNDA/klagomålsmail/A 15073-2023.docx")</f>
        <v/>
      </c>
      <c r="X352">
        <f>HYPERLINK("https://klasma.github.io/Logging_RAGUNDA/tillsyn/A 15073-2023.docx")</f>
        <v/>
      </c>
      <c r="Y352">
        <f>HYPERLINK("https://klasma.github.io/Logging_RAGUNDA/tillsynsmail/A 15073-2023.docx")</f>
        <v/>
      </c>
    </row>
    <row r="353" ht="15" customHeight="1">
      <c r="A353" t="inlineStr">
        <is>
          <t>A 16195-2023</t>
        </is>
      </c>
      <c r="B353" s="1" t="n">
        <v>45027</v>
      </c>
      <c r="C353" s="1" t="n">
        <v>45182</v>
      </c>
      <c r="D353" t="inlineStr">
        <is>
          <t>JÄMTLANDS LÄN</t>
        </is>
      </c>
      <c r="E353" t="inlineStr">
        <is>
          <t>RAGUNDA</t>
        </is>
      </c>
      <c r="F353" t="inlineStr">
        <is>
          <t>SCA</t>
        </is>
      </c>
      <c r="G353" t="n">
        <v>11.3</v>
      </c>
      <c r="H353" t="n">
        <v>2</v>
      </c>
      <c r="I353" t="n">
        <v>2</v>
      </c>
      <c r="J353" t="n">
        <v>3</v>
      </c>
      <c r="K353" t="n">
        <v>1</v>
      </c>
      <c r="L353" t="n">
        <v>0</v>
      </c>
      <c r="M353" t="n">
        <v>0</v>
      </c>
      <c r="N353" t="n">
        <v>0</v>
      </c>
      <c r="O353" t="n">
        <v>4</v>
      </c>
      <c r="P353" t="n">
        <v>1</v>
      </c>
      <c r="Q353" t="n">
        <v>6</v>
      </c>
      <c r="R353" s="2" t="inlineStr">
        <is>
          <t>Knärot
Blå taggsvamp
Blågrå svartspik
Skrovlig taggsvamp
Dropptaggsvamp
Plattlummer</t>
        </is>
      </c>
      <c r="S353">
        <f>HYPERLINK("https://klasma.github.io/Logging_RAGUNDA/artfynd/A 16195-2023.xlsx")</f>
        <v/>
      </c>
      <c r="T353">
        <f>HYPERLINK("https://klasma.github.io/Logging_RAGUNDA/kartor/A 16195-2023.png")</f>
        <v/>
      </c>
      <c r="U353">
        <f>HYPERLINK("https://klasma.github.io/Logging_RAGUNDA/knärot/A 16195-2023.png")</f>
        <v/>
      </c>
      <c r="V353">
        <f>HYPERLINK("https://klasma.github.io/Logging_RAGUNDA/klagomål/A 16195-2023.docx")</f>
        <v/>
      </c>
      <c r="W353">
        <f>HYPERLINK("https://klasma.github.io/Logging_RAGUNDA/klagomålsmail/A 16195-2023.docx")</f>
        <v/>
      </c>
      <c r="X353">
        <f>HYPERLINK("https://klasma.github.io/Logging_RAGUNDA/tillsyn/A 16195-2023.docx")</f>
        <v/>
      </c>
      <c r="Y353">
        <f>HYPERLINK("https://klasma.github.io/Logging_RAGUNDA/tillsynsmail/A 16195-2023.docx")</f>
        <v/>
      </c>
    </row>
    <row r="354" ht="15" customHeight="1">
      <c r="A354" t="inlineStr">
        <is>
          <t>A 22469-2023</t>
        </is>
      </c>
      <c r="B354" s="1" t="n">
        <v>45070</v>
      </c>
      <c r="C354" s="1" t="n">
        <v>45182</v>
      </c>
      <c r="D354" t="inlineStr">
        <is>
          <t>JÄMTLANDS LÄN</t>
        </is>
      </c>
      <c r="E354" t="inlineStr">
        <is>
          <t>RAGUNDA</t>
        </is>
      </c>
      <c r="F354" t="inlineStr">
        <is>
          <t>SCA</t>
        </is>
      </c>
      <c r="G354" t="n">
        <v>9.199999999999999</v>
      </c>
      <c r="H354" t="n">
        <v>0</v>
      </c>
      <c r="I354" t="n">
        <v>2</v>
      </c>
      <c r="J354" t="n">
        <v>4</v>
      </c>
      <c r="K354" t="n">
        <v>0</v>
      </c>
      <c r="L354" t="n">
        <v>0</v>
      </c>
      <c r="M354" t="n">
        <v>0</v>
      </c>
      <c r="N354" t="n">
        <v>0</v>
      </c>
      <c r="O354" t="n">
        <v>4</v>
      </c>
      <c r="P354" t="n">
        <v>0</v>
      </c>
      <c r="Q354" t="n">
        <v>6</v>
      </c>
      <c r="R354" s="2" t="inlineStr">
        <is>
          <t>Dvärgbägarlav
Garnlav
Kolflarnlav
Lunglav
Dropptaggsvamp
Källmossor</t>
        </is>
      </c>
      <c r="S354">
        <f>HYPERLINK("https://klasma.github.io/Logging_RAGUNDA/artfynd/A 22469-2023.xlsx")</f>
        <v/>
      </c>
      <c r="T354">
        <f>HYPERLINK("https://klasma.github.io/Logging_RAGUNDA/kartor/A 22469-2023.png")</f>
        <v/>
      </c>
      <c r="V354">
        <f>HYPERLINK("https://klasma.github.io/Logging_RAGUNDA/klagomål/A 22469-2023.docx")</f>
        <v/>
      </c>
      <c r="W354">
        <f>HYPERLINK("https://klasma.github.io/Logging_RAGUNDA/klagomålsmail/A 22469-2023.docx")</f>
        <v/>
      </c>
      <c r="X354">
        <f>HYPERLINK("https://klasma.github.io/Logging_RAGUNDA/tillsyn/A 22469-2023.docx")</f>
        <v/>
      </c>
      <c r="Y354">
        <f>HYPERLINK("https://klasma.github.io/Logging_RAGUNDA/tillsynsmail/A 22469-2023.docx")</f>
        <v/>
      </c>
    </row>
    <row r="355" ht="15" customHeight="1">
      <c r="A355" t="inlineStr">
        <is>
          <t>A 27364-2023</t>
        </is>
      </c>
      <c r="B355" s="1" t="n">
        <v>45096</v>
      </c>
      <c r="C355" s="1" t="n">
        <v>45182</v>
      </c>
      <c r="D355" t="inlineStr">
        <is>
          <t>JÄMTLANDS LÄN</t>
        </is>
      </c>
      <c r="E355" t="inlineStr">
        <is>
          <t>STRÖMSUND</t>
        </is>
      </c>
      <c r="F355" t="inlineStr">
        <is>
          <t>SCA</t>
        </is>
      </c>
      <c r="G355" t="n">
        <v>8.300000000000001</v>
      </c>
      <c r="H355" t="n">
        <v>0</v>
      </c>
      <c r="I355" t="n">
        <v>1</v>
      </c>
      <c r="J355" t="n">
        <v>4</v>
      </c>
      <c r="K355" t="n">
        <v>1</v>
      </c>
      <c r="L355" t="n">
        <v>0</v>
      </c>
      <c r="M355" t="n">
        <v>0</v>
      </c>
      <c r="N355" t="n">
        <v>0</v>
      </c>
      <c r="O355" t="n">
        <v>5</v>
      </c>
      <c r="P355" t="n">
        <v>1</v>
      </c>
      <c r="Q355" t="n">
        <v>6</v>
      </c>
      <c r="R355" s="2" t="inlineStr">
        <is>
          <t>Läderlappslav
Garnlav
Harticka
Lunglav
Vitgrynig nållav
Vedticka</t>
        </is>
      </c>
      <c r="S355">
        <f>HYPERLINK("https://klasma.github.io/Logging_STROMSUND/artfynd/A 27364-2023.xlsx")</f>
        <v/>
      </c>
      <c r="T355">
        <f>HYPERLINK("https://klasma.github.io/Logging_STROMSUND/kartor/A 27364-2023.png")</f>
        <v/>
      </c>
      <c r="V355">
        <f>HYPERLINK("https://klasma.github.io/Logging_STROMSUND/klagomål/A 27364-2023.docx")</f>
        <v/>
      </c>
      <c r="W355">
        <f>HYPERLINK("https://klasma.github.io/Logging_STROMSUND/klagomålsmail/A 27364-2023.docx")</f>
        <v/>
      </c>
      <c r="X355">
        <f>HYPERLINK("https://klasma.github.io/Logging_STROMSUND/tillsyn/A 27364-2023.docx")</f>
        <v/>
      </c>
      <c r="Y355">
        <f>HYPERLINK("https://klasma.github.io/Logging_STROMSUND/tillsynsmail/A 27364-2023.docx")</f>
        <v/>
      </c>
    </row>
    <row r="356" ht="15" customHeight="1">
      <c r="A356" t="inlineStr">
        <is>
          <t>A 29963-2023</t>
        </is>
      </c>
      <c r="B356" s="1" t="n">
        <v>45107</v>
      </c>
      <c r="C356" s="1" t="n">
        <v>45182</v>
      </c>
      <c r="D356" t="inlineStr">
        <is>
          <t>JÄMTLANDS LÄN</t>
        </is>
      </c>
      <c r="E356" t="inlineStr">
        <is>
          <t>STRÖMSUND</t>
        </is>
      </c>
      <c r="F356" t="inlineStr">
        <is>
          <t>SCA</t>
        </is>
      </c>
      <c r="G356" t="n">
        <v>15.7</v>
      </c>
      <c r="H356" t="n">
        <v>0</v>
      </c>
      <c r="I356" t="n">
        <v>0</v>
      </c>
      <c r="J356" t="n">
        <v>5</v>
      </c>
      <c r="K356" t="n">
        <v>1</v>
      </c>
      <c r="L356" t="n">
        <v>0</v>
      </c>
      <c r="M356" t="n">
        <v>0</v>
      </c>
      <c r="N356" t="n">
        <v>0</v>
      </c>
      <c r="O356" t="n">
        <v>6</v>
      </c>
      <c r="P356" t="n">
        <v>1</v>
      </c>
      <c r="Q356" t="n">
        <v>6</v>
      </c>
      <c r="R356" s="2" t="inlineStr">
        <is>
          <t>Sprickporing
Gammelgransskål
Granticka
Gränsticka
Harticka
Violmussling</t>
        </is>
      </c>
      <c r="S356">
        <f>HYPERLINK("https://klasma.github.io/Logging_STROMSUND/artfynd/A 29963-2023.xlsx")</f>
        <v/>
      </c>
      <c r="T356">
        <f>HYPERLINK("https://klasma.github.io/Logging_STROMSUND/kartor/A 29963-2023.png")</f>
        <v/>
      </c>
      <c r="V356">
        <f>HYPERLINK("https://klasma.github.io/Logging_STROMSUND/klagomål/A 29963-2023.docx")</f>
        <v/>
      </c>
      <c r="W356">
        <f>HYPERLINK("https://klasma.github.io/Logging_STROMSUND/klagomålsmail/A 29963-2023.docx")</f>
        <v/>
      </c>
      <c r="X356">
        <f>HYPERLINK("https://klasma.github.io/Logging_STROMSUND/tillsyn/A 29963-2023.docx")</f>
        <v/>
      </c>
      <c r="Y356">
        <f>HYPERLINK("https://klasma.github.io/Logging_STROMSUND/tillsynsmail/A 29963-2023.docx")</f>
        <v/>
      </c>
    </row>
    <row r="357" ht="15" customHeight="1">
      <c r="A357" t="inlineStr">
        <is>
          <t>A 3604-2019</t>
        </is>
      </c>
      <c r="B357" s="1" t="n">
        <v>43474</v>
      </c>
      <c r="C357" s="1" t="n">
        <v>45182</v>
      </c>
      <c r="D357" t="inlineStr">
        <is>
          <t>JÄMTLANDS LÄN</t>
        </is>
      </c>
      <c r="E357" t="inlineStr">
        <is>
          <t>KROKOM</t>
        </is>
      </c>
      <c r="G357" t="n">
        <v>5.8</v>
      </c>
      <c r="H357" t="n">
        <v>0</v>
      </c>
      <c r="I357" t="n">
        <v>0</v>
      </c>
      <c r="J357" t="n">
        <v>4</v>
      </c>
      <c r="K357" t="n">
        <v>1</v>
      </c>
      <c r="L357" t="n">
        <v>0</v>
      </c>
      <c r="M357" t="n">
        <v>0</v>
      </c>
      <c r="N357" t="n">
        <v>0</v>
      </c>
      <c r="O357" t="n">
        <v>5</v>
      </c>
      <c r="P357" t="n">
        <v>1</v>
      </c>
      <c r="Q357" t="n">
        <v>5</v>
      </c>
      <c r="R357" s="2" t="inlineStr">
        <is>
          <t>Norsk näverlav
Gränsticka
Ullticka
Vedtrappmossa
Vitskaftad svartspik</t>
        </is>
      </c>
      <c r="S357">
        <f>HYPERLINK("https://klasma.github.io/Logging_KROKOM/artfynd/A 3604-2019.xlsx")</f>
        <v/>
      </c>
      <c r="T357">
        <f>HYPERLINK("https://klasma.github.io/Logging_KROKOM/kartor/A 3604-2019.png")</f>
        <v/>
      </c>
      <c r="V357">
        <f>HYPERLINK("https://klasma.github.io/Logging_KROKOM/klagomål/A 3604-2019.docx")</f>
        <v/>
      </c>
      <c r="W357">
        <f>HYPERLINK("https://klasma.github.io/Logging_KROKOM/klagomålsmail/A 3604-2019.docx")</f>
        <v/>
      </c>
      <c r="X357">
        <f>HYPERLINK("https://klasma.github.io/Logging_KROKOM/tillsyn/A 3604-2019.docx")</f>
        <v/>
      </c>
      <c r="Y357">
        <f>HYPERLINK("https://klasma.github.io/Logging_KROKOM/tillsynsmail/A 3604-2019.docx")</f>
        <v/>
      </c>
    </row>
    <row r="358" ht="15" customHeight="1">
      <c r="A358" t="inlineStr">
        <is>
          <t>A 4628-2019</t>
        </is>
      </c>
      <c r="B358" s="1" t="n">
        <v>43486</v>
      </c>
      <c r="C358" s="1" t="n">
        <v>45182</v>
      </c>
      <c r="D358" t="inlineStr">
        <is>
          <t>JÄMTLANDS LÄN</t>
        </is>
      </c>
      <c r="E358" t="inlineStr">
        <is>
          <t>HÄRJEDALEN</t>
        </is>
      </c>
      <c r="G358" t="n">
        <v>34.1</v>
      </c>
      <c r="H358" t="n">
        <v>0</v>
      </c>
      <c r="I358" t="n">
        <v>0</v>
      </c>
      <c r="J358" t="n">
        <v>3</v>
      </c>
      <c r="K358" t="n">
        <v>2</v>
      </c>
      <c r="L358" t="n">
        <v>0</v>
      </c>
      <c r="M358" t="n">
        <v>0</v>
      </c>
      <c r="N358" t="n">
        <v>0</v>
      </c>
      <c r="O358" t="n">
        <v>5</v>
      </c>
      <c r="P358" t="n">
        <v>2</v>
      </c>
      <c r="Q358" t="n">
        <v>5</v>
      </c>
      <c r="R358" s="2" t="inlineStr">
        <is>
          <t>Gräddporing
Rynkskinn
Doftskinn
Gränsticka
Rosenticka</t>
        </is>
      </c>
      <c r="S358">
        <f>HYPERLINK("https://klasma.github.io/Logging_HARJEDALEN/artfynd/A 4628-2019.xlsx")</f>
        <v/>
      </c>
      <c r="T358">
        <f>HYPERLINK("https://klasma.github.io/Logging_HARJEDALEN/kartor/A 4628-2019.png")</f>
        <v/>
      </c>
      <c r="V358">
        <f>HYPERLINK("https://klasma.github.io/Logging_HARJEDALEN/klagomål/A 4628-2019.docx")</f>
        <v/>
      </c>
      <c r="W358">
        <f>HYPERLINK("https://klasma.github.io/Logging_HARJEDALEN/klagomålsmail/A 4628-2019.docx")</f>
        <v/>
      </c>
      <c r="X358">
        <f>HYPERLINK("https://klasma.github.io/Logging_HARJEDALEN/tillsyn/A 4628-2019.docx")</f>
        <v/>
      </c>
      <c r="Y358">
        <f>HYPERLINK("https://klasma.github.io/Logging_HARJEDALEN/tillsynsmail/A 4628-2019.docx")</f>
        <v/>
      </c>
    </row>
    <row r="359" ht="15" customHeight="1">
      <c r="A359" t="inlineStr">
        <is>
          <t>A 25066-2019</t>
        </is>
      </c>
      <c r="B359" s="1" t="n">
        <v>43605</v>
      </c>
      <c r="C359" s="1" t="n">
        <v>45182</v>
      </c>
      <c r="D359" t="inlineStr">
        <is>
          <t>JÄMTLANDS LÄN</t>
        </is>
      </c>
      <c r="E359" t="inlineStr">
        <is>
          <t>ÅRE</t>
        </is>
      </c>
      <c r="G359" t="n">
        <v>5.4</v>
      </c>
      <c r="H359" t="n">
        <v>2</v>
      </c>
      <c r="I359" t="n">
        <v>1</v>
      </c>
      <c r="J359" t="n">
        <v>4</v>
      </c>
      <c r="K359" t="n">
        <v>0</v>
      </c>
      <c r="L359" t="n">
        <v>0</v>
      </c>
      <c r="M359" t="n">
        <v>0</v>
      </c>
      <c r="N359" t="n">
        <v>0</v>
      </c>
      <c r="O359" t="n">
        <v>4</v>
      </c>
      <c r="P359" t="n">
        <v>0</v>
      </c>
      <c r="Q359" t="n">
        <v>5</v>
      </c>
      <c r="R359" s="2" t="inlineStr">
        <is>
          <t>Garnlav
Granticka
Tretåig hackspett
Ullticka
Spindelblomster</t>
        </is>
      </c>
      <c r="S359">
        <f>HYPERLINK("https://klasma.github.io/Logging_ARE/artfynd/A 25066-2019.xlsx")</f>
        <v/>
      </c>
      <c r="T359">
        <f>HYPERLINK("https://klasma.github.io/Logging_ARE/kartor/A 25066-2019.png")</f>
        <v/>
      </c>
      <c r="V359">
        <f>HYPERLINK("https://klasma.github.io/Logging_ARE/klagomål/A 25066-2019.docx")</f>
        <v/>
      </c>
      <c r="W359">
        <f>HYPERLINK("https://klasma.github.io/Logging_ARE/klagomålsmail/A 25066-2019.docx")</f>
        <v/>
      </c>
      <c r="X359">
        <f>HYPERLINK("https://klasma.github.io/Logging_ARE/tillsyn/A 25066-2019.docx")</f>
        <v/>
      </c>
      <c r="Y359">
        <f>HYPERLINK("https://klasma.github.io/Logging_ARE/tillsynsmail/A 25066-2019.docx")</f>
        <v/>
      </c>
    </row>
    <row r="360" ht="15" customHeight="1">
      <c r="A360" t="inlineStr">
        <is>
          <t>A 25472-2019</t>
        </is>
      </c>
      <c r="B360" s="1" t="n">
        <v>43606</v>
      </c>
      <c r="C360" s="1" t="n">
        <v>45182</v>
      </c>
      <c r="D360" t="inlineStr">
        <is>
          <t>JÄMTLANDS LÄN</t>
        </is>
      </c>
      <c r="E360" t="inlineStr">
        <is>
          <t>HÄRJEDALEN</t>
        </is>
      </c>
      <c r="G360" t="n">
        <v>18.7</v>
      </c>
      <c r="H360" t="n">
        <v>0</v>
      </c>
      <c r="I360" t="n">
        <v>0</v>
      </c>
      <c r="J360" t="n">
        <v>4</v>
      </c>
      <c r="K360" t="n">
        <v>1</v>
      </c>
      <c r="L360" t="n">
        <v>0</v>
      </c>
      <c r="M360" t="n">
        <v>0</v>
      </c>
      <c r="N360" t="n">
        <v>0</v>
      </c>
      <c r="O360" t="n">
        <v>5</v>
      </c>
      <c r="P360" t="n">
        <v>1</v>
      </c>
      <c r="Q360" t="n">
        <v>5</v>
      </c>
      <c r="R360" s="2" t="inlineStr">
        <is>
          <t>Gräddporing
Dvärgbägarlav
Gammelgransskål
Garnlav
Skrovellav</t>
        </is>
      </c>
      <c r="S360">
        <f>HYPERLINK("https://klasma.github.io/Logging_HARJEDALEN/artfynd/A 25472-2019.xlsx")</f>
        <v/>
      </c>
      <c r="T360">
        <f>HYPERLINK("https://klasma.github.io/Logging_HARJEDALEN/kartor/A 25472-2019.png")</f>
        <v/>
      </c>
      <c r="V360">
        <f>HYPERLINK("https://klasma.github.io/Logging_HARJEDALEN/klagomål/A 25472-2019.docx")</f>
        <v/>
      </c>
      <c r="W360">
        <f>HYPERLINK("https://klasma.github.io/Logging_HARJEDALEN/klagomålsmail/A 25472-2019.docx")</f>
        <v/>
      </c>
      <c r="X360">
        <f>HYPERLINK("https://klasma.github.io/Logging_HARJEDALEN/tillsyn/A 25472-2019.docx")</f>
        <v/>
      </c>
      <c r="Y360">
        <f>HYPERLINK("https://klasma.github.io/Logging_HARJEDALEN/tillsynsmail/A 25472-2019.docx")</f>
        <v/>
      </c>
    </row>
    <row r="361" ht="15" customHeight="1">
      <c r="A361" t="inlineStr">
        <is>
          <t>A 54397-2019</t>
        </is>
      </c>
      <c r="B361" s="1" t="n">
        <v>43754</v>
      </c>
      <c r="C361" s="1" t="n">
        <v>45182</v>
      </c>
      <c r="D361" t="inlineStr">
        <is>
          <t>JÄMTLANDS LÄN</t>
        </is>
      </c>
      <c r="E361" t="inlineStr">
        <is>
          <t>STRÖMSUND</t>
        </is>
      </c>
      <c r="F361" t="inlineStr">
        <is>
          <t>Holmen skog AB</t>
        </is>
      </c>
      <c r="G361" t="n">
        <v>7.3</v>
      </c>
      <c r="H361" t="n">
        <v>0</v>
      </c>
      <c r="I361" t="n">
        <v>2</v>
      </c>
      <c r="J361" t="n">
        <v>3</v>
      </c>
      <c r="K361" t="n">
        <v>0</v>
      </c>
      <c r="L361" t="n">
        <v>0</v>
      </c>
      <c r="M361" t="n">
        <v>0</v>
      </c>
      <c r="N361" t="n">
        <v>0</v>
      </c>
      <c r="O361" t="n">
        <v>3</v>
      </c>
      <c r="P361" t="n">
        <v>0</v>
      </c>
      <c r="Q361" t="n">
        <v>5</v>
      </c>
      <c r="R361" s="2" t="inlineStr">
        <is>
          <t>Garnlav
Lunglav
Skrovellav
Bårdlav
Stuplav</t>
        </is>
      </c>
      <c r="S361">
        <f>HYPERLINK("https://klasma.github.io/Logging_STROMSUND/artfynd/A 54397-2019.xlsx")</f>
        <v/>
      </c>
      <c r="T361">
        <f>HYPERLINK("https://klasma.github.io/Logging_STROMSUND/kartor/A 54397-2019.png")</f>
        <v/>
      </c>
      <c r="V361">
        <f>HYPERLINK("https://klasma.github.io/Logging_STROMSUND/klagomål/A 54397-2019.docx")</f>
        <v/>
      </c>
      <c r="W361">
        <f>HYPERLINK("https://klasma.github.io/Logging_STROMSUND/klagomålsmail/A 54397-2019.docx")</f>
        <v/>
      </c>
      <c r="X361">
        <f>HYPERLINK("https://klasma.github.io/Logging_STROMSUND/tillsyn/A 54397-2019.docx")</f>
        <v/>
      </c>
      <c r="Y361">
        <f>HYPERLINK("https://klasma.github.io/Logging_STROMSUND/tillsynsmail/A 54397-2019.docx")</f>
        <v/>
      </c>
    </row>
    <row r="362" ht="15" customHeight="1">
      <c r="A362" t="inlineStr">
        <is>
          <t>A 56104-2019</t>
        </is>
      </c>
      <c r="B362" s="1" t="n">
        <v>43759</v>
      </c>
      <c r="C362" s="1" t="n">
        <v>45182</v>
      </c>
      <c r="D362" t="inlineStr">
        <is>
          <t>JÄMTLANDS LÄN</t>
        </is>
      </c>
      <c r="E362" t="inlineStr">
        <is>
          <t>BRÄCKE</t>
        </is>
      </c>
      <c r="F362" t="inlineStr">
        <is>
          <t>Kyrkan</t>
        </is>
      </c>
      <c r="G362" t="n">
        <v>17.6</v>
      </c>
      <c r="H362" t="n">
        <v>2</v>
      </c>
      <c r="I362" t="n">
        <v>1</v>
      </c>
      <c r="J362" t="n">
        <v>3</v>
      </c>
      <c r="K362" t="n">
        <v>1</v>
      </c>
      <c r="L362" t="n">
        <v>0</v>
      </c>
      <c r="M362" t="n">
        <v>0</v>
      </c>
      <c r="N362" t="n">
        <v>0</v>
      </c>
      <c r="O362" t="n">
        <v>4</v>
      </c>
      <c r="P362" t="n">
        <v>1</v>
      </c>
      <c r="Q362" t="n">
        <v>5</v>
      </c>
      <c r="R362" s="2" t="inlineStr">
        <is>
          <t>Doftticka
Lunglav
Veckticka
Vedtrappmossa
Tvåblad</t>
        </is>
      </c>
      <c r="S362">
        <f>HYPERLINK("https://klasma.github.io/Logging_BRACKE/artfynd/A 56104-2019.xlsx")</f>
        <v/>
      </c>
      <c r="T362">
        <f>HYPERLINK("https://klasma.github.io/Logging_BRACKE/kartor/A 56104-2019.png")</f>
        <v/>
      </c>
      <c r="V362">
        <f>HYPERLINK("https://klasma.github.io/Logging_BRACKE/klagomål/A 56104-2019.docx")</f>
        <v/>
      </c>
      <c r="W362">
        <f>HYPERLINK("https://klasma.github.io/Logging_BRACKE/klagomålsmail/A 56104-2019.docx")</f>
        <v/>
      </c>
      <c r="X362">
        <f>HYPERLINK("https://klasma.github.io/Logging_BRACKE/tillsyn/A 56104-2019.docx")</f>
        <v/>
      </c>
      <c r="Y362">
        <f>HYPERLINK("https://klasma.github.io/Logging_BRACKE/tillsynsmail/A 56104-2019.docx")</f>
        <v/>
      </c>
    </row>
    <row r="363" ht="15" customHeight="1">
      <c r="A363" t="inlineStr">
        <is>
          <t>A 59102-2019</t>
        </is>
      </c>
      <c r="B363" s="1" t="n">
        <v>43774</v>
      </c>
      <c r="C363" s="1" t="n">
        <v>45182</v>
      </c>
      <c r="D363" t="inlineStr">
        <is>
          <t>JÄMTLANDS LÄN</t>
        </is>
      </c>
      <c r="E363" t="inlineStr">
        <is>
          <t>STRÖMSUND</t>
        </is>
      </c>
      <c r="F363" t="inlineStr">
        <is>
          <t>SCA</t>
        </is>
      </c>
      <c r="G363" t="n">
        <v>3</v>
      </c>
      <c r="H363" t="n">
        <v>3</v>
      </c>
      <c r="I363" t="n">
        <v>1</v>
      </c>
      <c r="J363" t="n">
        <v>1</v>
      </c>
      <c r="K363" t="n">
        <v>0</v>
      </c>
      <c r="L363" t="n">
        <v>0</v>
      </c>
      <c r="M363" t="n">
        <v>0</v>
      </c>
      <c r="N363" t="n">
        <v>0</v>
      </c>
      <c r="O363" t="n">
        <v>1</v>
      </c>
      <c r="P363" t="n">
        <v>0</v>
      </c>
      <c r="Q363" t="n">
        <v>5</v>
      </c>
      <c r="R363" s="2" t="inlineStr">
        <is>
          <t>Garnlav
Finbräken
Brudsporre
Dactylorhiza incarnata subsp. incarnata
Blåsippa</t>
        </is>
      </c>
      <c r="S363">
        <f>HYPERLINK("https://klasma.github.io/Logging_STROMSUND/artfynd/A 59102-2019.xlsx")</f>
        <v/>
      </c>
      <c r="T363">
        <f>HYPERLINK("https://klasma.github.io/Logging_STROMSUND/kartor/A 59102-2019.png")</f>
        <v/>
      </c>
      <c r="V363">
        <f>HYPERLINK("https://klasma.github.io/Logging_STROMSUND/klagomål/A 59102-2019.docx")</f>
        <v/>
      </c>
      <c r="W363">
        <f>HYPERLINK("https://klasma.github.io/Logging_STROMSUND/klagomålsmail/A 59102-2019.docx")</f>
        <v/>
      </c>
      <c r="X363">
        <f>HYPERLINK("https://klasma.github.io/Logging_STROMSUND/tillsyn/A 59102-2019.docx")</f>
        <v/>
      </c>
      <c r="Y363">
        <f>HYPERLINK("https://klasma.github.io/Logging_STROMSUND/tillsynsmail/A 59102-2019.docx")</f>
        <v/>
      </c>
    </row>
    <row r="364" ht="15" customHeight="1">
      <c r="A364" t="inlineStr">
        <is>
          <t>A 68312-2019</t>
        </is>
      </c>
      <c r="B364" s="1" t="n">
        <v>43817</v>
      </c>
      <c r="C364" s="1" t="n">
        <v>45182</v>
      </c>
      <c r="D364" t="inlineStr">
        <is>
          <t>JÄMTLANDS LÄN</t>
        </is>
      </c>
      <c r="E364" t="inlineStr">
        <is>
          <t>KROKOM</t>
        </is>
      </c>
      <c r="F364" t="inlineStr">
        <is>
          <t>SCA</t>
        </is>
      </c>
      <c r="G364" t="n">
        <v>4.4</v>
      </c>
      <c r="H364" t="n">
        <v>1</v>
      </c>
      <c r="I364" t="n">
        <v>2</v>
      </c>
      <c r="J364" t="n">
        <v>2</v>
      </c>
      <c r="K364" t="n">
        <v>1</v>
      </c>
      <c r="L364" t="n">
        <v>0</v>
      </c>
      <c r="M364" t="n">
        <v>0</v>
      </c>
      <c r="N364" t="n">
        <v>0</v>
      </c>
      <c r="O364" t="n">
        <v>3</v>
      </c>
      <c r="P364" t="n">
        <v>1</v>
      </c>
      <c r="Q364" t="n">
        <v>5</v>
      </c>
      <c r="R364" s="2" t="inlineStr">
        <is>
          <t>Goliatmusseron
Lunglav
Skrovellav
Bårdlav
Plattlummer</t>
        </is>
      </c>
      <c r="S364">
        <f>HYPERLINK("https://klasma.github.io/Logging_KROKOM/artfynd/A 68312-2019.xlsx")</f>
        <v/>
      </c>
      <c r="T364">
        <f>HYPERLINK("https://klasma.github.io/Logging_KROKOM/kartor/A 68312-2019.png")</f>
        <v/>
      </c>
      <c r="V364">
        <f>HYPERLINK("https://klasma.github.io/Logging_KROKOM/klagomål/A 68312-2019.docx")</f>
        <v/>
      </c>
      <c r="W364">
        <f>HYPERLINK("https://klasma.github.io/Logging_KROKOM/klagomålsmail/A 68312-2019.docx")</f>
        <v/>
      </c>
      <c r="X364">
        <f>HYPERLINK("https://klasma.github.io/Logging_KROKOM/tillsyn/A 68312-2019.docx")</f>
        <v/>
      </c>
      <c r="Y364">
        <f>HYPERLINK("https://klasma.github.io/Logging_KROKOM/tillsynsmail/A 68312-2019.docx")</f>
        <v/>
      </c>
    </row>
    <row r="365" ht="15" customHeight="1">
      <c r="A365" t="inlineStr">
        <is>
          <t>A 10058-2020</t>
        </is>
      </c>
      <c r="B365" s="1" t="n">
        <v>43882</v>
      </c>
      <c r="C365" s="1" t="n">
        <v>45182</v>
      </c>
      <c r="D365" t="inlineStr">
        <is>
          <t>JÄMTLANDS LÄN</t>
        </is>
      </c>
      <c r="E365" t="inlineStr">
        <is>
          <t>STRÖMSUND</t>
        </is>
      </c>
      <c r="G365" t="n">
        <v>10.7</v>
      </c>
      <c r="H365" t="n">
        <v>0</v>
      </c>
      <c r="I365" t="n">
        <v>1</v>
      </c>
      <c r="J365" t="n">
        <v>3</v>
      </c>
      <c r="K365" t="n">
        <v>1</v>
      </c>
      <c r="L365" t="n">
        <v>0</v>
      </c>
      <c r="M365" t="n">
        <v>0</v>
      </c>
      <c r="N365" t="n">
        <v>0</v>
      </c>
      <c r="O365" t="n">
        <v>4</v>
      </c>
      <c r="P365" t="n">
        <v>1</v>
      </c>
      <c r="Q365" t="n">
        <v>5</v>
      </c>
      <c r="R365" s="2" t="inlineStr">
        <is>
          <t>Rynkskinn
Garnlav
Lunglav
Ullticka
Stuplav</t>
        </is>
      </c>
      <c r="S365">
        <f>HYPERLINK("https://klasma.github.io/Logging_STROMSUND/artfynd/A 10058-2020.xlsx")</f>
        <v/>
      </c>
      <c r="T365">
        <f>HYPERLINK("https://klasma.github.io/Logging_STROMSUND/kartor/A 10058-2020.png")</f>
        <v/>
      </c>
      <c r="V365">
        <f>HYPERLINK("https://klasma.github.io/Logging_STROMSUND/klagomål/A 10058-2020.docx")</f>
        <v/>
      </c>
      <c r="W365">
        <f>HYPERLINK("https://klasma.github.io/Logging_STROMSUND/klagomålsmail/A 10058-2020.docx")</f>
        <v/>
      </c>
      <c r="X365">
        <f>HYPERLINK("https://klasma.github.io/Logging_STROMSUND/tillsyn/A 10058-2020.docx")</f>
        <v/>
      </c>
      <c r="Y365">
        <f>HYPERLINK("https://klasma.github.io/Logging_STROMSUND/tillsynsmail/A 10058-2020.docx")</f>
        <v/>
      </c>
    </row>
    <row r="366" ht="15" customHeight="1">
      <c r="A366" t="inlineStr">
        <is>
          <t>A 12142-2020</t>
        </is>
      </c>
      <c r="B366" s="1" t="n">
        <v>43895</v>
      </c>
      <c r="C366" s="1" t="n">
        <v>45182</v>
      </c>
      <c r="D366" t="inlineStr">
        <is>
          <t>JÄMTLANDS LÄN</t>
        </is>
      </c>
      <c r="E366" t="inlineStr">
        <is>
          <t>BRÄCKE</t>
        </is>
      </c>
      <c r="G366" t="n">
        <v>3.2</v>
      </c>
      <c r="H366" t="n">
        <v>1</v>
      </c>
      <c r="I366" t="n">
        <v>1</v>
      </c>
      <c r="J366" t="n">
        <v>2</v>
      </c>
      <c r="K366" t="n">
        <v>2</v>
      </c>
      <c r="L366" t="n">
        <v>0</v>
      </c>
      <c r="M366" t="n">
        <v>0</v>
      </c>
      <c r="N366" t="n">
        <v>0</v>
      </c>
      <c r="O366" t="n">
        <v>4</v>
      </c>
      <c r="P366" t="n">
        <v>2</v>
      </c>
      <c r="Q366" t="n">
        <v>5</v>
      </c>
      <c r="R366" s="2" t="inlineStr">
        <is>
          <t>Fläckporing
Knärot
Dvärgbägarlav
Kortskaftad ärgspik
Dvärgtufs</t>
        </is>
      </c>
      <c r="S366">
        <f>HYPERLINK("https://klasma.github.io/Logging_BRACKE/artfynd/A 12142-2020.xlsx")</f>
        <v/>
      </c>
      <c r="T366">
        <f>HYPERLINK("https://klasma.github.io/Logging_BRACKE/kartor/A 12142-2020.png")</f>
        <v/>
      </c>
      <c r="U366">
        <f>HYPERLINK("https://klasma.github.io/Logging_BRACKE/knärot/A 12142-2020.png")</f>
        <v/>
      </c>
      <c r="V366">
        <f>HYPERLINK("https://klasma.github.io/Logging_BRACKE/klagomål/A 12142-2020.docx")</f>
        <v/>
      </c>
      <c r="W366">
        <f>HYPERLINK("https://klasma.github.io/Logging_BRACKE/klagomålsmail/A 12142-2020.docx")</f>
        <v/>
      </c>
      <c r="X366">
        <f>HYPERLINK("https://klasma.github.io/Logging_BRACKE/tillsyn/A 12142-2020.docx")</f>
        <v/>
      </c>
      <c r="Y366">
        <f>HYPERLINK("https://klasma.github.io/Logging_BRACKE/tillsynsmail/A 12142-2020.docx")</f>
        <v/>
      </c>
    </row>
    <row r="367" ht="15" customHeight="1">
      <c r="A367" t="inlineStr">
        <is>
          <t>A 16575-2020</t>
        </is>
      </c>
      <c r="B367" s="1" t="n">
        <v>43920</v>
      </c>
      <c r="C367" s="1" t="n">
        <v>45182</v>
      </c>
      <c r="D367" t="inlineStr">
        <is>
          <t>JÄMTLANDS LÄN</t>
        </is>
      </c>
      <c r="E367" t="inlineStr">
        <is>
          <t>KROKOM</t>
        </is>
      </c>
      <c r="G367" t="n">
        <v>14.6</v>
      </c>
      <c r="H367" t="n">
        <v>0</v>
      </c>
      <c r="I367" t="n">
        <v>2</v>
      </c>
      <c r="J367" t="n">
        <v>3</v>
      </c>
      <c r="K367" t="n">
        <v>0</v>
      </c>
      <c r="L367" t="n">
        <v>0</v>
      </c>
      <c r="M367" t="n">
        <v>0</v>
      </c>
      <c r="N367" t="n">
        <v>0</v>
      </c>
      <c r="O367" t="n">
        <v>3</v>
      </c>
      <c r="P367" t="n">
        <v>0</v>
      </c>
      <c r="Q367" t="n">
        <v>5</v>
      </c>
      <c r="R367" s="2" t="inlineStr">
        <is>
          <t>Garnlav
Lunglav
Skrovellav
Bårdlav
Norrlandslav</t>
        </is>
      </c>
      <c r="S367">
        <f>HYPERLINK("https://klasma.github.io/Logging_KROKOM/artfynd/A 16575-2020.xlsx")</f>
        <v/>
      </c>
      <c r="T367">
        <f>HYPERLINK("https://klasma.github.io/Logging_KROKOM/kartor/A 16575-2020.png")</f>
        <v/>
      </c>
      <c r="V367">
        <f>HYPERLINK("https://klasma.github.io/Logging_KROKOM/klagomål/A 16575-2020.docx")</f>
        <v/>
      </c>
      <c r="W367">
        <f>HYPERLINK("https://klasma.github.io/Logging_KROKOM/klagomålsmail/A 16575-2020.docx")</f>
        <v/>
      </c>
      <c r="X367">
        <f>HYPERLINK("https://klasma.github.io/Logging_KROKOM/tillsyn/A 16575-2020.docx")</f>
        <v/>
      </c>
      <c r="Y367">
        <f>HYPERLINK("https://klasma.github.io/Logging_KROKOM/tillsynsmail/A 16575-2020.docx")</f>
        <v/>
      </c>
    </row>
    <row r="368" ht="15" customHeight="1">
      <c r="A368" t="inlineStr">
        <is>
          <t>A 34121-2020</t>
        </is>
      </c>
      <c r="B368" s="1" t="n">
        <v>44028</v>
      </c>
      <c r="C368" s="1" t="n">
        <v>45182</v>
      </c>
      <c r="D368" t="inlineStr">
        <is>
          <t>JÄMTLANDS LÄN</t>
        </is>
      </c>
      <c r="E368" t="inlineStr">
        <is>
          <t>STRÖMSUND</t>
        </is>
      </c>
      <c r="F368" t="inlineStr">
        <is>
          <t>SCA</t>
        </is>
      </c>
      <c r="G368" t="n">
        <v>28.8</v>
      </c>
      <c r="H368" t="n">
        <v>0</v>
      </c>
      <c r="I368" t="n">
        <v>0</v>
      </c>
      <c r="J368" t="n">
        <v>3</v>
      </c>
      <c r="K368" t="n">
        <v>2</v>
      </c>
      <c r="L368" t="n">
        <v>0</v>
      </c>
      <c r="M368" t="n">
        <v>0</v>
      </c>
      <c r="N368" t="n">
        <v>0</v>
      </c>
      <c r="O368" t="n">
        <v>5</v>
      </c>
      <c r="P368" t="n">
        <v>2</v>
      </c>
      <c r="Q368" t="n">
        <v>5</v>
      </c>
      <c r="R368" s="2" t="inlineStr">
        <is>
          <t>Liten sotlav
Norsk näverlav
Gränsticka
Harticka
Ullticka</t>
        </is>
      </c>
      <c r="S368">
        <f>HYPERLINK("https://klasma.github.io/Logging_STROMSUND/artfynd/A 34121-2020.xlsx")</f>
        <v/>
      </c>
      <c r="T368">
        <f>HYPERLINK("https://klasma.github.io/Logging_STROMSUND/kartor/A 34121-2020.png")</f>
        <v/>
      </c>
      <c r="V368">
        <f>HYPERLINK("https://klasma.github.io/Logging_STROMSUND/klagomål/A 34121-2020.docx")</f>
        <v/>
      </c>
      <c r="W368">
        <f>HYPERLINK("https://klasma.github.io/Logging_STROMSUND/klagomålsmail/A 34121-2020.docx")</f>
        <v/>
      </c>
      <c r="X368">
        <f>HYPERLINK("https://klasma.github.io/Logging_STROMSUND/tillsyn/A 34121-2020.docx")</f>
        <v/>
      </c>
      <c r="Y368">
        <f>HYPERLINK("https://klasma.github.io/Logging_STROMSUND/tillsynsmail/A 34121-2020.docx")</f>
        <v/>
      </c>
    </row>
    <row r="369" ht="15" customHeight="1">
      <c r="A369" t="inlineStr">
        <is>
          <t>A 35691-2020</t>
        </is>
      </c>
      <c r="B369" s="1" t="n">
        <v>44046</v>
      </c>
      <c r="C369" s="1" t="n">
        <v>45182</v>
      </c>
      <c r="D369" t="inlineStr">
        <is>
          <t>JÄMTLANDS LÄN</t>
        </is>
      </c>
      <c r="E369" t="inlineStr">
        <is>
          <t>STRÖMSUND</t>
        </is>
      </c>
      <c r="G369" t="n">
        <v>13.9</v>
      </c>
      <c r="H369" t="n">
        <v>1</v>
      </c>
      <c r="I369" t="n">
        <v>4</v>
      </c>
      <c r="J369" t="n">
        <v>1</v>
      </c>
      <c r="K369" t="n">
        <v>0</v>
      </c>
      <c r="L369" t="n">
        <v>0</v>
      </c>
      <c r="M369" t="n">
        <v>0</v>
      </c>
      <c r="N369" t="n">
        <v>0</v>
      </c>
      <c r="O369" t="n">
        <v>1</v>
      </c>
      <c r="P369" t="n">
        <v>0</v>
      </c>
      <c r="Q369" t="n">
        <v>5</v>
      </c>
      <c r="R369" s="2" t="inlineStr">
        <is>
          <t>Garnlav
Kransrams
Luddlav
Spindelblomster
Stuplav</t>
        </is>
      </c>
      <c r="S369">
        <f>HYPERLINK("https://klasma.github.io/Logging_STROMSUND/artfynd/A 35691-2020.xlsx")</f>
        <v/>
      </c>
      <c r="T369">
        <f>HYPERLINK("https://klasma.github.io/Logging_STROMSUND/kartor/A 35691-2020.png")</f>
        <v/>
      </c>
      <c r="V369">
        <f>HYPERLINK("https://klasma.github.io/Logging_STROMSUND/klagomål/A 35691-2020.docx")</f>
        <v/>
      </c>
      <c r="W369">
        <f>HYPERLINK("https://klasma.github.io/Logging_STROMSUND/klagomålsmail/A 35691-2020.docx")</f>
        <v/>
      </c>
      <c r="X369">
        <f>HYPERLINK("https://klasma.github.io/Logging_STROMSUND/tillsyn/A 35691-2020.docx")</f>
        <v/>
      </c>
      <c r="Y369">
        <f>HYPERLINK("https://klasma.github.io/Logging_STROMSUND/tillsynsmail/A 35691-2020.docx")</f>
        <v/>
      </c>
    </row>
    <row r="370" ht="15" customHeight="1">
      <c r="A370" t="inlineStr">
        <is>
          <t>A 39021-2020</t>
        </is>
      </c>
      <c r="B370" s="1" t="n">
        <v>44062</v>
      </c>
      <c r="C370" s="1" t="n">
        <v>45182</v>
      </c>
      <c r="D370" t="inlineStr">
        <is>
          <t>JÄMTLANDS LÄN</t>
        </is>
      </c>
      <c r="E370" t="inlineStr">
        <is>
          <t>BERG</t>
        </is>
      </c>
      <c r="G370" t="n">
        <v>18</v>
      </c>
      <c r="H370" t="n">
        <v>0</v>
      </c>
      <c r="I370" t="n">
        <v>0</v>
      </c>
      <c r="J370" t="n">
        <v>5</v>
      </c>
      <c r="K370" t="n">
        <v>0</v>
      </c>
      <c r="L370" t="n">
        <v>0</v>
      </c>
      <c r="M370" t="n">
        <v>0</v>
      </c>
      <c r="N370" t="n">
        <v>0</v>
      </c>
      <c r="O370" t="n">
        <v>5</v>
      </c>
      <c r="P370" t="n">
        <v>0</v>
      </c>
      <c r="Q370" t="n">
        <v>5</v>
      </c>
      <c r="R370" s="2" t="inlineStr">
        <is>
          <t>Kolflarnlav
Mörk kolflarnlav
Vedflamlav
Vedskivlav
Vitplätt</t>
        </is>
      </c>
      <c r="S370">
        <f>HYPERLINK("https://klasma.github.io/Logging_BERG/artfynd/A 39021-2020.xlsx")</f>
        <v/>
      </c>
      <c r="T370">
        <f>HYPERLINK("https://klasma.github.io/Logging_BERG/kartor/A 39021-2020.png")</f>
        <v/>
      </c>
      <c r="V370">
        <f>HYPERLINK("https://klasma.github.io/Logging_BERG/klagomål/A 39021-2020.docx")</f>
        <v/>
      </c>
      <c r="W370">
        <f>HYPERLINK("https://klasma.github.io/Logging_BERG/klagomålsmail/A 39021-2020.docx")</f>
        <v/>
      </c>
      <c r="X370">
        <f>HYPERLINK("https://klasma.github.io/Logging_BERG/tillsyn/A 39021-2020.docx")</f>
        <v/>
      </c>
      <c r="Y370">
        <f>HYPERLINK("https://klasma.github.io/Logging_BERG/tillsynsmail/A 39021-2020.docx")</f>
        <v/>
      </c>
    </row>
    <row r="371" ht="15" customHeight="1">
      <c r="A371" t="inlineStr">
        <is>
          <t>A 42629-2020</t>
        </is>
      </c>
      <c r="B371" s="1" t="n">
        <v>44077</v>
      </c>
      <c r="C371" s="1" t="n">
        <v>45182</v>
      </c>
      <c r="D371" t="inlineStr">
        <is>
          <t>JÄMTLANDS LÄN</t>
        </is>
      </c>
      <c r="E371" t="inlineStr">
        <is>
          <t>ÅRE</t>
        </is>
      </c>
      <c r="G371" t="n">
        <v>6.3</v>
      </c>
      <c r="H371" t="n">
        <v>1</v>
      </c>
      <c r="I371" t="n">
        <v>0</v>
      </c>
      <c r="J371" t="n">
        <v>5</v>
      </c>
      <c r="K371" t="n">
        <v>0</v>
      </c>
      <c r="L371" t="n">
        <v>0</v>
      </c>
      <c r="M371" t="n">
        <v>0</v>
      </c>
      <c r="N371" t="n">
        <v>0</v>
      </c>
      <c r="O371" t="n">
        <v>5</v>
      </c>
      <c r="P371" t="n">
        <v>0</v>
      </c>
      <c r="Q371" t="n">
        <v>5</v>
      </c>
      <c r="R371" s="2" t="inlineStr">
        <is>
          <t>Garnlav
Granticka
Knottrig blåslav
Tretåig hackspett
Ullticka</t>
        </is>
      </c>
      <c r="S371">
        <f>HYPERLINK("https://klasma.github.io/Logging_ARE/artfynd/A 42629-2020.xlsx")</f>
        <v/>
      </c>
      <c r="T371">
        <f>HYPERLINK("https://klasma.github.io/Logging_ARE/kartor/A 42629-2020.png")</f>
        <v/>
      </c>
      <c r="V371">
        <f>HYPERLINK("https://klasma.github.io/Logging_ARE/klagomål/A 42629-2020.docx")</f>
        <v/>
      </c>
      <c r="W371">
        <f>HYPERLINK("https://klasma.github.io/Logging_ARE/klagomålsmail/A 42629-2020.docx")</f>
        <v/>
      </c>
      <c r="X371">
        <f>HYPERLINK("https://klasma.github.io/Logging_ARE/tillsyn/A 42629-2020.docx")</f>
        <v/>
      </c>
      <c r="Y371">
        <f>HYPERLINK("https://klasma.github.io/Logging_ARE/tillsynsmail/A 42629-2020.docx")</f>
        <v/>
      </c>
    </row>
    <row r="372" ht="15" customHeight="1">
      <c r="A372" t="inlineStr">
        <is>
          <t>A 47027-2020</t>
        </is>
      </c>
      <c r="B372" s="1" t="n">
        <v>44096</v>
      </c>
      <c r="C372" s="1" t="n">
        <v>45182</v>
      </c>
      <c r="D372" t="inlineStr">
        <is>
          <t>JÄMTLANDS LÄN</t>
        </is>
      </c>
      <c r="E372" t="inlineStr">
        <is>
          <t>STRÖMSUND</t>
        </is>
      </c>
      <c r="F372" t="inlineStr">
        <is>
          <t>Holmen skog AB</t>
        </is>
      </c>
      <c r="G372" t="n">
        <v>10.1</v>
      </c>
      <c r="H372" t="n">
        <v>0</v>
      </c>
      <c r="I372" t="n">
        <v>1</v>
      </c>
      <c r="J372" t="n">
        <v>4</v>
      </c>
      <c r="K372" t="n">
        <v>0</v>
      </c>
      <c r="L372" t="n">
        <v>0</v>
      </c>
      <c r="M372" t="n">
        <v>0</v>
      </c>
      <c r="N372" t="n">
        <v>0</v>
      </c>
      <c r="O372" t="n">
        <v>4</v>
      </c>
      <c r="P372" t="n">
        <v>0</v>
      </c>
      <c r="Q372" t="n">
        <v>5</v>
      </c>
      <c r="R372" s="2" t="inlineStr">
        <is>
          <t>Kolflarnlav
Mörk kolflarnlav
Skrovellav
Vedflamlav
Stuplav</t>
        </is>
      </c>
      <c r="S372">
        <f>HYPERLINK("https://klasma.github.io/Logging_STROMSUND/artfynd/A 47027-2020.xlsx")</f>
        <v/>
      </c>
      <c r="T372">
        <f>HYPERLINK("https://klasma.github.io/Logging_STROMSUND/kartor/A 47027-2020.png")</f>
        <v/>
      </c>
      <c r="V372">
        <f>HYPERLINK("https://klasma.github.io/Logging_STROMSUND/klagomål/A 47027-2020.docx")</f>
        <v/>
      </c>
      <c r="W372">
        <f>HYPERLINK("https://klasma.github.io/Logging_STROMSUND/klagomålsmail/A 47027-2020.docx")</f>
        <v/>
      </c>
      <c r="X372">
        <f>HYPERLINK("https://klasma.github.io/Logging_STROMSUND/tillsyn/A 47027-2020.docx")</f>
        <v/>
      </c>
      <c r="Y372">
        <f>HYPERLINK("https://klasma.github.io/Logging_STROMSUND/tillsynsmail/A 47027-2020.docx")</f>
        <v/>
      </c>
    </row>
    <row r="373" ht="15" customHeight="1">
      <c r="A373" t="inlineStr">
        <is>
          <t>A 50257-2020</t>
        </is>
      </c>
      <c r="B373" s="1" t="n">
        <v>44109</v>
      </c>
      <c r="C373" s="1" t="n">
        <v>45182</v>
      </c>
      <c r="D373" t="inlineStr">
        <is>
          <t>JÄMTLANDS LÄN</t>
        </is>
      </c>
      <c r="E373" t="inlineStr">
        <is>
          <t>STRÖMSUND</t>
        </is>
      </c>
      <c r="F373" t="inlineStr">
        <is>
          <t>SCA</t>
        </is>
      </c>
      <c r="G373" t="n">
        <v>16.6</v>
      </c>
      <c r="H373" t="n">
        <v>0</v>
      </c>
      <c r="I373" t="n">
        <v>0</v>
      </c>
      <c r="J373" t="n">
        <v>4</v>
      </c>
      <c r="K373" t="n">
        <v>1</v>
      </c>
      <c r="L373" t="n">
        <v>0</v>
      </c>
      <c r="M373" t="n">
        <v>0</v>
      </c>
      <c r="N373" t="n">
        <v>0</v>
      </c>
      <c r="O373" t="n">
        <v>5</v>
      </c>
      <c r="P373" t="n">
        <v>1</v>
      </c>
      <c r="Q373" t="n">
        <v>5</v>
      </c>
      <c r="R373" s="2" t="inlineStr">
        <is>
          <t>Tallgråticka
Blå taggsvamp
Motaggsvamp
Orange taggsvamp
Skrovlig taggsvamp</t>
        </is>
      </c>
      <c r="S373">
        <f>HYPERLINK("https://klasma.github.io/Logging_STROMSUND/artfynd/A 50257-2020.xlsx")</f>
        <v/>
      </c>
      <c r="T373">
        <f>HYPERLINK("https://klasma.github.io/Logging_STROMSUND/kartor/A 50257-2020.png")</f>
        <v/>
      </c>
      <c r="V373">
        <f>HYPERLINK("https://klasma.github.io/Logging_STROMSUND/klagomål/A 50257-2020.docx")</f>
        <v/>
      </c>
      <c r="W373">
        <f>HYPERLINK("https://klasma.github.io/Logging_STROMSUND/klagomålsmail/A 50257-2020.docx")</f>
        <v/>
      </c>
      <c r="X373">
        <f>HYPERLINK("https://klasma.github.io/Logging_STROMSUND/tillsyn/A 50257-2020.docx")</f>
        <v/>
      </c>
      <c r="Y373">
        <f>HYPERLINK("https://klasma.github.io/Logging_STROMSUND/tillsynsmail/A 50257-2020.docx")</f>
        <v/>
      </c>
    </row>
    <row r="374" ht="15" customHeight="1">
      <c r="A374" t="inlineStr">
        <is>
          <t>A 50987-2020</t>
        </is>
      </c>
      <c r="B374" s="1" t="n">
        <v>44111</v>
      </c>
      <c r="C374" s="1" t="n">
        <v>45182</v>
      </c>
      <c r="D374" t="inlineStr">
        <is>
          <t>JÄMTLANDS LÄN</t>
        </is>
      </c>
      <c r="E374" t="inlineStr">
        <is>
          <t>RAGUNDA</t>
        </is>
      </c>
      <c r="G374" t="n">
        <v>6.7</v>
      </c>
      <c r="H374" t="n">
        <v>1</v>
      </c>
      <c r="I374" t="n">
        <v>0</v>
      </c>
      <c r="J374" t="n">
        <v>3</v>
      </c>
      <c r="K374" t="n">
        <v>2</v>
      </c>
      <c r="L374" t="n">
        <v>0</v>
      </c>
      <c r="M374" t="n">
        <v>0</v>
      </c>
      <c r="N374" t="n">
        <v>0</v>
      </c>
      <c r="O374" t="n">
        <v>5</v>
      </c>
      <c r="P374" t="n">
        <v>2</v>
      </c>
      <c r="Q374" t="n">
        <v>5</v>
      </c>
      <c r="R374" s="2" t="inlineStr">
        <is>
          <t>Knärot
Norsk näverlav
Garnlav
Skrovellav
Vedtrappmossa</t>
        </is>
      </c>
      <c r="S374">
        <f>HYPERLINK("https://klasma.github.io/Logging_RAGUNDA/artfynd/A 50987-2020.xlsx")</f>
        <v/>
      </c>
      <c r="T374">
        <f>HYPERLINK("https://klasma.github.io/Logging_RAGUNDA/kartor/A 50987-2020.png")</f>
        <v/>
      </c>
      <c r="U374">
        <f>HYPERLINK("https://klasma.github.io/Logging_RAGUNDA/knärot/A 50987-2020.png")</f>
        <v/>
      </c>
      <c r="V374">
        <f>HYPERLINK("https://klasma.github.io/Logging_RAGUNDA/klagomål/A 50987-2020.docx")</f>
        <v/>
      </c>
      <c r="W374">
        <f>HYPERLINK("https://klasma.github.io/Logging_RAGUNDA/klagomålsmail/A 50987-2020.docx")</f>
        <v/>
      </c>
      <c r="X374">
        <f>HYPERLINK("https://klasma.github.io/Logging_RAGUNDA/tillsyn/A 50987-2020.docx")</f>
        <v/>
      </c>
      <c r="Y374">
        <f>HYPERLINK("https://klasma.github.io/Logging_RAGUNDA/tillsynsmail/A 50987-2020.docx")</f>
        <v/>
      </c>
    </row>
    <row r="375" ht="15" customHeight="1">
      <c r="A375" t="inlineStr">
        <is>
          <t>A 57197-2020</t>
        </is>
      </c>
      <c r="B375" s="1" t="n">
        <v>44139</v>
      </c>
      <c r="C375" s="1" t="n">
        <v>45182</v>
      </c>
      <c r="D375" t="inlineStr">
        <is>
          <t>JÄMTLANDS LÄN</t>
        </is>
      </c>
      <c r="E375" t="inlineStr">
        <is>
          <t>RAGUNDA</t>
        </is>
      </c>
      <c r="G375" t="n">
        <v>9.1</v>
      </c>
      <c r="H375" t="n">
        <v>2</v>
      </c>
      <c r="I375" t="n">
        <v>2</v>
      </c>
      <c r="J375" t="n">
        <v>3</v>
      </c>
      <c r="K375" t="n">
        <v>0</v>
      </c>
      <c r="L375" t="n">
        <v>0</v>
      </c>
      <c r="M375" t="n">
        <v>0</v>
      </c>
      <c r="N375" t="n">
        <v>0</v>
      </c>
      <c r="O375" t="n">
        <v>3</v>
      </c>
      <c r="P375" t="n">
        <v>0</v>
      </c>
      <c r="Q375" t="n">
        <v>5</v>
      </c>
      <c r="R375" s="2" t="inlineStr">
        <is>
          <t>Dvärgbägarlav
Kolflarnlav
Spillkråka
Dropptaggsvamp
Tvåblad</t>
        </is>
      </c>
      <c r="S375">
        <f>HYPERLINK("https://klasma.github.io/Logging_RAGUNDA/artfynd/A 57197-2020.xlsx")</f>
        <v/>
      </c>
      <c r="T375">
        <f>HYPERLINK("https://klasma.github.io/Logging_RAGUNDA/kartor/A 57197-2020.png")</f>
        <v/>
      </c>
      <c r="V375">
        <f>HYPERLINK("https://klasma.github.io/Logging_RAGUNDA/klagomål/A 57197-2020.docx")</f>
        <v/>
      </c>
      <c r="W375">
        <f>HYPERLINK("https://klasma.github.io/Logging_RAGUNDA/klagomålsmail/A 57197-2020.docx")</f>
        <v/>
      </c>
      <c r="X375">
        <f>HYPERLINK("https://klasma.github.io/Logging_RAGUNDA/tillsyn/A 57197-2020.docx")</f>
        <v/>
      </c>
      <c r="Y375">
        <f>HYPERLINK("https://klasma.github.io/Logging_RAGUNDA/tillsynsmail/A 57197-2020.docx")</f>
        <v/>
      </c>
    </row>
    <row r="376" ht="15" customHeight="1">
      <c r="A376" t="inlineStr">
        <is>
          <t>A 58580-2020</t>
        </is>
      </c>
      <c r="B376" s="1" t="n">
        <v>44144</v>
      </c>
      <c r="C376" s="1" t="n">
        <v>45182</v>
      </c>
      <c r="D376" t="inlineStr">
        <is>
          <t>JÄMTLANDS LÄN</t>
        </is>
      </c>
      <c r="E376" t="inlineStr">
        <is>
          <t>STRÖMSUND</t>
        </is>
      </c>
      <c r="G376" t="n">
        <v>74.8</v>
      </c>
      <c r="H376" t="n">
        <v>0</v>
      </c>
      <c r="I376" t="n">
        <v>3</v>
      </c>
      <c r="J376" t="n">
        <v>2</v>
      </c>
      <c r="K376" t="n">
        <v>0</v>
      </c>
      <c r="L376" t="n">
        <v>0</v>
      </c>
      <c r="M376" t="n">
        <v>0</v>
      </c>
      <c r="N376" t="n">
        <v>0</v>
      </c>
      <c r="O376" t="n">
        <v>2</v>
      </c>
      <c r="P376" t="n">
        <v>0</v>
      </c>
      <c r="Q376" t="n">
        <v>5</v>
      </c>
      <c r="R376" s="2" t="inlineStr">
        <is>
          <t>Garnlav
Skrovellav
Gytterlav
Luddlav
Stuplav</t>
        </is>
      </c>
      <c r="S376">
        <f>HYPERLINK("https://klasma.github.io/Logging_STROMSUND/artfynd/A 58580-2020.xlsx")</f>
        <v/>
      </c>
      <c r="T376">
        <f>HYPERLINK("https://klasma.github.io/Logging_STROMSUND/kartor/A 58580-2020.png")</f>
        <v/>
      </c>
      <c r="V376">
        <f>HYPERLINK("https://klasma.github.io/Logging_STROMSUND/klagomål/A 58580-2020.docx")</f>
        <v/>
      </c>
      <c r="W376">
        <f>HYPERLINK("https://klasma.github.io/Logging_STROMSUND/klagomålsmail/A 58580-2020.docx")</f>
        <v/>
      </c>
      <c r="X376">
        <f>HYPERLINK("https://klasma.github.io/Logging_STROMSUND/tillsyn/A 58580-2020.docx")</f>
        <v/>
      </c>
      <c r="Y376">
        <f>HYPERLINK("https://klasma.github.io/Logging_STROMSUND/tillsynsmail/A 58580-2020.docx")</f>
        <v/>
      </c>
    </row>
    <row r="377" ht="15" customHeight="1">
      <c r="A377" t="inlineStr">
        <is>
          <t>A 59380-2020</t>
        </is>
      </c>
      <c r="B377" s="1" t="n">
        <v>44145</v>
      </c>
      <c r="C377" s="1" t="n">
        <v>45182</v>
      </c>
      <c r="D377" t="inlineStr">
        <is>
          <t>JÄMTLANDS LÄN</t>
        </is>
      </c>
      <c r="E377" t="inlineStr">
        <is>
          <t>ÅRE</t>
        </is>
      </c>
      <c r="G377" t="n">
        <v>10.8</v>
      </c>
      <c r="H377" t="n">
        <v>0</v>
      </c>
      <c r="I377" t="n">
        <v>0</v>
      </c>
      <c r="J377" t="n">
        <v>5</v>
      </c>
      <c r="K377" t="n">
        <v>0</v>
      </c>
      <c r="L377" t="n">
        <v>0</v>
      </c>
      <c r="M377" t="n">
        <v>0</v>
      </c>
      <c r="N377" t="n">
        <v>0</v>
      </c>
      <c r="O377" t="n">
        <v>5</v>
      </c>
      <c r="P377" t="n">
        <v>0</v>
      </c>
      <c r="Q377" t="n">
        <v>5</v>
      </c>
      <c r="R377" s="2" t="inlineStr">
        <is>
          <t>Gammelgransskål
Gränsticka
Harticka
Lunglav
Skrovellav</t>
        </is>
      </c>
      <c r="S377">
        <f>HYPERLINK("https://klasma.github.io/Logging_ARE/artfynd/A 59380-2020.xlsx")</f>
        <v/>
      </c>
      <c r="T377">
        <f>HYPERLINK("https://klasma.github.io/Logging_ARE/kartor/A 59380-2020.png")</f>
        <v/>
      </c>
      <c r="V377">
        <f>HYPERLINK("https://klasma.github.io/Logging_ARE/klagomål/A 59380-2020.docx")</f>
        <v/>
      </c>
      <c r="W377">
        <f>HYPERLINK("https://klasma.github.io/Logging_ARE/klagomålsmail/A 59380-2020.docx")</f>
        <v/>
      </c>
      <c r="X377">
        <f>HYPERLINK("https://klasma.github.io/Logging_ARE/tillsyn/A 59380-2020.docx")</f>
        <v/>
      </c>
      <c r="Y377">
        <f>HYPERLINK("https://klasma.github.io/Logging_ARE/tillsynsmail/A 59380-2020.docx")</f>
        <v/>
      </c>
    </row>
    <row r="378" ht="15" customHeight="1">
      <c r="A378" t="inlineStr">
        <is>
          <t>A 59619-2020</t>
        </is>
      </c>
      <c r="B378" s="1" t="n">
        <v>44150</v>
      </c>
      <c r="C378" s="1" t="n">
        <v>45182</v>
      </c>
      <c r="D378" t="inlineStr">
        <is>
          <t>JÄMTLANDS LÄN</t>
        </is>
      </c>
      <c r="E378" t="inlineStr">
        <is>
          <t>KROKOM</t>
        </is>
      </c>
      <c r="G378" t="n">
        <v>11.3</v>
      </c>
      <c r="H378" t="n">
        <v>1</v>
      </c>
      <c r="I378" t="n">
        <v>0</v>
      </c>
      <c r="J378" t="n">
        <v>5</v>
      </c>
      <c r="K378" t="n">
        <v>0</v>
      </c>
      <c r="L378" t="n">
        <v>0</v>
      </c>
      <c r="M378" t="n">
        <v>0</v>
      </c>
      <c r="N378" t="n">
        <v>0</v>
      </c>
      <c r="O378" t="n">
        <v>5</v>
      </c>
      <c r="P378" t="n">
        <v>0</v>
      </c>
      <c r="Q378" t="n">
        <v>5</v>
      </c>
      <c r="R378" s="2" t="inlineStr">
        <is>
          <t>Brunpudrad nållav
Granticka
Liten svartspik
Tretåig hackspett
Vitgrynig nållav</t>
        </is>
      </c>
      <c r="S378">
        <f>HYPERLINK("https://klasma.github.io/Logging_KROKOM/artfynd/A 59619-2020.xlsx")</f>
        <v/>
      </c>
      <c r="T378">
        <f>HYPERLINK("https://klasma.github.io/Logging_KROKOM/kartor/A 59619-2020.png")</f>
        <v/>
      </c>
      <c r="V378">
        <f>HYPERLINK("https://klasma.github.io/Logging_KROKOM/klagomål/A 59619-2020.docx")</f>
        <v/>
      </c>
      <c r="W378">
        <f>HYPERLINK("https://klasma.github.io/Logging_KROKOM/klagomålsmail/A 59619-2020.docx")</f>
        <v/>
      </c>
      <c r="X378">
        <f>HYPERLINK("https://klasma.github.io/Logging_KROKOM/tillsyn/A 59619-2020.docx")</f>
        <v/>
      </c>
      <c r="Y378">
        <f>HYPERLINK("https://klasma.github.io/Logging_KROKOM/tillsynsmail/A 59619-2020.docx")</f>
        <v/>
      </c>
    </row>
    <row r="379" ht="15" customHeight="1">
      <c r="A379" t="inlineStr">
        <is>
          <t>A 68491-2020</t>
        </is>
      </c>
      <c r="B379" s="1" t="n">
        <v>44183</v>
      </c>
      <c r="C379" s="1" t="n">
        <v>45182</v>
      </c>
      <c r="D379" t="inlineStr">
        <is>
          <t>JÄMTLANDS LÄN</t>
        </is>
      </c>
      <c r="E379" t="inlineStr">
        <is>
          <t>KROKOM</t>
        </is>
      </c>
      <c r="G379" t="n">
        <v>30.6</v>
      </c>
      <c r="H379" t="n">
        <v>1</v>
      </c>
      <c r="I379" t="n">
        <v>4</v>
      </c>
      <c r="J379" t="n">
        <v>1</v>
      </c>
      <c r="K379" t="n">
        <v>0</v>
      </c>
      <c r="L379" t="n">
        <v>0</v>
      </c>
      <c r="M379" t="n">
        <v>0</v>
      </c>
      <c r="N379" t="n">
        <v>0</v>
      </c>
      <c r="O379" t="n">
        <v>1</v>
      </c>
      <c r="P379" t="n">
        <v>0</v>
      </c>
      <c r="Q379" t="n">
        <v>5</v>
      </c>
      <c r="R379" s="2" t="inlineStr">
        <is>
          <t>Grynig filtlav
Bårdlav
Platt fjädermossa
Plattlummer
Vedticka</t>
        </is>
      </c>
      <c r="S379">
        <f>HYPERLINK("https://klasma.github.io/Logging_KROKOM/artfynd/A 68491-2020.xlsx")</f>
        <v/>
      </c>
      <c r="T379">
        <f>HYPERLINK("https://klasma.github.io/Logging_KROKOM/kartor/A 68491-2020.png")</f>
        <v/>
      </c>
      <c r="V379">
        <f>HYPERLINK("https://klasma.github.io/Logging_KROKOM/klagomål/A 68491-2020.docx")</f>
        <v/>
      </c>
      <c r="W379">
        <f>HYPERLINK("https://klasma.github.io/Logging_KROKOM/klagomålsmail/A 68491-2020.docx")</f>
        <v/>
      </c>
      <c r="X379">
        <f>HYPERLINK("https://klasma.github.io/Logging_KROKOM/tillsyn/A 68491-2020.docx")</f>
        <v/>
      </c>
      <c r="Y379">
        <f>HYPERLINK("https://klasma.github.io/Logging_KROKOM/tillsynsmail/A 68491-2020.docx")</f>
        <v/>
      </c>
    </row>
    <row r="380" ht="15" customHeight="1">
      <c r="A380" t="inlineStr">
        <is>
          <t>A 69079-2020</t>
        </is>
      </c>
      <c r="B380" s="1" t="n">
        <v>44188</v>
      </c>
      <c r="C380" s="1" t="n">
        <v>45182</v>
      </c>
      <c r="D380" t="inlineStr">
        <is>
          <t>JÄMTLANDS LÄN</t>
        </is>
      </c>
      <c r="E380" t="inlineStr">
        <is>
          <t>BRÄCKE</t>
        </is>
      </c>
      <c r="G380" t="n">
        <v>5.7</v>
      </c>
      <c r="H380" t="n">
        <v>0</v>
      </c>
      <c r="I380" t="n">
        <v>3</v>
      </c>
      <c r="J380" t="n">
        <v>0</v>
      </c>
      <c r="K380" t="n">
        <v>2</v>
      </c>
      <c r="L380" t="n">
        <v>0</v>
      </c>
      <c r="M380" t="n">
        <v>0</v>
      </c>
      <c r="N380" t="n">
        <v>0</v>
      </c>
      <c r="O380" t="n">
        <v>2</v>
      </c>
      <c r="P380" t="n">
        <v>2</v>
      </c>
      <c r="Q380" t="n">
        <v>5</v>
      </c>
      <c r="R380" s="2" t="inlineStr">
        <is>
          <t>Stor odörspindling
Streckvaxskivling
Barrfagerspindling
Diskvaxskivling
Svavelriska</t>
        </is>
      </c>
      <c r="S380">
        <f>HYPERLINK("https://klasma.github.io/Logging_BRACKE/artfynd/A 69079-2020.xlsx")</f>
        <v/>
      </c>
      <c r="T380">
        <f>HYPERLINK("https://klasma.github.io/Logging_BRACKE/kartor/A 69079-2020.png")</f>
        <v/>
      </c>
      <c r="V380">
        <f>HYPERLINK("https://klasma.github.io/Logging_BRACKE/klagomål/A 69079-2020.docx")</f>
        <v/>
      </c>
      <c r="W380">
        <f>HYPERLINK("https://klasma.github.io/Logging_BRACKE/klagomålsmail/A 69079-2020.docx")</f>
        <v/>
      </c>
      <c r="X380">
        <f>HYPERLINK("https://klasma.github.io/Logging_BRACKE/tillsyn/A 69079-2020.docx")</f>
        <v/>
      </c>
      <c r="Y380">
        <f>HYPERLINK("https://klasma.github.io/Logging_BRACKE/tillsynsmail/A 69079-2020.docx")</f>
        <v/>
      </c>
    </row>
    <row r="381" ht="15" customHeight="1">
      <c r="A381" t="inlineStr">
        <is>
          <t>A 69486-2020</t>
        </is>
      </c>
      <c r="B381" s="1" t="n">
        <v>44194</v>
      </c>
      <c r="C381" s="1" t="n">
        <v>45182</v>
      </c>
      <c r="D381" t="inlineStr">
        <is>
          <t>JÄMTLANDS LÄN</t>
        </is>
      </c>
      <c r="E381" t="inlineStr">
        <is>
          <t>KROKOM</t>
        </is>
      </c>
      <c r="G381" t="n">
        <v>26.3</v>
      </c>
      <c r="H381" t="n">
        <v>2</v>
      </c>
      <c r="I381" t="n">
        <v>4</v>
      </c>
      <c r="J381" t="n">
        <v>0</v>
      </c>
      <c r="K381" t="n">
        <v>0</v>
      </c>
      <c r="L381" t="n">
        <v>0</v>
      </c>
      <c r="M381" t="n">
        <v>0</v>
      </c>
      <c r="N381" t="n">
        <v>0</v>
      </c>
      <c r="O381" t="n">
        <v>0</v>
      </c>
      <c r="P381" t="n">
        <v>0</v>
      </c>
      <c r="Q381" t="n">
        <v>5</v>
      </c>
      <c r="R381" s="2" t="inlineStr">
        <is>
          <t>Axag
Gräsull
Tvåblad
Ögonpyrola
Brudsporre</t>
        </is>
      </c>
      <c r="S381">
        <f>HYPERLINK("https://klasma.github.io/Logging_KROKOM/artfynd/A 69486-2020.xlsx")</f>
        <v/>
      </c>
      <c r="T381">
        <f>HYPERLINK("https://klasma.github.io/Logging_KROKOM/kartor/A 69486-2020.png")</f>
        <v/>
      </c>
      <c r="V381">
        <f>HYPERLINK("https://klasma.github.io/Logging_KROKOM/klagomål/A 69486-2020.docx")</f>
        <v/>
      </c>
      <c r="W381">
        <f>HYPERLINK("https://klasma.github.io/Logging_KROKOM/klagomålsmail/A 69486-2020.docx")</f>
        <v/>
      </c>
      <c r="X381">
        <f>HYPERLINK("https://klasma.github.io/Logging_KROKOM/tillsyn/A 69486-2020.docx")</f>
        <v/>
      </c>
      <c r="Y381">
        <f>HYPERLINK("https://klasma.github.io/Logging_KROKOM/tillsynsmail/A 69486-2020.docx")</f>
        <v/>
      </c>
    </row>
    <row r="382" ht="15" customHeight="1">
      <c r="A382" t="inlineStr">
        <is>
          <t>A 12988-2021</t>
        </is>
      </c>
      <c r="B382" s="1" t="n">
        <v>44271</v>
      </c>
      <c r="C382" s="1" t="n">
        <v>45182</v>
      </c>
      <c r="D382" t="inlineStr">
        <is>
          <t>JÄMTLANDS LÄN</t>
        </is>
      </c>
      <c r="E382" t="inlineStr">
        <is>
          <t>ÅRE</t>
        </is>
      </c>
      <c r="G382" t="n">
        <v>25.9</v>
      </c>
      <c r="H382" t="n">
        <v>1</v>
      </c>
      <c r="I382" t="n">
        <v>2</v>
      </c>
      <c r="J382" t="n">
        <v>3</v>
      </c>
      <c r="K382" t="n">
        <v>0</v>
      </c>
      <c r="L382" t="n">
        <v>0</v>
      </c>
      <c r="M382" t="n">
        <v>0</v>
      </c>
      <c r="N382" t="n">
        <v>0</v>
      </c>
      <c r="O382" t="n">
        <v>3</v>
      </c>
      <c r="P382" t="n">
        <v>0</v>
      </c>
      <c r="Q382" t="n">
        <v>5</v>
      </c>
      <c r="R382" s="2" t="inlineStr">
        <is>
          <t>Granticka
Skrovellav
Ullticka
Spindelblomster
Stuplav</t>
        </is>
      </c>
      <c r="S382">
        <f>HYPERLINK("https://klasma.github.io/Logging_ARE/artfynd/A 12988-2021.xlsx")</f>
        <v/>
      </c>
      <c r="T382">
        <f>HYPERLINK("https://klasma.github.io/Logging_ARE/kartor/A 12988-2021.png")</f>
        <v/>
      </c>
      <c r="V382">
        <f>HYPERLINK("https://klasma.github.io/Logging_ARE/klagomål/A 12988-2021.docx")</f>
        <v/>
      </c>
      <c r="W382">
        <f>HYPERLINK("https://klasma.github.io/Logging_ARE/klagomålsmail/A 12988-2021.docx")</f>
        <v/>
      </c>
      <c r="X382">
        <f>HYPERLINK("https://klasma.github.io/Logging_ARE/tillsyn/A 12988-2021.docx")</f>
        <v/>
      </c>
      <c r="Y382">
        <f>HYPERLINK("https://klasma.github.io/Logging_ARE/tillsynsmail/A 12988-2021.docx")</f>
        <v/>
      </c>
    </row>
    <row r="383" ht="15" customHeight="1">
      <c r="A383" t="inlineStr">
        <is>
          <t>A 14195-2021</t>
        </is>
      </c>
      <c r="B383" s="1" t="n">
        <v>44278</v>
      </c>
      <c r="C383" s="1" t="n">
        <v>45182</v>
      </c>
      <c r="D383" t="inlineStr">
        <is>
          <t>JÄMTLANDS LÄN</t>
        </is>
      </c>
      <c r="E383" t="inlineStr">
        <is>
          <t>ÅRE</t>
        </is>
      </c>
      <c r="G383" t="n">
        <v>23.9</v>
      </c>
      <c r="H383" t="n">
        <v>2</v>
      </c>
      <c r="I383" t="n">
        <v>0</v>
      </c>
      <c r="J383" t="n">
        <v>5</v>
      </c>
      <c r="K383" t="n">
        <v>0</v>
      </c>
      <c r="L383" t="n">
        <v>0</v>
      </c>
      <c r="M383" t="n">
        <v>0</v>
      </c>
      <c r="N383" t="n">
        <v>0</v>
      </c>
      <c r="O383" t="n">
        <v>5</v>
      </c>
      <c r="P383" t="n">
        <v>0</v>
      </c>
      <c r="Q383" t="n">
        <v>5</v>
      </c>
      <c r="R383" s="2" t="inlineStr">
        <is>
          <t>Garnlav
Granticka
Knottrig blåslav
Spillkråka
Tretåig hackspett</t>
        </is>
      </c>
      <c r="S383">
        <f>HYPERLINK("https://klasma.github.io/Logging_ARE/artfynd/A 14195-2021.xlsx")</f>
        <v/>
      </c>
      <c r="T383">
        <f>HYPERLINK("https://klasma.github.io/Logging_ARE/kartor/A 14195-2021.png")</f>
        <v/>
      </c>
      <c r="V383">
        <f>HYPERLINK("https://klasma.github.io/Logging_ARE/klagomål/A 14195-2021.docx")</f>
        <v/>
      </c>
      <c r="W383">
        <f>HYPERLINK("https://klasma.github.io/Logging_ARE/klagomålsmail/A 14195-2021.docx")</f>
        <v/>
      </c>
      <c r="X383">
        <f>HYPERLINK("https://klasma.github.io/Logging_ARE/tillsyn/A 14195-2021.docx")</f>
        <v/>
      </c>
      <c r="Y383">
        <f>HYPERLINK("https://klasma.github.io/Logging_ARE/tillsynsmail/A 14195-2021.docx")</f>
        <v/>
      </c>
    </row>
    <row r="384" ht="15" customHeight="1">
      <c r="A384" t="inlineStr">
        <is>
          <t>A 22773-2021</t>
        </is>
      </c>
      <c r="B384" s="1" t="n">
        <v>44327</v>
      </c>
      <c r="C384" s="1" t="n">
        <v>45182</v>
      </c>
      <c r="D384" t="inlineStr">
        <is>
          <t>JÄMTLANDS LÄN</t>
        </is>
      </c>
      <c r="E384" t="inlineStr">
        <is>
          <t>STRÖMSUND</t>
        </is>
      </c>
      <c r="G384" t="n">
        <v>1.8</v>
      </c>
      <c r="H384" t="n">
        <v>1</v>
      </c>
      <c r="I384" t="n">
        <v>2</v>
      </c>
      <c r="J384" t="n">
        <v>1</v>
      </c>
      <c r="K384" t="n">
        <v>0</v>
      </c>
      <c r="L384" t="n">
        <v>1</v>
      </c>
      <c r="M384" t="n">
        <v>0</v>
      </c>
      <c r="N384" t="n">
        <v>0</v>
      </c>
      <c r="O384" t="n">
        <v>2</v>
      </c>
      <c r="P384" t="n">
        <v>1</v>
      </c>
      <c r="Q384" t="n">
        <v>5</v>
      </c>
      <c r="R384" s="2" t="inlineStr">
        <is>
          <t>Trolldruvemätare
Lunglav
Svart trolldruva
Ögonpyrola
Blåsippa</t>
        </is>
      </c>
      <c r="S384">
        <f>HYPERLINK("https://klasma.github.io/Logging_STROMSUND/artfynd/A 22773-2021.xlsx")</f>
        <v/>
      </c>
      <c r="T384">
        <f>HYPERLINK("https://klasma.github.io/Logging_STROMSUND/kartor/A 22773-2021.png")</f>
        <v/>
      </c>
      <c r="V384">
        <f>HYPERLINK("https://klasma.github.io/Logging_STROMSUND/klagomål/A 22773-2021.docx")</f>
        <v/>
      </c>
      <c r="W384">
        <f>HYPERLINK("https://klasma.github.io/Logging_STROMSUND/klagomålsmail/A 22773-2021.docx")</f>
        <v/>
      </c>
      <c r="X384">
        <f>HYPERLINK("https://klasma.github.io/Logging_STROMSUND/tillsyn/A 22773-2021.docx")</f>
        <v/>
      </c>
      <c r="Y384">
        <f>HYPERLINK("https://klasma.github.io/Logging_STROMSUND/tillsynsmail/A 22773-2021.docx")</f>
        <v/>
      </c>
    </row>
    <row r="385" ht="15" customHeight="1">
      <c r="A385" t="inlineStr">
        <is>
          <t>A 23752-2021</t>
        </is>
      </c>
      <c r="B385" s="1" t="n">
        <v>44334</v>
      </c>
      <c r="C385" s="1" t="n">
        <v>45182</v>
      </c>
      <c r="D385" t="inlineStr">
        <is>
          <t>JÄMTLANDS LÄN</t>
        </is>
      </c>
      <c r="E385" t="inlineStr">
        <is>
          <t>STRÖMSUND</t>
        </is>
      </c>
      <c r="F385" t="inlineStr">
        <is>
          <t>SCA</t>
        </is>
      </c>
      <c r="G385" t="n">
        <v>7</v>
      </c>
      <c r="H385" t="n">
        <v>0</v>
      </c>
      <c r="I385" t="n">
        <v>4</v>
      </c>
      <c r="J385" t="n">
        <v>1</v>
      </c>
      <c r="K385" t="n">
        <v>0</v>
      </c>
      <c r="L385" t="n">
        <v>0</v>
      </c>
      <c r="M385" t="n">
        <v>0</v>
      </c>
      <c r="N385" t="n">
        <v>0</v>
      </c>
      <c r="O385" t="n">
        <v>1</v>
      </c>
      <c r="P385" t="n">
        <v>0</v>
      </c>
      <c r="Q385" t="n">
        <v>5</v>
      </c>
      <c r="R385" s="2" t="inlineStr">
        <is>
          <t>Brunklöver
Bronshjon
Svavelriska
Trådticka
Vågbandad barkbock</t>
        </is>
      </c>
      <c r="S385">
        <f>HYPERLINK("https://klasma.github.io/Logging_STROMSUND/artfynd/A 23752-2021.xlsx")</f>
        <v/>
      </c>
      <c r="T385">
        <f>HYPERLINK("https://klasma.github.io/Logging_STROMSUND/kartor/A 23752-2021.png")</f>
        <v/>
      </c>
      <c r="V385">
        <f>HYPERLINK("https://klasma.github.io/Logging_STROMSUND/klagomål/A 23752-2021.docx")</f>
        <v/>
      </c>
      <c r="W385">
        <f>HYPERLINK("https://klasma.github.io/Logging_STROMSUND/klagomålsmail/A 23752-2021.docx")</f>
        <v/>
      </c>
      <c r="X385">
        <f>HYPERLINK("https://klasma.github.io/Logging_STROMSUND/tillsyn/A 23752-2021.docx")</f>
        <v/>
      </c>
      <c r="Y385">
        <f>HYPERLINK("https://klasma.github.io/Logging_STROMSUND/tillsynsmail/A 23752-2021.docx")</f>
        <v/>
      </c>
    </row>
    <row r="386" ht="15" customHeight="1">
      <c r="A386" t="inlineStr">
        <is>
          <t>A 26149-2021</t>
        </is>
      </c>
      <c r="B386" s="1" t="n">
        <v>44346</v>
      </c>
      <c r="C386" s="1" t="n">
        <v>45182</v>
      </c>
      <c r="D386" t="inlineStr">
        <is>
          <t>JÄMTLANDS LÄN</t>
        </is>
      </c>
      <c r="E386" t="inlineStr">
        <is>
          <t>STRÖMSUND</t>
        </is>
      </c>
      <c r="F386" t="inlineStr">
        <is>
          <t>SCA</t>
        </is>
      </c>
      <c r="G386" t="n">
        <v>14.4</v>
      </c>
      <c r="H386" t="n">
        <v>0</v>
      </c>
      <c r="I386" t="n">
        <v>3</v>
      </c>
      <c r="J386" t="n">
        <v>2</v>
      </c>
      <c r="K386" t="n">
        <v>0</v>
      </c>
      <c r="L386" t="n">
        <v>0</v>
      </c>
      <c r="M386" t="n">
        <v>0</v>
      </c>
      <c r="N386" t="n">
        <v>0</v>
      </c>
      <c r="O386" t="n">
        <v>2</v>
      </c>
      <c r="P386" t="n">
        <v>0</v>
      </c>
      <c r="Q386" t="n">
        <v>5</v>
      </c>
      <c r="R386" s="2" t="inlineStr">
        <is>
          <t>Lunglav
Skrovellav
Skinnlav
Stor aspticka
Stuplav</t>
        </is>
      </c>
      <c r="S386">
        <f>HYPERLINK("https://klasma.github.io/Logging_STROMSUND/artfynd/A 26149-2021.xlsx")</f>
        <v/>
      </c>
      <c r="T386">
        <f>HYPERLINK("https://klasma.github.io/Logging_STROMSUND/kartor/A 26149-2021.png")</f>
        <v/>
      </c>
      <c r="V386">
        <f>HYPERLINK("https://klasma.github.io/Logging_STROMSUND/klagomål/A 26149-2021.docx")</f>
        <v/>
      </c>
      <c r="W386">
        <f>HYPERLINK("https://klasma.github.io/Logging_STROMSUND/klagomålsmail/A 26149-2021.docx")</f>
        <v/>
      </c>
      <c r="X386">
        <f>HYPERLINK("https://klasma.github.io/Logging_STROMSUND/tillsyn/A 26149-2021.docx")</f>
        <v/>
      </c>
      <c r="Y386">
        <f>HYPERLINK("https://klasma.github.io/Logging_STROMSUND/tillsynsmail/A 26149-2021.docx")</f>
        <v/>
      </c>
    </row>
    <row r="387" ht="15" customHeight="1">
      <c r="A387" t="inlineStr">
        <is>
          <t>A 33546-2021</t>
        </is>
      </c>
      <c r="B387" s="1" t="n">
        <v>44377</v>
      </c>
      <c r="C387" s="1" t="n">
        <v>45182</v>
      </c>
      <c r="D387" t="inlineStr">
        <is>
          <t>JÄMTLANDS LÄN</t>
        </is>
      </c>
      <c r="E387" t="inlineStr">
        <is>
          <t>STRÖMSUND</t>
        </is>
      </c>
      <c r="G387" t="n">
        <v>1.9</v>
      </c>
      <c r="H387" t="n">
        <v>0</v>
      </c>
      <c r="I387" t="n">
        <v>2</v>
      </c>
      <c r="J387" t="n">
        <v>3</v>
      </c>
      <c r="K387" t="n">
        <v>0</v>
      </c>
      <c r="L387" t="n">
        <v>0</v>
      </c>
      <c r="M387" t="n">
        <v>0</v>
      </c>
      <c r="N387" t="n">
        <v>0</v>
      </c>
      <c r="O387" t="n">
        <v>3</v>
      </c>
      <c r="P387" t="n">
        <v>0</v>
      </c>
      <c r="Q387" t="n">
        <v>5</v>
      </c>
      <c r="R387" s="2" t="inlineStr">
        <is>
          <t>Gränsticka
Lunglav
Vitgrynig nållav
Skinnlav
Stuplav</t>
        </is>
      </c>
      <c r="S387">
        <f>HYPERLINK("https://klasma.github.io/Logging_STROMSUND/artfynd/A 33546-2021.xlsx")</f>
        <v/>
      </c>
      <c r="T387">
        <f>HYPERLINK("https://klasma.github.io/Logging_STROMSUND/kartor/A 33546-2021.png")</f>
        <v/>
      </c>
      <c r="V387">
        <f>HYPERLINK("https://klasma.github.io/Logging_STROMSUND/klagomål/A 33546-2021.docx")</f>
        <v/>
      </c>
      <c r="W387">
        <f>HYPERLINK("https://klasma.github.io/Logging_STROMSUND/klagomålsmail/A 33546-2021.docx")</f>
        <v/>
      </c>
      <c r="X387">
        <f>HYPERLINK("https://klasma.github.io/Logging_STROMSUND/tillsyn/A 33546-2021.docx")</f>
        <v/>
      </c>
      <c r="Y387">
        <f>HYPERLINK("https://klasma.github.io/Logging_STROMSUND/tillsynsmail/A 33546-2021.docx")</f>
        <v/>
      </c>
    </row>
    <row r="388" ht="15" customHeight="1">
      <c r="A388" t="inlineStr">
        <is>
          <t>A 48914-2021</t>
        </is>
      </c>
      <c r="B388" s="1" t="n">
        <v>44452</v>
      </c>
      <c r="C388" s="1" t="n">
        <v>45182</v>
      </c>
      <c r="D388" t="inlineStr">
        <is>
          <t>JÄMTLANDS LÄN</t>
        </is>
      </c>
      <c r="E388" t="inlineStr">
        <is>
          <t>KROKOM</t>
        </is>
      </c>
      <c r="G388" t="n">
        <v>20.4</v>
      </c>
      <c r="H388" t="n">
        <v>1</v>
      </c>
      <c r="I388" t="n">
        <v>2</v>
      </c>
      <c r="J388" t="n">
        <v>3</v>
      </c>
      <c r="K388" t="n">
        <v>0</v>
      </c>
      <c r="L388" t="n">
        <v>0</v>
      </c>
      <c r="M388" t="n">
        <v>0</v>
      </c>
      <c r="N388" t="n">
        <v>0</v>
      </c>
      <c r="O388" t="n">
        <v>3</v>
      </c>
      <c r="P388" t="n">
        <v>0</v>
      </c>
      <c r="Q388" t="n">
        <v>5</v>
      </c>
      <c r="R388" s="2" t="inlineStr">
        <is>
          <t>Brunpudrad nållav
Granticka
Rödbrun blekspik
Gulnål
Spindelblomster</t>
        </is>
      </c>
      <c r="S388">
        <f>HYPERLINK("https://klasma.github.io/Logging_KROKOM/artfynd/A 48914-2021.xlsx")</f>
        <v/>
      </c>
      <c r="T388">
        <f>HYPERLINK("https://klasma.github.io/Logging_KROKOM/kartor/A 48914-2021.png")</f>
        <v/>
      </c>
      <c r="V388">
        <f>HYPERLINK("https://klasma.github.io/Logging_KROKOM/klagomål/A 48914-2021.docx")</f>
        <v/>
      </c>
      <c r="W388">
        <f>HYPERLINK("https://klasma.github.io/Logging_KROKOM/klagomålsmail/A 48914-2021.docx")</f>
        <v/>
      </c>
      <c r="X388">
        <f>HYPERLINK("https://klasma.github.io/Logging_KROKOM/tillsyn/A 48914-2021.docx")</f>
        <v/>
      </c>
      <c r="Y388">
        <f>HYPERLINK("https://klasma.github.io/Logging_KROKOM/tillsynsmail/A 48914-2021.docx")</f>
        <v/>
      </c>
    </row>
    <row r="389" ht="15" customHeight="1">
      <c r="A389" t="inlineStr">
        <is>
          <t>A 58238-2021</t>
        </is>
      </c>
      <c r="B389" s="1" t="n">
        <v>44487</v>
      </c>
      <c r="C389" s="1" t="n">
        <v>45182</v>
      </c>
      <c r="D389" t="inlineStr">
        <is>
          <t>JÄMTLANDS LÄN</t>
        </is>
      </c>
      <c r="E389" t="inlineStr">
        <is>
          <t>ÅRE</t>
        </is>
      </c>
      <c r="G389" t="n">
        <v>42.2</v>
      </c>
      <c r="H389" t="n">
        <v>0</v>
      </c>
      <c r="I389" t="n">
        <v>0</v>
      </c>
      <c r="J389" t="n">
        <v>3</v>
      </c>
      <c r="K389" t="n">
        <v>2</v>
      </c>
      <c r="L389" t="n">
        <v>0</v>
      </c>
      <c r="M389" t="n">
        <v>0</v>
      </c>
      <c r="N389" t="n">
        <v>0</v>
      </c>
      <c r="O389" t="n">
        <v>5</v>
      </c>
      <c r="P389" t="n">
        <v>2</v>
      </c>
      <c r="Q389" t="n">
        <v>5</v>
      </c>
      <c r="R389" s="2" t="inlineStr">
        <is>
          <t>Lappticka
Norsk näverlav
Gammelgransskål
Gränsticka
Rödbrun blekspik</t>
        </is>
      </c>
      <c r="S389">
        <f>HYPERLINK("https://klasma.github.io/Logging_ARE/artfynd/A 58238-2021.xlsx")</f>
        <v/>
      </c>
      <c r="T389">
        <f>HYPERLINK("https://klasma.github.io/Logging_ARE/kartor/A 58238-2021.png")</f>
        <v/>
      </c>
      <c r="V389">
        <f>HYPERLINK("https://klasma.github.io/Logging_ARE/klagomål/A 58238-2021.docx")</f>
        <v/>
      </c>
      <c r="W389">
        <f>HYPERLINK("https://klasma.github.io/Logging_ARE/klagomålsmail/A 58238-2021.docx")</f>
        <v/>
      </c>
      <c r="X389">
        <f>HYPERLINK("https://klasma.github.io/Logging_ARE/tillsyn/A 58238-2021.docx")</f>
        <v/>
      </c>
      <c r="Y389">
        <f>HYPERLINK("https://klasma.github.io/Logging_ARE/tillsynsmail/A 58238-2021.docx")</f>
        <v/>
      </c>
    </row>
    <row r="390" ht="15" customHeight="1">
      <c r="A390" t="inlineStr">
        <is>
          <t>A 60246-2021</t>
        </is>
      </c>
      <c r="B390" s="1" t="n">
        <v>44495</v>
      </c>
      <c r="C390" s="1" t="n">
        <v>45182</v>
      </c>
      <c r="D390" t="inlineStr">
        <is>
          <t>JÄMTLANDS LÄN</t>
        </is>
      </c>
      <c r="E390" t="inlineStr">
        <is>
          <t>ÅRE</t>
        </is>
      </c>
      <c r="G390" t="n">
        <v>4.3</v>
      </c>
      <c r="H390" t="n">
        <v>1</v>
      </c>
      <c r="I390" t="n">
        <v>0</v>
      </c>
      <c r="J390" t="n">
        <v>4</v>
      </c>
      <c r="K390" t="n">
        <v>1</v>
      </c>
      <c r="L390" t="n">
        <v>0</v>
      </c>
      <c r="M390" t="n">
        <v>0</v>
      </c>
      <c r="N390" t="n">
        <v>0</v>
      </c>
      <c r="O390" t="n">
        <v>5</v>
      </c>
      <c r="P390" t="n">
        <v>1</v>
      </c>
      <c r="Q390" t="n">
        <v>5</v>
      </c>
      <c r="R390" s="2" t="inlineStr">
        <is>
          <t>Lappticka
Granticka
Tretåig hackspett
Ullticka
Vitgrynig nållav</t>
        </is>
      </c>
      <c r="S390">
        <f>HYPERLINK("https://klasma.github.io/Logging_ARE/artfynd/A 60246-2021.xlsx")</f>
        <v/>
      </c>
      <c r="T390">
        <f>HYPERLINK("https://klasma.github.io/Logging_ARE/kartor/A 60246-2021.png")</f>
        <v/>
      </c>
      <c r="V390">
        <f>HYPERLINK("https://klasma.github.io/Logging_ARE/klagomål/A 60246-2021.docx")</f>
        <v/>
      </c>
      <c r="W390">
        <f>HYPERLINK("https://klasma.github.io/Logging_ARE/klagomålsmail/A 60246-2021.docx")</f>
        <v/>
      </c>
      <c r="X390">
        <f>HYPERLINK("https://klasma.github.io/Logging_ARE/tillsyn/A 60246-2021.docx")</f>
        <v/>
      </c>
      <c r="Y390">
        <f>HYPERLINK("https://klasma.github.io/Logging_ARE/tillsynsmail/A 60246-2021.docx")</f>
        <v/>
      </c>
    </row>
    <row r="391" ht="15" customHeight="1">
      <c r="A391" t="inlineStr">
        <is>
          <t>A 64303-2021</t>
        </is>
      </c>
      <c r="B391" s="1" t="n">
        <v>44510</v>
      </c>
      <c r="C391" s="1" t="n">
        <v>45182</v>
      </c>
      <c r="D391" t="inlineStr">
        <is>
          <t>JÄMTLANDS LÄN</t>
        </is>
      </c>
      <c r="E391" t="inlineStr">
        <is>
          <t>KROKOM</t>
        </is>
      </c>
      <c r="G391" t="n">
        <v>9.4</v>
      </c>
      <c r="H391" t="n">
        <v>2</v>
      </c>
      <c r="I391" t="n">
        <v>0</v>
      </c>
      <c r="J391" t="n">
        <v>5</v>
      </c>
      <c r="K391" t="n">
        <v>0</v>
      </c>
      <c r="L391" t="n">
        <v>0</v>
      </c>
      <c r="M391" t="n">
        <v>0</v>
      </c>
      <c r="N391" t="n">
        <v>0</v>
      </c>
      <c r="O391" t="n">
        <v>5</v>
      </c>
      <c r="P391" t="n">
        <v>0</v>
      </c>
      <c r="Q391" t="n">
        <v>5</v>
      </c>
      <c r="R391" s="2" t="inlineStr">
        <is>
          <t>Garnlav
Lunglav
Skrovellav
Spillkråka
Tretåig hackspett</t>
        </is>
      </c>
      <c r="S391">
        <f>HYPERLINK("https://klasma.github.io/Logging_KROKOM/artfynd/A 64303-2021.xlsx")</f>
        <v/>
      </c>
      <c r="T391">
        <f>HYPERLINK("https://klasma.github.io/Logging_KROKOM/kartor/A 64303-2021.png")</f>
        <v/>
      </c>
      <c r="V391">
        <f>HYPERLINK("https://klasma.github.io/Logging_KROKOM/klagomål/A 64303-2021.docx")</f>
        <v/>
      </c>
      <c r="W391">
        <f>HYPERLINK("https://klasma.github.io/Logging_KROKOM/klagomålsmail/A 64303-2021.docx")</f>
        <v/>
      </c>
      <c r="X391">
        <f>HYPERLINK("https://klasma.github.io/Logging_KROKOM/tillsyn/A 64303-2021.docx")</f>
        <v/>
      </c>
      <c r="Y391">
        <f>HYPERLINK("https://klasma.github.io/Logging_KROKOM/tillsynsmail/A 64303-2021.docx")</f>
        <v/>
      </c>
    </row>
    <row r="392" ht="15" customHeight="1">
      <c r="A392" t="inlineStr">
        <is>
          <t>A 65187-2021</t>
        </is>
      </c>
      <c r="B392" s="1" t="n">
        <v>44515</v>
      </c>
      <c r="C392" s="1" t="n">
        <v>45182</v>
      </c>
      <c r="D392" t="inlineStr">
        <is>
          <t>JÄMTLANDS LÄN</t>
        </is>
      </c>
      <c r="E392" t="inlineStr">
        <is>
          <t>KROKOM</t>
        </is>
      </c>
      <c r="F392" t="inlineStr">
        <is>
          <t>Kyrkan</t>
        </is>
      </c>
      <c r="G392" t="n">
        <v>27.3</v>
      </c>
      <c r="H392" t="n">
        <v>1</v>
      </c>
      <c r="I392" t="n">
        <v>2</v>
      </c>
      <c r="J392" t="n">
        <v>2</v>
      </c>
      <c r="K392" t="n">
        <v>0</v>
      </c>
      <c r="L392" t="n">
        <v>0</v>
      </c>
      <c r="M392" t="n">
        <v>0</v>
      </c>
      <c r="N392" t="n">
        <v>0</v>
      </c>
      <c r="O392" t="n">
        <v>2</v>
      </c>
      <c r="P392" t="n">
        <v>0</v>
      </c>
      <c r="Q392" t="n">
        <v>5</v>
      </c>
      <c r="R392" s="2" t="inlineStr">
        <is>
          <t>Flattoppad klubbsvamp
Skrovellav
Kransrams
Svart trolldruva
Blåsippa</t>
        </is>
      </c>
      <c r="S392">
        <f>HYPERLINK("https://klasma.github.io/Logging_KROKOM/artfynd/A 65187-2021.xlsx")</f>
        <v/>
      </c>
      <c r="T392">
        <f>HYPERLINK("https://klasma.github.io/Logging_KROKOM/kartor/A 65187-2021.png")</f>
        <v/>
      </c>
      <c r="V392">
        <f>HYPERLINK("https://klasma.github.io/Logging_KROKOM/klagomål/A 65187-2021.docx")</f>
        <v/>
      </c>
      <c r="W392">
        <f>HYPERLINK("https://klasma.github.io/Logging_KROKOM/klagomålsmail/A 65187-2021.docx")</f>
        <v/>
      </c>
      <c r="X392">
        <f>HYPERLINK("https://klasma.github.io/Logging_KROKOM/tillsyn/A 65187-2021.docx")</f>
        <v/>
      </c>
      <c r="Y392">
        <f>HYPERLINK("https://klasma.github.io/Logging_KROKOM/tillsynsmail/A 65187-2021.docx")</f>
        <v/>
      </c>
    </row>
    <row r="393" ht="15" customHeight="1">
      <c r="A393" t="inlineStr">
        <is>
          <t>A 65899-2021</t>
        </is>
      </c>
      <c r="B393" s="1" t="n">
        <v>44517</v>
      </c>
      <c r="C393" s="1" t="n">
        <v>45182</v>
      </c>
      <c r="D393" t="inlineStr">
        <is>
          <t>JÄMTLANDS LÄN</t>
        </is>
      </c>
      <c r="E393" t="inlineStr">
        <is>
          <t>HÄRJEDALEN</t>
        </is>
      </c>
      <c r="G393" t="n">
        <v>25</v>
      </c>
      <c r="H393" t="n">
        <v>0</v>
      </c>
      <c r="I393" t="n">
        <v>0</v>
      </c>
      <c r="J393" t="n">
        <v>5</v>
      </c>
      <c r="K393" t="n">
        <v>0</v>
      </c>
      <c r="L393" t="n">
        <v>0</v>
      </c>
      <c r="M393" t="n">
        <v>0</v>
      </c>
      <c r="N393" t="n">
        <v>0</v>
      </c>
      <c r="O393" t="n">
        <v>5</v>
      </c>
      <c r="P393" t="n">
        <v>0</v>
      </c>
      <c r="Q393" t="n">
        <v>5</v>
      </c>
      <c r="R393" s="2" t="inlineStr">
        <is>
          <t>Gammelgransskål
Garnlav
Granticka
Harticka
Vedskivlav</t>
        </is>
      </c>
      <c r="S393">
        <f>HYPERLINK("https://klasma.github.io/Logging_HARJEDALEN/artfynd/A 65899-2021.xlsx")</f>
        <v/>
      </c>
      <c r="T393">
        <f>HYPERLINK("https://klasma.github.io/Logging_HARJEDALEN/kartor/A 65899-2021.png")</f>
        <v/>
      </c>
      <c r="V393">
        <f>HYPERLINK("https://klasma.github.io/Logging_HARJEDALEN/klagomål/A 65899-2021.docx")</f>
        <v/>
      </c>
      <c r="W393">
        <f>HYPERLINK("https://klasma.github.io/Logging_HARJEDALEN/klagomålsmail/A 65899-2021.docx")</f>
        <v/>
      </c>
      <c r="X393">
        <f>HYPERLINK("https://klasma.github.io/Logging_HARJEDALEN/tillsyn/A 65899-2021.docx")</f>
        <v/>
      </c>
      <c r="Y393">
        <f>HYPERLINK("https://klasma.github.io/Logging_HARJEDALEN/tillsynsmail/A 65899-2021.docx")</f>
        <v/>
      </c>
    </row>
    <row r="394" ht="15" customHeight="1">
      <c r="A394" t="inlineStr">
        <is>
          <t>A 74005-2021</t>
        </is>
      </c>
      <c r="B394" s="1" t="n">
        <v>44557</v>
      </c>
      <c r="C394" s="1" t="n">
        <v>45182</v>
      </c>
      <c r="D394" t="inlineStr">
        <is>
          <t>JÄMTLANDS LÄN</t>
        </is>
      </c>
      <c r="E394" t="inlineStr">
        <is>
          <t>KROKOM</t>
        </is>
      </c>
      <c r="G394" t="n">
        <v>19.9</v>
      </c>
      <c r="H394" t="n">
        <v>1</v>
      </c>
      <c r="I394" t="n">
        <v>1</v>
      </c>
      <c r="J394" t="n">
        <v>4</v>
      </c>
      <c r="K394" t="n">
        <v>0</v>
      </c>
      <c r="L394" t="n">
        <v>0</v>
      </c>
      <c r="M394" t="n">
        <v>0</v>
      </c>
      <c r="N394" t="n">
        <v>0</v>
      </c>
      <c r="O394" t="n">
        <v>4</v>
      </c>
      <c r="P394" t="n">
        <v>0</v>
      </c>
      <c r="Q394" t="n">
        <v>5</v>
      </c>
      <c r="R394" s="2" t="inlineStr">
        <is>
          <t>Doftskinn
Gammelgransskål
Garnlav
Gränsticka
Spindelblomster</t>
        </is>
      </c>
      <c r="S394">
        <f>HYPERLINK("https://klasma.github.io/Logging_KROKOM/artfynd/A 74005-2021.xlsx")</f>
        <v/>
      </c>
      <c r="T394">
        <f>HYPERLINK("https://klasma.github.io/Logging_KROKOM/kartor/A 74005-2021.png")</f>
        <v/>
      </c>
      <c r="V394">
        <f>HYPERLINK("https://klasma.github.io/Logging_KROKOM/klagomål/A 74005-2021.docx")</f>
        <v/>
      </c>
      <c r="W394">
        <f>HYPERLINK("https://klasma.github.io/Logging_KROKOM/klagomålsmail/A 74005-2021.docx")</f>
        <v/>
      </c>
      <c r="X394">
        <f>HYPERLINK("https://klasma.github.io/Logging_KROKOM/tillsyn/A 74005-2021.docx")</f>
        <v/>
      </c>
      <c r="Y394">
        <f>HYPERLINK("https://klasma.github.io/Logging_KROKOM/tillsynsmail/A 74005-2021.docx")</f>
        <v/>
      </c>
    </row>
    <row r="395" ht="15" customHeight="1">
      <c r="A395" t="inlineStr">
        <is>
          <t>A 13482-2022</t>
        </is>
      </c>
      <c r="B395" s="1" t="n">
        <v>44645</v>
      </c>
      <c r="C395" s="1" t="n">
        <v>45182</v>
      </c>
      <c r="D395" t="inlineStr">
        <is>
          <t>JÄMTLANDS LÄN</t>
        </is>
      </c>
      <c r="E395" t="inlineStr">
        <is>
          <t>RAGUNDA</t>
        </is>
      </c>
      <c r="F395" t="inlineStr">
        <is>
          <t>SCA</t>
        </is>
      </c>
      <c r="G395" t="n">
        <v>6.6</v>
      </c>
      <c r="H395" t="n">
        <v>0</v>
      </c>
      <c r="I395" t="n">
        <v>0</v>
      </c>
      <c r="J395" t="n">
        <v>5</v>
      </c>
      <c r="K395" t="n">
        <v>0</v>
      </c>
      <c r="L395" t="n">
        <v>0</v>
      </c>
      <c r="M395" t="n">
        <v>0</v>
      </c>
      <c r="N395" t="n">
        <v>0</v>
      </c>
      <c r="O395" t="n">
        <v>5</v>
      </c>
      <c r="P395" t="n">
        <v>0</v>
      </c>
      <c r="Q395" t="n">
        <v>5</v>
      </c>
      <c r="R395" s="2" t="inlineStr">
        <is>
          <t>Dvärgbägarlav
Garnlav
Lunglav
Mörk kolflarnlav
Vedskivlav</t>
        </is>
      </c>
      <c r="S395">
        <f>HYPERLINK("https://klasma.github.io/Logging_RAGUNDA/artfynd/A 13482-2022.xlsx")</f>
        <v/>
      </c>
      <c r="T395">
        <f>HYPERLINK("https://klasma.github.io/Logging_RAGUNDA/kartor/A 13482-2022.png")</f>
        <v/>
      </c>
      <c r="U395">
        <f>HYPERLINK("https://klasma.github.io/Logging_RAGUNDA/knärot/A 13482-2022.png")</f>
        <v/>
      </c>
      <c r="V395">
        <f>HYPERLINK("https://klasma.github.io/Logging_RAGUNDA/klagomål/A 13482-2022.docx")</f>
        <v/>
      </c>
      <c r="W395">
        <f>HYPERLINK("https://klasma.github.io/Logging_RAGUNDA/klagomålsmail/A 13482-2022.docx")</f>
        <v/>
      </c>
      <c r="X395">
        <f>HYPERLINK("https://klasma.github.io/Logging_RAGUNDA/tillsyn/A 13482-2022.docx")</f>
        <v/>
      </c>
      <c r="Y395">
        <f>HYPERLINK("https://klasma.github.io/Logging_RAGUNDA/tillsynsmail/A 13482-2022.docx")</f>
        <v/>
      </c>
    </row>
    <row r="396" ht="15" customHeight="1">
      <c r="A396" t="inlineStr">
        <is>
          <t>A 14908-2022</t>
        </is>
      </c>
      <c r="B396" s="1" t="n">
        <v>44656</v>
      </c>
      <c r="C396" s="1" t="n">
        <v>45182</v>
      </c>
      <c r="D396" t="inlineStr">
        <is>
          <t>JÄMTLANDS LÄN</t>
        </is>
      </c>
      <c r="E396" t="inlineStr">
        <is>
          <t>RAGUNDA</t>
        </is>
      </c>
      <c r="F396" t="inlineStr">
        <is>
          <t>SCA</t>
        </is>
      </c>
      <c r="G396" t="n">
        <v>4.6</v>
      </c>
      <c r="H396" t="n">
        <v>0</v>
      </c>
      <c r="I396" t="n">
        <v>3</v>
      </c>
      <c r="J396" t="n">
        <v>2</v>
      </c>
      <c r="K396" t="n">
        <v>0</v>
      </c>
      <c r="L396" t="n">
        <v>0</v>
      </c>
      <c r="M396" t="n">
        <v>0</v>
      </c>
      <c r="N396" t="n">
        <v>0</v>
      </c>
      <c r="O396" t="n">
        <v>2</v>
      </c>
      <c r="P396" t="n">
        <v>0</v>
      </c>
      <c r="Q396" t="n">
        <v>5</v>
      </c>
      <c r="R396" s="2" t="inlineStr">
        <is>
          <t>Garnlav
Skrovellav
Bårdlav
Källmossa
Ögonpyrola</t>
        </is>
      </c>
      <c r="S396">
        <f>HYPERLINK("https://klasma.github.io/Logging_RAGUNDA/artfynd/A 14908-2022.xlsx")</f>
        <v/>
      </c>
      <c r="T396">
        <f>HYPERLINK("https://klasma.github.io/Logging_RAGUNDA/kartor/A 14908-2022.png")</f>
        <v/>
      </c>
      <c r="V396">
        <f>HYPERLINK("https://klasma.github.io/Logging_RAGUNDA/klagomål/A 14908-2022.docx")</f>
        <v/>
      </c>
      <c r="W396">
        <f>HYPERLINK("https://klasma.github.io/Logging_RAGUNDA/klagomålsmail/A 14908-2022.docx")</f>
        <v/>
      </c>
      <c r="X396">
        <f>HYPERLINK("https://klasma.github.io/Logging_RAGUNDA/tillsyn/A 14908-2022.docx")</f>
        <v/>
      </c>
      <c r="Y396">
        <f>HYPERLINK("https://klasma.github.io/Logging_RAGUNDA/tillsynsmail/A 14908-2022.docx")</f>
        <v/>
      </c>
    </row>
    <row r="397" ht="15" customHeight="1">
      <c r="A397" t="inlineStr">
        <is>
          <t>A 20851-2022</t>
        </is>
      </c>
      <c r="B397" s="1" t="n">
        <v>44700</v>
      </c>
      <c r="C397" s="1" t="n">
        <v>45182</v>
      </c>
      <c r="D397" t="inlineStr">
        <is>
          <t>JÄMTLANDS LÄN</t>
        </is>
      </c>
      <c r="E397" t="inlineStr">
        <is>
          <t>ÅRE</t>
        </is>
      </c>
      <c r="G397" t="n">
        <v>16.4</v>
      </c>
      <c r="H397" t="n">
        <v>0</v>
      </c>
      <c r="I397" t="n">
        <v>0</v>
      </c>
      <c r="J397" t="n">
        <v>5</v>
      </c>
      <c r="K397" t="n">
        <v>0</v>
      </c>
      <c r="L397" t="n">
        <v>0</v>
      </c>
      <c r="M397" t="n">
        <v>0</v>
      </c>
      <c r="N397" t="n">
        <v>0</v>
      </c>
      <c r="O397" t="n">
        <v>5</v>
      </c>
      <c r="P397" t="n">
        <v>0</v>
      </c>
      <c r="Q397" t="n">
        <v>5</v>
      </c>
      <c r="R397" s="2" t="inlineStr">
        <is>
          <t>Gammelgransskål
Garnlav
Granticka
Harticka
Vitgrynig nållav</t>
        </is>
      </c>
      <c r="S397">
        <f>HYPERLINK("https://klasma.github.io/Logging_ARE/artfynd/A 20851-2022.xlsx")</f>
        <v/>
      </c>
      <c r="T397">
        <f>HYPERLINK("https://klasma.github.io/Logging_ARE/kartor/A 20851-2022.png")</f>
        <v/>
      </c>
      <c r="V397">
        <f>HYPERLINK("https://klasma.github.io/Logging_ARE/klagomål/A 20851-2022.docx")</f>
        <v/>
      </c>
      <c r="W397">
        <f>HYPERLINK("https://klasma.github.io/Logging_ARE/klagomålsmail/A 20851-2022.docx")</f>
        <v/>
      </c>
      <c r="X397">
        <f>HYPERLINK("https://klasma.github.io/Logging_ARE/tillsyn/A 20851-2022.docx")</f>
        <v/>
      </c>
      <c r="Y397">
        <f>HYPERLINK("https://klasma.github.io/Logging_ARE/tillsynsmail/A 20851-2022.docx")</f>
        <v/>
      </c>
    </row>
    <row r="398" ht="15" customHeight="1">
      <c r="A398" t="inlineStr">
        <is>
          <t>A 26143-2022</t>
        </is>
      </c>
      <c r="B398" s="1" t="n">
        <v>44734</v>
      </c>
      <c r="C398" s="1" t="n">
        <v>45182</v>
      </c>
      <c r="D398" t="inlineStr">
        <is>
          <t>JÄMTLANDS LÄN</t>
        </is>
      </c>
      <c r="E398" t="inlineStr">
        <is>
          <t>RAGUNDA</t>
        </is>
      </c>
      <c r="F398" t="inlineStr">
        <is>
          <t>SCA</t>
        </is>
      </c>
      <c r="G398" t="n">
        <v>4.4</v>
      </c>
      <c r="H398" t="n">
        <v>0</v>
      </c>
      <c r="I398" t="n">
        <v>2</v>
      </c>
      <c r="J398" t="n">
        <v>2</v>
      </c>
      <c r="K398" t="n">
        <v>1</v>
      </c>
      <c r="L398" t="n">
        <v>0</v>
      </c>
      <c r="M398" t="n">
        <v>0</v>
      </c>
      <c r="N398" t="n">
        <v>0</v>
      </c>
      <c r="O398" t="n">
        <v>3</v>
      </c>
      <c r="P398" t="n">
        <v>1</v>
      </c>
      <c r="Q398" t="n">
        <v>5</v>
      </c>
      <c r="R398" s="2" t="inlineStr">
        <is>
          <t>Gräddporing
Kolflarnlav
Lunglav
Dropptaggsvamp
Skinnlav</t>
        </is>
      </c>
      <c r="S398">
        <f>HYPERLINK("https://klasma.github.io/Logging_RAGUNDA/artfynd/A 26143-2022.xlsx")</f>
        <v/>
      </c>
      <c r="T398">
        <f>HYPERLINK("https://klasma.github.io/Logging_RAGUNDA/kartor/A 26143-2022.png")</f>
        <v/>
      </c>
      <c r="V398">
        <f>HYPERLINK("https://klasma.github.io/Logging_RAGUNDA/klagomål/A 26143-2022.docx")</f>
        <v/>
      </c>
      <c r="W398">
        <f>HYPERLINK("https://klasma.github.io/Logging_RAGUNDA/klagomålsmail/A 26143-2022.docx")</f>
        <v/>
      </c>
      <c r="X398">
        <f>HYPERLINK("https://klasma.github.io/Logging_RAGUNDA/tillsyn/A 26143-2022.docx")</f>
        <v/>
      </c>
      <c r="Y398">
        <f>HYPERLINK("https://klasma.github.io/Logging_RAGUNDA/tillsynsmail/A 26143-2022.docx")</f>
        <v/>
      </c>
    </row>
    <row r="399" ht="15" customHeight="1">
      <c r="A399" t="inlineStr">
        <is>
          <t>A 27577-2022</t>
        </is>
      </c>
      <c r="B399" s="1" t="n">
        <v>44742</v>
      </c>
      <c r="C399" s="1" t="n">
        <v>45182</v>
      </c>
      <c r="D399" t="inlineStr">
        <is>
          <t>JÄMTLANDS LÄN</t>
        </is>
      </c>
      <c r="E399" t="inlineStr">
        <is>
          <t>ÖSTERSUND</t>
        </is>
      </c>
      <c r="F399" t="inlineStr">
        <is>
          <t>SCA</t>
        </is>
      </c>
      <c r="G399" t="n">
        <v>12</v>
      </c>
      <c r="H399" t="n">
        <v>2</v>
      </c>
      <c r="I399" t="n">
        <v>3</v>
      </c>
      <c r="J399" t="n">
        <v>1</v>
      </c>
      <c r="K399" t="n">
        <v>0</v>
      </c>
      <c r="L399" t="n">
        <v>0</v>
      </c>
      <c r="M399" t="n">
        <v>0</v>
      </c>
      <c r="N399" t="n">
        <v>0</v>
      </c>
      <c r="O399" t="n">
        <v>1</v>
      </c>
      <c r="P399" t="n">
        <v>0</v>
      </c>
      <c r="Q399" t="n">
        <v>5</v>
      </c>
      <c r="R399" s="2" t="inlineStr">
        <is>
          <t>Granticka
Tibast
Tvåblad
Underviol
Blåsippa</t>
        </is>
      </c>
      <c r="S399">
        <f>HYPERLINK("https://klasma.github.io/Logging_OSTERSUND/artfynd/A 27577-2022.xlsx")</f>
        <v/>
      </c>
      <c r="T399">
        <f>HYPERLINK("https://klasma.github.io/Logging_OSTERSUND/kartor/A 27577-2022.png")</f>
        <v/>
      </c>
      <c r="V399">
        <f>HYPERLINK("https://klasma.github.io/Logging_OSTERSUND/klagomål/A 27577-2022.docx")</f>
        <v/>
      </c>
      <c r="W399">
        <f>HYPERLINK("https://klasma.github.io/Logging_OSTERSUND/klagomålsmail/A 27577-2022.docx")</f>
        <v/>
      </c>
      <c r="X399">
        <f>HYPERLINK("https://klasma.github.io/Logging_OSTERSUND/tillsyn/A 27577-2022.docx")</f>
        <v/>
      </c>
      <c r="Y399">
        <f>HYPERLINK("https://klasma.github.io/Logging_OSTERSUND/tillsynsmail/A 27577-2022.docx")</f>
        <v/>
      </c>
    </row>
    <row r="400" ht="15" customHeight="1">
      <c r="A400" t="inlineStr">
        <is>
          <t>A 38101-2022</t>
        </is>
      </c>
      <c r="B400" s="1" t="n">
        <v>44811</v>
      </c>
      <c r="C400" s="1" t="n">
        <v>45182</v>
      </c>
      <c r="D400" t="inlineStr">
        <is>
          <t>JÄMTLANDS LÄN</t>
        </is>
      </c>
      <c r="E400" t="inlineStr">
        <is>
          <t>STRÖMSUND</t>
        </is>
      </c>
      <c r="F400" t="inlineStr">
        <is>
          <t>SCA</t>
        </is>
      </c>
      <c r="G400" t="n">
        <v>6.9</v>
      </c>
      <c r="H400" t="n">
        <v>1</v>
      </c>
      <c r="I400" t="n">
        <v>0</v>
      </c>
      <c r="J400" t="n">
        <v>4</v>
      </c>
      <c r="K400" t="n">
        <v>1</v>
      </c>
      <c r="L400" t="n">
        <v>0</v>
      </c>
      <c r="M400" t="n">
        <v>0</v>
      </c>
      <c r="N400" t="n">
        <v>0</v>
      </c>
      <c r="O400" t="n">
        <v>5</v>
      </c>
      <c r="P400" t="n">
        <v>1</v>
      </c>
      <c r="Q400" t="n">
        <v>5</v>
      </c>
      <c r="R400" s="2" t="inlineStr">
        <is>
          <t>Doftticka
Granticka
Lunglav
Skrovellav
Violettgrå tagellav</t>
        </is>
      </c>
      <c r="S400">
        <f>HYPERLINK("https://klasma.github.io/Logging_STROMSUND/artfynd/A 38101-2022.xlsx")</f>
        <v/>
      </c>
      <c r="T400">
        <f>HYPERLINK("https://klasma.github.io/Logging_STROMSUND/kartor/A 38101-2022.png")</f>
        <v/>
      </c>
      <c r="V400">
        <f>HYPERLINK("https://klasma.github.io/Logging_STROMSUND/klagomål/A 38101-2022.docx")</f>
        <v/>
      </c>
      <c r="W400">
        <f>HYPERLINK("https://klasma.github.io/Logging_STROMSUND/klagomålsmail/A 38101-2022.docx")</f>
        <v/>
      </c>
      <c r="X400">
        <f>HYPERLINK("https://klasma.github.io/Logging_STROMSUND/tillsyn/A 38101-2022.docx")</f>
        <v/>
      </c>
      <c r="Y400">
        <f>HYPERLINK("https://klasma.github.io/Logging_STROMSUND/tillsynsmail/A 38101-2022.docx")</f>
        <v/>
      </c>
    </row>
    <row r="401" ht="15" customHeight="1">
      <c r="A401" t="inlineStr">
        <is>
          <t>A 39695-2022</t>
        </is>
      </c>
      <c r="B401" s="1" t="n">
        <v>44818</v>
      </c>
      <c r="C401" s="1" t="n">
        <v>45182</v>
      </c>
      <c r="D401" t="inlineStr">
        <is>
          <t>JÄMTLANDS LÄN</t>
        </is>
      </c>
      <c r="E401" t="inlineStr">
        <is>
          <t>STRÖMSUND</t>
        </is>
      </c>
      <c r="F401" t="inlineStr">
        <is>
          <t>SCA</t>
        </is>
      </c>
      <c r="G401" t="n">
        <v>4.4</v>
      </c>
      <c r="H401" t="n">
        <v>0</v>
      </c>
      <c r="I401" t="n">
        <v>0</v>
      </c>
      <c r="J401" t="n">
        <v>4</v>
      </c>
      <c r="K401" t="n">
        <v>1</v>
      </c>
      <c r="L401" t="n">
        <v>0</v>
      </c>
      <c r="M401" t="n">
        <v>0</v>
      </c>
      <c r="N401" t="n">
        <v>0</v>
      </c>
      <c r="O401" t="n">
        <v>5</v>
      </c>
      <c r="P401" t="n">
        <v>1</v>
      </c>
      <c r="Q401" t="n">
        <v>5</v>
      </c>
      <c r="R401" s="2" t="inlineStr">
        <is>
          <t>Blackticka
Lunglav
Skrovellav
Ullticka
Vitskaftad svartspik</t>
        </is>
      </c>
      <c r="S401">
        <f>HYPERLINK("https://klasma.github.io/Logging_STROMSUND/artfynd/A 39695-2022.xlsx")</f>
        <v/>
      </c>
      <c r="T401">
        <f>HYPERLINK("https://klasma.github.io/Logging_STROMSUND/kartor/A 39695-2022.png")</f>
        <v/>
      </c>
      <c r="V401">
        <f>HYPERLINK("https://klasma.github.io/Logging_STROMSUND/klagomål/A 39695-2022.docx")</f>
        <v/>
      </c>
      <c r="W401">
        <f>HYPERLINK("https://klasma.github.io/Logging_STROMSUND/klagomålsmail/A 39695-2022.docx")</f>
        <v/>
      </c>
      <c r="X401">
        <f>HYPERLINK("https://klasma.github.io/Logging_STROMSUND/tillsyn/A 39695-2022.docx")</f>
        <v/>
      </c>
      <c r="Y401">
        <f>HYPERLINK("https://klasma.github.io/Logging_STROMSUND/tillsynsmail/A 39695-2022.docx")</f>
        <v/>
      </c>
    </row>
    <row r="402" ht="15" customHeight="1">
      <c r="A402" t="inlineStr">
        <is>
          <t>A 41174-2022</t>
        </is>
      </c>
      <c r="B402" s="1" t="n">
        <v>44825</v>
      </c>
      <c r="C402" s="1" t="n">
        <v>45182</v>
      </c>
      <c r="D402" t="inlineStr">
        <is>
          <t>JÄMTLANDS LÄN</t>
        </is>
      </c>
      <c r="E402" t="inlineStr">
        <is>
          <t>BRÄCKE</t>
        </is>
      </c>
      <c r="F402" t="inlineStr">
        <is>
          <t>SCA</t>
        </is>
      </c>
      <c r="G402" t="n">
        <v>16.5</v>
      </c>
      <c r="H402" t="n">
        <v>1</v>
      </c>
      <c r="I402" t="n">
        <v>1</v>
      </c>
      <c r="J402" t="n">
        <v>2</v>
      </c>
      <c r="K402" t="n">
        <v>2</v>
      </c>
      <c r="L402" t="n">
        <v>0</v>
      </c>
      <c r="M402" t="n">
        <v>0</v>
      </c>
      <c r="N402" t="n">
        <v>0</v>
      </c>
      <c r="O402" t="n">
        <v>4</v>
      </c>
      <c r="P402" t="n">
        <v>2</v>
      </c>
      <c r="Q402" t="n">
        <v>5</v>
      </c>
      <c r="R402" s="2" t="inlineStr">
        <is>
          <t>Doftticka
Gräddporing
Lunglav
Skrovellav
Skarp dropptaggsvamp</t>
        </is>
      </c>
      <c r="S402">
        <f>HYPERLINK("https://klasma.github.io/Logging_BRACKE/artfynd/A 41174-2022.xlsx")</f>
        <v/>
      </c>
      <c r="T402">
        <f>HYPERLINK("https://klasma.github.io/Logging_BRACKE/kartor/A 41174-2022.png")</f>
        <v/>
      </c>
      <c r="V402">
        <f>HYPERLINK("https://klasma.github.io/Logging_BRACKE/klagomål/A 41174-2022.docx")</f>
        <v/>
      </c>
      <c r="W402">
        <f>HYPERLINK("https://klasma.github.io/Logging_BRACKE/klagomålsmail/A 41174-2022.docx")</f>
        <v/>
      </c>
      <c r="X402">
        <f>HYPERLINK("https://klasma.github.io/Logging_BRACKE/tillsyn/A 41174-2022.docx")</f>
        <v/>
      </c>
      <c r="Y402">
        <f>HYPERLINK("https://klasma.github.io/Logging_BRACKE/tillsynsmail/A 41174-2022.docx")</f>
        <v/>
      </c>
    </row>
    <row r="403" ht="15" customHeight="1">
      <c r="A403" t="inlineStr">
        <is>
          <t>A 47392-2022</t>
        </is>
      </c>
      <c r="B403" s="1" t="n">
        <v>44851</v>
      </c>
      <c r="C403" s="1" t="n">
        <v>45182</v>
      </c>
      <c r="D403" t="inlineStr">
        <is>
          <t>JÄMTLANDS LÄN</t>
        </is>
      </c>
      <c r="E403" t="inlineStr">
        <is>
          <t>ÖSTERSUND</t>
        </is>
      </c>
      <c r="G403" t="n">
        <v>1.6</v>
      </c>
      <c r="H403" t="n">
        <v>3</v>
      </c>
      <c r="I403" t="n">
        <v>3</v>
      </c>
      <c r="J403" t="n">
        <v>1</v>
      </c>
      <c r="K403" t="n">
        <v>1</v>
      </c>
      <c r="L403" t="n">
        <v>0</v>
      </c>
      <c r="M403" t="n">
        <v>0</v>
      </c>
      <c r="N403" t="n">
        <v>0</v>
      </c>
      <c r="O403" t="n">
        <v>2</v>
      </c>
      <c r="P403" t="n">
        <v>1</v>
      </c>
      <c r="Q403" t="n">
        <v>5</v>
      </c>
      <c r="R403" s="2" t="inlineStr">
        <is>
          <t>Knärot
Garnlav
Guckusko
Plattlummer
Trådfräken</t>
        </is>
      </c>
      <c r="S403">
        <f>HYPERLINK("https://klasma.github.io/Logging_OSTERSUND/artfynd/A 47392-2022.xlsx")</f>
        <v/>
      </c>
      <c r="T403">
        <f>HYPERLINK("https://klasma.github.io/Logging_OSTERSUND/kartor/A 47392-2022.png")</f>
        <v/>
      </c>
      <c r="U403">
        <f>HYPERLINK("https://klasma.github.io/Logging_OSTERSUND/knärot/A 47392-2022.png")</f>
        <v/>
      </c>
      <c r="V403">
        <f>HYPERLINK("https://klasma.github.io/Logging_OSTERSUND/klagomål/A 47392-2022.docx")</f>
        <v/>
      </c>
      <c r="W403">
        <f>HYPERLINK("https://klasma.github.io/Logging_OSTERSUND/klagomålsmail/A 47392-2022.docx")</f>
        <v/>
      </c>
      <c r="X403">
        <f>HYPERLINK("https://klasma.github.io/Logging_OSTERSUND/tillsyn/A 47392-2022.docx")</f>
        <v/>
      </c>
      <c r="Y403">
        <f>HYPERLINK("https://klasma.github.io/Logging_OSTERSUND/tillsynsmail/A 47392-2022.docx")</f>
        <v/>
      </c>
    </row>
    <row r="404" ht="15" customHeight="1">
      <c r="A404" t="inlineStr">
        <is>
          <t>A 50340-2022</t>
        </is>
      </c>
      <c r="B404" s="1" t="n">
        <v>44865</v>
      </c>
      <c r="C404" s="1" t="n">
        <v>45182</v>
      </c>
      <c r="D404" t="inlineStr">
        <is>
          <t>JÄMTLANDS LÄN</t>
        </is>
      </c>
      <c r="E404" t="inlineStr">
        <is>
          <t>RAGUNDA</t>
        </is>
      </c>
      <c r="F404" t="inlineStr">
        <is>
          <t>SCA</t>
        </is>
      </c>
      <c r="G404" t="n">
        <v>12.8</v>
      </c>
      <c r="H404" t="n">
        <v>0</v>
      </c>
      <c r="I404" t="n">
        <v>1</v>
      </c>
      <c r="J404" t="n">
        <v>4</v>
      </c>
      <c r="K404" t="n">
        <v>0</v>
      </c>
      <c r="L404" t="n">
        <v>0</v>
      </c>
      <c r="M404" t="n">
        <v>0</v>
      </c>
      <c r="N404" t="n">
        <v>0</v>
      </c>
      <c r="O404" t="n">
        <v>4</v>
      </c>
      <c r="P404" t="n">
        <v>0</v>
      </c>
      <c r="Q404" t="n">
        <v>5</v>
      </c>
      <c r="R404" s="2" t="inlineStr">
        <is>
          <t>Gammelgransskål
Garnlav
Kolflarnlav
Lunglav
Stor aspticka</t>
        </is>
      </c>
      <c r="S404">
        <f>HYPERLINK("https://klasma.github.io/Logging_RAGUNDA/artfynd/A 50340-2022.xlsx")</f>
        <v/>
      </c>
      <c r="T404">
        <f>HYPERLINK("https://klasma.github.io/Logging_RAGUNDA/kartor/A 50340-2022.png")</f>
        <v/>
      </c>
      <c r="V404">
        <f>HYPERLINK("https://klasma.github.io/Logging_RAGUNDA/klagomål/A 50340-2022.docx")</f>
        <v/>
      </c>
      <c r="W404">
        <f>HYPERLINK("https://klasma.github.io/Logging_RAGUNDA/klagomålsmail/A 50340-2022.docx")</f>
        <v/>
      </c>
      <c r="X404">
        <f>HYPERLINK("https://klasma.github.io/Logging_RAGUNDA/tillsyn/A 50340-2022.docx")</f>
        <v/>
      </c>
      <c r="Y404">
        <f>HYPERLINK("https://klasma.github.io/Logging_RAGUNDA/tillsynsmail/A 50340-2022.docx")</f>
        <v/>
      </c>
    </row>
    <row r="405" ht="15" customHeight="1">
      <c r="A405" t="inlineStr">
        <is>
          <t>A 50686-2022</t>
        </is>
      </c>
      <c r="B405" s="1" t="n">
        <v>44866</v>
      </c>
      <c r="C405" s="1" t="n">
        <v>45182</v>
      </c>
      <c r="D405" t="inlineStr">
        <is>
          <t>JÄMTLANDS LÄN</t>
        </is>
      </c>
      <c r="E405" t="inlineStr">
        <is>
          <t>STRÖMSUND</t>
        </is>
      </c>
      <c r="F405" t="inlineStr">
        <is>
          <t>SCA</t>
        </is>
      </c>
      <c r="G405" t="n">
        <v>8.5</v>
      </c>
      <c r="H405" t="n">
        <v>1</v>
      </c>
      <c r="I405" t="n">
        <v>0</v>
      </c>
      <c r="J405" t="n">
        <v>3</v>
      </c>
      <c r="K405" t="n">
        <v>1</v>
      </c>
      <c r="L405" t="n">
        <v>1</v>
      </c>
      <c r="M405" t="n">
        <v>0</v>
      </c>
      <c r="N405" t="n">
        <v>0</v>
      </c>
      <c r="O405" t="n">
        <v>5</v>
      </c>
      <c r="P405" t="n">
        <v>2</v>
      </c>
      <c r="Q405" t="n">
        <v>5</v>
      </c>
      <c r="R405" s="2" t="inlineStr">
        <is>
          <t>Timmerskapania
Liten hornflikmossa
Utter
Vedflikmossa
Vedtrappmossa</t>
        </is>
      </c>
      <c r="S405">
        <f>HYPERLINK("https://klasma.github.io/Logging_STROMSUND/artfynd/A 50686-2022.xlsx")</f>
        <v/>
      </c>
      <c r="T405">
        <f>HYPERLINK("https://klasma.github.io/Logging_STROMSUND/kartor/A 50686-2022.png")</f>
        <v/>
      </c>
      <c r="V405">
        <f>HYPERLINK("https://klasma.github.io/Logging_STROMSUND/klagomål/A 50686-2022.docx")</f>
        <v/>
      </c>
      <c r="W405">
        <f>HYPERLINK("https://klasma.github.io/Logging_STROMSUND/klagomålsmail/A 50686-2022.docx")</f>
        <v/>
      </c>
      <c r="X405">
        <f>HYPERLINK("https://klasma.github.io/Logging_STROMSUND/tillsyn/A 50686-2022.docx")</f>
        <v/>
      </c>
      <c r="Y405">
        <f>HYPERLINK("https://klasma.github.io/Logging_STROMSUND/tillsynsmail/A 50686-2022.docx")</f>
        <v/>
      </c>
    </row>
    <row r="406" ht="15" customHeight="1">
      <c r="A406" t="inlineStr">
        <is>
          <t>A 54448-2022</t>
        </is>
      </c>
      <c r="B406" s="1" t="n">
        <v>44882</v>
      </c>
      <c r="C406" s="1" t="n">
        <v>45182</v>
      </c>
      <c r="D406" t="inlineStr">
        <is>
          <t>JÄMTLANDS LÄN</t>
        </is>
      </c>
      <c r="E406" t="inlineStr">
        <is>
          <t>ÅRE</t>
        </is>
      </c>
      <c r="G406" t="n">
        <v>7.4</v>
      </c>
      <c r="H406" t="n">
        <v>0</v>
      </c>
      <c r="I406" t="n">
        <v>0</v>
      </c>
      <c r="J406" t="n">
        <v>5</v>
      </c>
      <c r="K406" t="n">
        <v>0</v>
      </c>
      <c r="L406" t="n">
        <v>0</v>
      </c>
      <c r="M406" t="n">
        <v>0</v>
      </c>
      <c r="N406" t="n">
        <v>0</v>
      </c>
      <c r="O406" t="n">
        <v>5</v>
      </c>
      <c r="P406" t="n">
        <v>0</v>
      </c>
      <c r="Q406" t="n">
        <v>5</v>
      </c>
      <c r="R406" s="2" t="inlineStr">
        <is>
          <t>Garnlav
Granticka
Gränsticka
Rosenticka
Ullticka</t>
        </is>
      </c>
      <c r="S406">
        <f>HYPERLINK("https://klasma.github.io/Logging_ARE/artfynd/A 54448-2022.xlsx")</f>
        <v/>
      </c>
      <c r="T406">
        <f>HYPERLINK("https://klasma.github.io/Logging_ARE/kartor/A 54448-2022.png")</f>
        <v/>
      </c>
      <c r="V406">
        <f>HYPERLINK("https://klasma.github.io/Logging_ARE/klagomål/A 54448-2022.docx")</f>
        <v/>
      </c>
      <c r="W406">
        <f>HYPERLINK("https://klasma.github.io/Logging_ARE/klagomålsmail/A 54448-2022.docx")</f>
        <v/>
      </c>
      <c r="X406">
        <f>HYPERLINK("https://klasma.github.io/Logging_ARE/tillsyn/A 54448-2022.docx")</f>
        <v/>
      </c>
      <c r="Y406">
        <f>HYPERLINK("https://klasma.github.io/Logging_ARE/tillsynsmail/A 54448-2022.docx")</f>
        <v/>
      </c>
    </row>
    <row r="407" ht="15" customHeight="1">
      <c r="A407" t="inlineStr">
        <is>
          <t>A 54841-2022</t>
        </is>
      </c>
      <c r="B407" s="1" t="n">
        <v>44883</v>
      </c>
      <c r="C407" s="1" t="n">
        <v>45182</v>
      </c>
      <c r="D407" t="inlineStr">
        <is>
          <t>JÄMTLANDS LÄN</t>
        </is>
      </c>
      <c r="E407" t="inlineStr">
        <is>
          <t>BERG</t>
        </is>
      </c>
      <c r="F407" t="inlineStr">
        <is>
          <t>SCA</t>
        </is>
      </c>
      <c r="G407" t="n">
        <v>21.9</v>
      </c>
      <c r="H407" t="n">
        <v>0</v>
      </c>
      <c r="I407" t="n">
        <v>0</v>
      </c>
      <c r="J407" t="n">
        <v>2</v>
      </c>
      <c r="K407" t="n">
        <v>3</v>
      </c>
      <c r="L407" t="n">
        <v>0</v>
      </c>
      <c r="M407" t="n">
        <v>0</v>
      </c>
      <c r="N407" t="n">
        <v>0</v>
      </c>
      <c r="O407" t="n">
        <v>5</v>
      </c>
      <c r="P407" t="n">
        <v>3</v>
      </c>
      <c r="Q407" t="n">
        <v>5</v>
      </c>
      <c r="R407" s="2" t="inlineStr">
        <is>
          <t>Fläckporing
Gräddporing
Smalfotad taggsvamp
Dvärgbägarlav
Vedflamlav</t>
        </is>
      </c>
      <c r="S407">
        <f>HYPERLINK("https://klasma.github.io/Logging_BERG/artfynd/A 54841-2022.xlsx")</f>
        <v/>
      </c>
      <c r="T407">
        <f>HYPERLINK("https://klasma.github.io/Logging_BERG/kartor/A 54841-2022.png")</f>
        <v/>
      </c>
      <c r="V407">
        <f>HYPERLINK("https://klasma.github.io/Logging_BERG/klagomål/A 54841-2022.docx")</f>
        <v/>
      </c>
      <c r="W407">
        <f>HYPERLINK("https://klasma.github.io/Logging_BERG/klagomålsmail/A 54841-2022.docx")</f>
        <v/>
      </c>
      <c r="X407">
        <f>HYPERLINK("https://klasma.github.io/Logging_BERG/tillsyn/A 54841-2022.docx")</f>
        <v/>
      </c>
      <c r="Y407">
        <f>HYPERLINK("https://klasma.github.io/Logging_BERG/tillsynsmail/A 54841-2022.docx")</f>
        <v/>
      </c>
    </row>
    <row r="408" ht="15" customHeight="1">
      <c r="A408" t="inlineStr">
        <is>
          <t>A 56096-2022</t>
        </is>
      </c>
      <c r="B408" s="1" t="n">
        <v>44889</v>
      </c>
      <c r="C408" s="1" t="n">
        <v>45182</v>
      </c>
      <c r="D408" t="inlineStr">
        <is>
          <t>JÄMTLANDS LÄN</t>
        </is>
      </c>
      <c r="E408" t="inlineStr">
        <is>
          <t>ÖSTERSUND</t>
        </is>
      </c>
      <c r="F408" t="inlineStr">
        <is>
          <t>Övriga Aktiebolag</t>
        </is>
      </c>
      <c r="G408" t="n">
        <v>15.1</v>
      </c>
      <c r="H408" t="n">
        <v>1</v>
      </c>
      <c r="I408" t="n">
        <v>0</v>
      </c>
      <c r="J408" t="n">
        <v>4</v>
      </c>
      <c r="K408" t="n">
        <v>0</v>
      </c>
      <c r="L408" t="n">
        <v>0</v>
      </c>
      <c r="M408" t="n">
        <v>0</v>
      </c>
      <c r="N408" t="n">
        <v>0</v>
      </c>
      <c r="O408" t="n">
        <v>4</v>
      </c>
      <c r="P408" t="n">
        <v>0</v>
      </c>
      <c r="Q408" t="n">
        <v>5</v>
      </c>
      <c r="R408" s="2" t="inlineStr">
        <is>
          <t>Brunklöver
Dvärgbägarlav
Garnlav
Ullticka
Revlummer</t>
        </is>
      </c>
      <c r="S408">
        <f>HYPERLINK("https://klasma.github.io/Logging_OSTERSUND/artfynd/A 56096-2022.xlsx")</f>
        <v/>
      </c>
      <c r="T408">
        <f>HYPERLINK("https://klasma.github.io/Logging_OSTERSUND/kartor/A 56096-2022.png")</f>
        <v/>
      </c>
      <c r="V408">
        <f>HYPERLINK("https://klasma.github.io/Logging_OSTERSUND/klagomål/A 56096-2022.docx")</f>
        <v/>
      </c>
      <c r="W408">
        <f>HYPERLINK("https://klasma.github.io/Logging_OSTERSUND/klagomålsmail/A 56096-2022.docx")</f>
        <v/>
      </c>
      <c r="X408">
        <f>HYPERLINK("https://klasma.github.io/Logging_OSTERSUND/tillsyn/A 56096-2022.docx")</f>
        <v/>
      </c>
      <c r="Y408">
        <f>HYPERLINK("https://klasma.github.io/Logging_OSTERSUND/tillsynsmail/A 56096-2022.docx")</f>
        <v/>
      </c>
    </row>
    <row r="409" ht="15" customHeight="1">
      <c r="A409" t="inlineStr">
        <is>
          <t>A 58784-2022</t>
        </is>
      </c>
      <c r="B409" s="1" t="n">
        <v>44895</v>
      </c>
      <c r="C409" s="1" t="n">
        <v>45182</v>
      </c>
      <c r="D409" t="inlineStr">
        <is>
          <t>JÄMTLANDS LÄN</t>
        </is>
      </c>
      <c r="E409" t="inlineStr">
        <is>
          <t>KROKOM</t>
        </is>
      </c>
      <c r="G409" t="n">
        <v>19.9</v>
      </c>
      <c r="H409" t="n">
        <v>3</v>
      </c>
      <c r="I409" t="n">
        <v>0</v>
      </c>
      <c r="J409" t="n">
        <v>4</v>
      </c>
      <c r="K409" t="n">
        <v>1</v>
      </c>
      <c r="L409" t="n">
        <v>0</v>
      </c>
      <c r="M409" t="n">
        <v>0</v>
      </c>
      <c r="N409" t="n">
        <v>0</v>
      </c>
      <c r="O409" t="n">
        <v>5</v>
      </c>
      <c r="P409" t="n">
        <v>1</v>
      </c>
      <c r="Q409" t="n">
        <v>5</v>
      </c>
      <c r="R409" s="2" t="inlineStr">
        <is>
          <t>Tallbit
Garnlav
Lunglav
Spillkråka
Tretåig hackspett</t>
        </is>
      </c>
      <c r="S409">
        <f>HYPERLINK("https://klasma.github.io/Logging_KROKOM/artfynd/A 58784-2022.xlsx")</f>
        <v/>
      </c>
      <c r="T409">
        <f>HYPERLINK("https://klasma.github.io/Logging_KROKOM/kartor/A 58784-2022.png")</f>
        <v/>
      </c>
      <c r="V409">
        <f>HYPERLINK("https://klasma.github.io/Logging_KROKOM/klagomål/A 58784-2022.docx")</f>
        <v/>
      </c>
      <c r="W409">
        <f>HYPERLINK("https://klasma.github.io/Logging_KROKOM/klagomålsmail/A 58784-2022.docx")</f>
        <v/>
      </c>
      <c r="X409">
        <f>HYPERLINK("https://klasma.github.io/Logging_KROKOM/tillsyn/A 58784-2022.docx")</f>
        <v/>
      </c>
      <c r="Y409">
        <f>HYPERLINK("https://klasma.github.io/Logging_KROKOM/tillsynsmail/A 58784-2022.docx")</f>
        <v/>
      </c>
    </row>
    <row r="410" ht="15" customHeight="1">
      <c r="A410" t="inlineStr">
        <is>
          <t>A 57827-2022</t>
        </is>
      </c>
      <c r="B410" s="1" t="n">
        <v>44897</v>
      </c>
      <c r="C410" s="1" t="n">
        <v>45182</v>
      </c>
      <c r="D410" t="inlineStr">
        <is>
          <t>JÄMTLANDS LÄN</t>
        </is>
      </c>
      <c r="E410" t="inlineStr">
        <is>
          <t>STRÖMSUND</t>
        </is>
      </c>
      <c r="F410" t="inlineStr">
        <is>
          <t>SCA</t>
        </is>
      </c>
      <c r="G410" t="n">
        <v>4.9</v>
      </c>
      <c r="H410" t="n">
        <v>0</v>
      </c>
      <c r="I410" t="n">
        <v>2</v>
      </c>
      <c r="J410" t="n">
        <v>3</v>
      </c>
      <c r="K410" t="n">
        <v>0</v>
      </c>
      <c r="L410" t="n">
        <v>0</v>
      </c>
      <c r="M410" t="n">
        <v>0</v>
      </c>
      <c r="N410" t="n">
        <v>0</v>
      </c>
      <c r="O410" t="n">
        <v>3</v>
      </c>
      <c r="P410" t="n">
        <v>0</v>
      </c>
      <c r="Q410" t="n">
        <v>5</v>
      </c>
      <c r="R410" s="2" t="inlineStr">
        <is>
          <t>Lunglav
Skrovellav
Ullticka
Luddlav
Stuplav</t>
        </is>
      </c>
      <c r="S410">
        <f>HYPERLINK("https://klasma.github.io/Logging_STROMSUND/artfynd/A 57827-2022.xlsx")</f>
        <v/>
      </c>
      <c r="T410">
        <f>HYPERLINK("https://klasma.github.io/Logging_STROMSUND/kartor/A 57827-2022.png")</f>
        <v/>
      </c>
      <c r="V410">
        <f>HYPERLINK("https://klasma.github.io/Logging_STROMSUND/klagomål/A 57827-2022.docx")</f>
        <v/>
      </c>
      <c r="W410">
        <f>HYPERLINK("https://klasma.github.io/Logging_STROMSUND/klagomålsmail/A 57827-2022.docx")</f>
        <v/>
      </c>
      <c r="X410">
        <f>HYPERLINK("https://klasma.github.io/Logging_STROMSUND/tillsyn/A 57827-2022.docx")</f>
        <v/>
      </c>
      <c r="Y410">
        <f>HYPERLINK("https://klasma.github.io/Logging_STROMSUND/tillsynsmail/A 57827-2022.docx")</f>
        <v/>
      </c>
    </row>
    <row r="411" ht="15" customHeight="1">
      <c r="A411" t="inlineStr">
        <is>
          <t>A 60683-2022</t>
        </is>
      </c>
      <c r="B411" s="1" t="n">
        <v>44911</v>
      </c>
      <c r="C411" s="1" t="n">
        <v>45182</v>
      </c>
      <c r="D411" t="inlineStr">
        <is>
          <t>JÄMTLANDS LÄN</t>
        </is>
      </c>
      <c r="E411" t="inlineStr">
        <is>
          <t>RAGUNDA</t>
        </is>
      </c>
      <c r="F411" t="inlineStr">
        <is>
          <t>SCA</t>
        </is>
      </c>
      <c r="G411" t="n">
        <v>2.4</v>
      </c>
      <c r="H411" t="n">
        <v>2</v>
      </c>
      <c r="I411" t="n">
        <v>2</v>
      </c>
      <c r="J411" t="n">
        <v>1</v>
      </c>
      <c r="K411" t="n">
        <v>0</v>
      </c>
      <c r="L411" t="n">
        <v>0</v>
      </c>
      <c r="M411" t="n">
        <v>0</v>
      </c>
      <c r="N411" t="n">
        <v>0</v>
      </c>
      <c r="O411" t="n">
        <v>1</v>
      </c>
      <c r="P411" t="n">
        <v>0</v>
      </c>
      <c r="Q411" t="n">
        <v>5</v>
      </c>
      <c r="R411" s="2" t="inlineStr">
        <is>
          <t>Granticka
Blodticka
Diskvaxskivling
Fläcknycklar
Blåsippa</t>
        </is>
      </c>
      <c r="S411">
        <f>HYPERLINK("https://klasma.github.io/Logging_RAGUNDA/artfynd/A 60683-2022.xlsx")</f>
        <v/>
      </c>
      <c r="T411">
        <f>HYPERLINK("https://klasma.github.io/Logging_RAGUNDA/kartor/A 60683-2022.png")</f>
        <v/>
      </c>
      <c r="V411">
        <f>HYPERLINK("https://klasma.github.io/Logging_RAGUNDA/klagomål/A 60683-2022.docx")</f>
        <v/>
      </c>
      <c r="W411">
        <f>HYPERLINK("https://klasma.github.io/Logging_RAGUNDA/klagomålsmail/A 60683-2022.docx")</f>
        <v/>
      </c>
      <c r="X411">
        <f>HYPERLINK("https://klasma.github.io/Logging_RAGUNDA/tillsyn/A 60683-2022.docx")</f>
        <v/>
      </c>
      <c r="Y411">
        <f>HYPERLINK("https://klasma.github.io/Logging_RAGUNDA/tillsynsmail/A 60683-2022.docx")</f>
        <v/>
      </c>
    </row>
    <row r="412" ht="15" customHeight="1">
      <c r="A412" t="inlineStr">
        <is>
          <t>A 8515-2023</t>
        </is>
      </c>
      <c r="B412" s="1" t="n">
        <v>44977</v>
      </c>
      <c r="C412" s="1" t="n">
        <v>45182</v>
      </c>
      <c r="D412" t="inlineStr">
        <is>
          <t>JÄMTLANDS LÄN</t>
        </is>
      </c>
      <c r="E412" t="inlineStr">
        <is>
          <t>ÅRE</t>
        </is>
      </c>
      <c r="F412" t="inlineStr">
        <is>
          <t>Övriga Aktiebolag</t>
        </is>
      </c>
      <c r="G412" t="n">
        <v>34.2</v>
      </c>
      <c r="H412" t="n">
        <v>1</v>
      </c>
      <c r="I412" t="n">
        <v>2</v>
      </c>
      <c r="J412" t="n">
        <v>3</v>
      </c>
      <c r="K412" t="n">
        <v>0</v>
      </c>
      <c r="L412" t="n">
        <v>0</v>
      </c>
      <c r="M412" t="n">
        <v>0</v>
      </c>
      <c r="N412" t="n">
        <v>0</v>
      </c>
      <c r="O412" t="n">
        <v>3</v>
      </c>
      <c r="P412" t="n">
        <v>0</v>
      </c>
      <c r="Q412" t="n">
        <v>5</v>
      </c>
      <c r="R412" s="2" t="inlineStr">
        <is>
          <t>Gränsticka
Skrovellav
Tretåig hackspett
Skinnlav
Stuplav</t>
        </is>
      </c>
      <c r="S412">
        <f>HYPERLINK("https://klasma.github.io/Logging_ARE/artfynd/A 8515-2023.xlsx")</f>
        <v/>
      </c>
      <c r="T412">
        <f>HYPERLINK("https://klasma.github.io/Logging_ARE/kartor/A 8515-2023.png")</f>
        <v/>
      </c>
      <c r="V412">
        <f>HYPERLINK("https://klasma.github.io/Logging_ARE/klagomål/A 8515-2023.docx")</f>
        <v/>
      </c>
      <c r="W412">
        <f>HYPERLINK("https://klasma.github.io/Logging_ARE/klagomålsmail/A 8515-2023.docx")</f>
        <v/>
      </c>
      <c r="X412">
        <f>HYPERLINK("https://klasma.github.io/Logging_ARE/tillsyn/A 8515-2023.docx")</f>
        <v/>
      </c>
      <c r="Y412">
        <f>HYPERLINK("https://klasma.github.io/Logging_ARE/tillsynsmail/A 8515-2023.docx")</f>
        <v/>
      </c>
    </row>
    <row r="413" ht="15" customHeight="1">
      <c r="A413" t="inlineStr">
        <is>
          <t>A 20384-2023</t>
        </is>
      </c>
      <c r="B413" s="1" t="n">
        <v>45054</v>
      </c>
      <c r="C413" s="1" t="n">
        <v>45182</v>
      </c>
      <c r="D413" t="inlineStr">
        <is>
          <t>JÄMTLANDS LÄN</t>
        </is>
      </c>
      <c r="E413" t="inlineStr">
        <is>
          <t>RAGUNDA</t>
        </is>
      </c>
      <c r="G413" t="n">
        <v>16.5</v>
      </c>
      <c r="H413" t="n">
        <v>0</v>
      </c>
      <c r="I413" t="n">
        <v>1</v>
      </c>
      <c r="J413" t="n">
        <v>4</v>
      </c>
      <c r="K413" t="n">
        <v>0</v>
      </c>
      <c r="L413" t="n">
        <v>0</v>
      </c>
      <c r="M413" t="n">
        <v>0</v>
      </c>
      <c r="N413" t="n">
        <v>0</v>
      </c>
      <c r="O413" t="n">
        <v>4</v>
      </c>
      <c r="P413" t="n">
        <v>0</v>
      </c>
      <c r="Q413" t="n">
        <v>5</v>
      </c>
      <c r="R413" s="2" t="inlineStr">
        <is>
          <t>Gammelgransskål
Garnlav
Lunglav
Skrovellav
Stuplav</t>
        </is>
      </c>
      <c r="S413">
        <f>HYPERLINK("https://klasma.github.io/Logging_RAGUNDA/artfynd/A 20384-2023.xlsx")</f>
        <v/>
      </c>
      <c r="T413">
        <f>HYPERLINK("https://klasma.github.io/Logging_RAGUNDA/kartor/A 20384-2023.png")</f>
        <v/>
      </c>
      <c r="V413">
        <f>HYPERLINK("https://klasma.github.io/Logging_RAGUNDA/klagomål/A 20384-2023.docx")</f>
        <v/>
      </c>
      <c r="W413">
        <f>HYPERLINK("https://klasma.github.io/Logging_RAGUNDA/klagomålsmail/A 20384-2023.docx")</f>
        <v/>
      </c>
      <c r="X413">
        <f>HYPERLINK("https://klasma.github.io/Logging_RAGUNDA/tillsyn/A 20384-2023.docx")</f>
        <v/>
      </c>
      <c r="Y413">
        <f>HYPERLINK("https://klasma.github.io/Logging_RAGUNDA/tillsynsmail/A 20384-2023.docx")</f>
        <v/>
      </c>
    </row>
    <row r="414" ht="15" customHeight="1">
      <c r="A414" t="inlineStr">
        <is>
          <t>A 23524-2023</t>
        </is>
      </c>
      <c r="B414" s="1" t="n">
        <v>45076</v>
      </c>
      <c r="C414" s="1" t="n">
        <v>45182</v>
      </c>
      <c r="D414" t="inlineStr">
        <is>
          <t>JÄMTLANDS LÄN</t>
        </is>
      </c>
      <c r="E414" t="inlineStr">
        <is>
          <t>STRÖMSUND</t>
        </is>
      </c>
      <c r="F414" t="inlineStr">
        <is>
          <t>SCA</t>
        </is>
      </c>
      <c r="G414" t="n">
        <v>12.5</v>
      </c>
      <c r="H414" t="n">
        <v>0</v>
      </c>
      <c r="I414" t="n">
        <v>1</v>
      </c>
      <c r="J414" t="n">
        <v>4</v>
      </c>
      <c r="K414" t="n">
        <v>0</v>
      </c>
      <c r="L414" t="n">
        <v>0</v>
      </c>
      <c r="M414" t="n">
        <v>0</v>
      </c>
      <c r="N414" t="n">
        <v>0</v>
      </c>
      <c r="O414" t="n">
        <v>4</v>
      </c>
      <c r="P414" t="n">
        <v>0</v>
      </c>
      <c r="Q414" t="n">
        <v>5</v>
      </c>
      <c r="R414" s="2" t="inlineStr">
        <is>
          <t>Garnlav
Kolflarnlav
Skrovellav
Vedskivlav
Dropptaggsvamp</t>
        </is>
      </c>
      <c r="S414">
        <f>HYPERLINK("https://klasma.github.io/Logging_STROMSUND/artfynd/A 23524-2023.xlsx")</f>
        <v/>
      </c>
      <c r="T414">
        <f>HYPERLINK("https://klasma.github.io/Logging_STROMSUND/kartor/A 23524-2023.png")</f>
        <v/>
      </c>
      <c r="V414">
        <f>HYPERLINK("https://klasma.github.io/Logging_STROMSUND/klagomål/A 23524-2023.docx")</f>
        <v/>
      </c>
      <c r="W414">
        <f>HYPERLINK("https://klasma.github.io/Logging_STROMSUND/klagomålsmail/A 23524-2023.docx")</f>
        <v/>
      </c>
      <c r="X414">
        <f>HYPERLINK("https://klasma.github.io/Logging_STROMSUND/tillsyn/A 23524-2023.docx")</f>
        <v/>
      </c>
      <c r="Y414">
        <f>HYPERLINK("https://klasma.github.io/Logging_STROMSUND/tillsynsmail/A 23524-2023.docx")</f>
        <v/>
      </c>
    </row>
    <row r="415" ht="15" customHeight="1">
      <c r="A415" t="inlineStr">
        <is>
          <t>A 25286-2023</t>
        </is>
      </c>
      <c r="B415" s="1" t="n">
        <v>45079</v>
      </c>
      <c r="C415" s="1" t="n">
        <v>45182</v>
      </c>
      <c r="D415" t="inlineStr">
        <is>
          <t>JÄMTLANDS LÄN</t>
        </is>
      </c>
      <c r="E415" t="inlineStr">
        <is>
          <t>KROKOM</t>
        </is>
      </c>
      <c r="G415" t="n">
        <v>11.4</v>
      </c>
      <c r="H415" t="n">
        <v>1</v>
      </c>
      <c r="I415" t="n">
        <v>2</v>
      </c>
      <c r="J415" t="n">
        <v>3</v>
      </c>
      <c r="K415" t="n">
        <v>0</v>
      </c>
      <c r="L415" t="n">
        <v>0</v>
      </c>
      <c r="M415" t="n">
        <v>0</v>
      </c>
      <c r="N415" t="n">
        <v>0</v>
      </c>
      <c r="O415" t="n">
        <v>3</v>
      </c>
      <c r="P415" t="n">
        <v>0</v>
      </c>
      <c r="Q415" t="n">
        <v>5</v>
      </c>
      <c r="R415" s="2" t="inlineStr">
        <is>
          <t>Garnlav
Gränsticka
Spillkråka
Blodticka
Trådticka</t>
        </is>
      </c>
      <c r="S415">
        <f>HYPERLINK("https://klasma.github.io/Logging_KROKOM/artfynd/A 25286-2023.xlsx")</f>
        <v/>
      </c>
      <c r="T415">
        <f>HYPERLINK("https://klasma.github.io/Logging_KROKOM/kartor/A 25286-2023.png")</f>
        <v/>
      </c>
      <c r="V415">
        <f>HYPERLINK("https://klasma.github.io/Logging_KROKOM/klagomål/A 25286-2023.docx")</f>
        <v/>
      </c>
      <c r="W415">
        <f>HYPERLINK("https://klasma.github.io/Logging_KROKOM/klagomålsmail/A 25286-2023.docx")</f>
        <v/>
      </c>
      <c r="X415">
        <f>HYPERLINK("https://klasma.github.io/Logging_KROKOM/tillsyn/A 25286-2023.docx")</f>
        <v/>
      </c>
      <c r="Y415">
        <f>HYPERLINK("https://klasma.github.io/Logging_KROKOM/tillsynsmail/A 25286-2023.docx")</f>
        <v/>
      </c>
    </row>
    <row r="416" ht="15" customHeight="1">
      <c r="A416" t="inlineStr">
        <is>
          <t>A 26406-2023</t>
        </is>
      </c>
      <c r="B416" s="1" t="n">
        <v>45089</v>
      </c>
      <c r="C416" s="1" t="n">
        <v>45182</v>
      </c>
      <c r="D416" t="inlineStr">
        <is>
          <t>JÄMTLANDS LÄN</t>
        </is>
      </c>
      <c r="E416" t="inlineStr">
        <is>
          <t>STRÖMSUND</t>
        </is>
      </c>
      <c r="G416" t="n">
        <v>12.8</v>
      </c>
      <c r="H416" t="n">
        <v>1</v>
      </c>
      <c r="I416" t="n">
        <v>1</v>
      </c>
      <c r="J416" t="n">
        <v>3</v>
      </c>
      <c r="K416" t="n">
        <v>1</v>
      </c>
      <c r="L416" t="n">
        <v>0</v>
      </c>
      <c r="M416" t="n">
        <v>0</v>
      </c>
      <c r="N416" t="n">
        <v>0</v>
      </c>
      <c r="O416" t="n">
        <v>4</v>
      </c>
      <c r="P416" t="n">
        <v>1</v>
      </c>
      <c r="Q416" t="n">
        <v>5</v>
      </c>
      <c r="R416" s="2" t="inlineStr">
        <is>
          <t>Knärot
Lunglav
Rosenticka
Vitgrynig nållav
Blodticka</t>
        </is>
      </c>
      <c r="S416">
        <f>HYPERLINK("https://klasma.github.io/Logging_STROMSUND/artfynd/A 26406-2023.xlsx")</f>
        <v/>
      </c>
      <c r="T416">
        <f>HYPERLINK("https://klasma.github.io/Logging_STROMSUND/kartor/A 26406-2023.png")</f>
        <v/>
      </c>
      <c r="U416">
        <f>HYPERLINK("https://klasma.github.io/Logging_STROMSUND/knärot/A 26406-2023.png")</f>
        <v/>
      </c>
      <c r="V416">
        <f>HYPERLINK("https://klasma.github.io/Logging_STROMSUND/klagomål/A 26406-2023.docx")</f>
        <v/>
      </c>
      <c r="W416">
        <f>HYPERLINK("https://klasma.github.io/Logging_STROMSUND/klagomålsmail/A 26406-2023.docx")</f>
        <v/>
      </c>
      <c r="X416">
        <f>HYPERLINK("https://klasma.github.io/Logging_STROMSUND/tillsyn/A 26406-2023.docx")</f>
        <v/>
      </c>
      <c r="Y416">
        <f>HYPERLINK("https://klasma.github.io/Logging_STROMSUND/tillsynsmail/A 26406-2023.docx")</f>
        <v/>
      </c>
    </row>
    <row r="417" ht="15" customHeight="1">
      <c r="A417" t="inlineStr">
        <is>
          <t>A 27779-2023</t>
        </is>
      </c>
      <c r="B417" s="1" t="n">
        <v>45093</v>
      </c>
      <c r="C417" s="1" t="n">
        <v>45182</v>
      </c>
      <c r="D417" t="inlineStr">
        <is>
          <t>JÄMTLANDS LÄN</t>
        </is>
      </c>
      <c r="E417" t="inlineStr">
        <is>
          <t>RAGUNDA</t>
        </is>
      </c>
      <c r="G417" t="n">
        <v>4.3</v>
      </c>
      <c r="H417" t="n">
        <v>1</v>
      </c>
      <c r="I417" t="n">
        <v>1</v>
      </c>
      <c r="J417" t="n">
        <v>3</v>
      </c>
      <c r="K417" t="n">
        <v>1</v>
      </c>
      <c r="L417" t="n">
        <v>0</v>
      </c>
      <c r="M417" t="n">
        <v>0</v>
      </c>
      <c r="N417" t="n">
        <v>0</v>
      </c>
      <c r="O417" t="n">
        <v>4</v>
      </c>
      <c r="P417" t="n">
        <v>1</v>
      </c>
      <c r="Q417" t="n">
        <v>5</v>
      </c>
      <c r="R417" s="2" t="inlineStr">
        <is>
          <t>Knärot
Barrviolspindling
Rödbrun klubbdyna
Äggvaxskivling
Svavelriska</t>
        </is>
      </c>
      <c r="S417">
        <f>HYPERLINK("https://klasma.github.io/Logging_RAGUNDA/artfynd/A 27779-2023.xlsx")</f>
        <v/>
      </c>
      <c r="T417">
        <f>HYPERLINK("https://klasma.github.io/Logging_RAGUNDA/kartor/A 27779-2023.png")</f>
        <v/>
      </c>
      <c r="U417">
        <f>HYPERLINK("https://klasma.github.io/Logging_RAGUNDA/knärot/A 27779-2023.png")</f>
        <v/>
      </c>
      <c r="V417">
        <f>HYPERLINK("https://klasma.github.io/Logging_RAGUNDA/klagomål/A 27779-2023.docx")</f>
        <v/>
      </c>
      <c r="W417">
        <f>HYPERLINK("https://klasma.github.io/Logging_RAGUNDA/klagomålsmail/A 27779-2023.docx")</f>
        <v/>
      </c>
      <c r="X417">
        <f>HYPERLINK("https://klasma.github.io/Logging_RAGUNDA/tillsyn/A 27779-2023.docx")</f>
        <v/>
      </c>
      <c r="Y417">
        <f>HYPERLINK("https://klasma.github.io/Logging_RAGUNDA/tillsynsmail/A 27779-2023.docx")</f>
        <v/>
      </c>
    </row>
    <row r="418" ht="15" customHeight="1">
      <c r="A418" t="inlineStr">
        <is>
          <t>A 29061-2023</t>
        </is>
      </c>
      <c r="B418" s="1" t="n">
        <v>45104</v>
      </c>
      <c r="C418" s="1" t="n">
        <v>45182</v>
      </c>
      <c r="D418" t="inlineStr">
        <is>
          <t>JÄMTLANDS LÄN</t>
        </is>
      </c>
      <c r="E418" t="inlineStr">
        <is>
          <t>STRÖMSUND</t>
        </is>
      </c>
      <c r="F418" t="inlineStr">
        <is>
          <t>SCA</t>
        </is>
      </c>
      <c r="G418" t="n">
        <v>5.2</v>
      </c>
      <c r="H418" t="n">
        <v>1</v>
      </c>
      <c r="I418" t="n">
        <v>0</v>
      </c>
      <c r="J418" t="n">
        <v>5</v>
      </c>
      <c r="K418" t="n">
        <v>0</v>
      </c>
      <c r="L418" t="n">
        <v>0</v>
      </c>
      <c r="M418" t="n">
        <v>0</v>
      </c>
      <c r="N418" t="n">
        <v>0</v>
      </c>
      <c r="O418" t="n">
        <v>5</v>
      </c>
      <c r="P418" t="n">
        <v>0</v>
      </c>
      <c r="Q418" t="n">
        <v>5</v>
      </c>
      <c r="R418" s="2" t="inlineStr">
        <is>
          <t>Gammelgransskål
Garnlav
Lunglav
Skrovellav
Tretåig hackspett</t>
        </is>
      </c>
      <c r="S418">
        <f>HYPERLINK("https://klasma.github.io/Logging_STROMSUND/artfynd/A 29061-2023.xlsx")</f>
        <v/>
      </c>
      <c r="T418">
        <f>HYPERLINK("https://klasma.github.io/Logging_STROMSUND/kartor/A 29061-2023.png")</f>
        <v/>
      </c>
      <c r="V418">
        <f>HYPERLINK("https://klasma.github.io/Logging_STROMSUND/klagomål/A 29061-2023.docx")</f>
        <v/>
      </c>
      <c r="W418">
        <f>HYPERLINK("https://klasma.github.io/Logging_STROMSUND/klagomålsmail/A 29061-2023.docx")</f>
        <v/>
      </c>
      <c r="X418">
        <f>HYPERLINK("https://klasma.github.io/Logging_STROMSUND/tillsyn/A 29061-2023.docx")</f>
        <v/>
      </c>
      <c r="Y418">
        <f>HYPERLINK("https://klasma.github.io/Logging_STROMSUND/tillsynsmail/A 29061-2023.docx")</f>
        <v/>
      </c>
    </row>
    <row r="419" ht="15" customHeight="1">
      <c r="A419" t="inlineStr">
        <is>
          <t>A 36207-2023</t>
        </is>
      </c>
      <c r="B419" s="1" t="n">
        <v>45149</v>
      </c>
      <c r="C419" s="1" t="n">
        <v>45182</v>
      </c>
      <c r="D419" t="inlineStr">
        <is>
          <t>JÄMTLANDS LÄN</t>
        </is>
      </c>
      <c r="E419" t="inlineStr">
        <is>
          <t>STRÖMSUND</t>
        </is>
      </c>
      <c r="F419" t="inlineStr">
        <is>
          <t>SCA</t>
        </is>
      </c>
      <c r="G419" t="n">
        <v>1</v>
      </c>
      <c r="H419" t="n">
        <v>3</v>
      </c>
      <c r="I419" t="n">
        <v>3</v>
      </c>
      <c r="J419" t="n">
        <v>1</v>
      </c>
      <c r="K419" t="n">
        <v>0</v>
      </c>
      <c r="L419" t="n">
        <v>0</v>
      </c>
      <c r="M419" t="n">
        <v>0</v>
      </c>
      <c r="N419" t="n">
        <v>0</v>
      </c>
      <c r="O419" t="n">
        <v>1</v>
      </c>
      <c r="P419" t="n">
        <v>0</v>
      </c>
      <c r="Q419" t="n">
        <v>5</v>
      </c>
      <c r="R419" s="2" t="inlineStr">
        <is>
          <t>Skogsfru
Barrfagerspindling
Kryddspindling
Tvåblad
Blåsippa</t>
        </is>
      </c>
      <c r="S419">
        <f>HYPERLINK("https://klasma.github.io/Logging_STROMSUND/artfynd/A 36207-2023.xlsx")</f>
        <v/>
      </c>
      <c r="T419">
        <f>HYPERLINK("https://klasma.github.io/Logging_STROMSUND/kartor/A 36207-2023.png")</f>
        <v/>
      </c>
      <c r="V419">
        <f>HYPERLINK("https://klasma.github.io/Logging_STROMSUND/klagomål/A 36207-2023.docx")</f>
        <v/>
      </c>
      <c r="W419">
        <f>HYPERLINK("https://klasma.github.io/Logging_STROMSUND/klagomålsmail/A 36207-2023.docx")</f>
        <v/>
      </c>
      <c r="X419">
        <f>HYPERLINK("https://klasma.github.io/Logging_STROMSUND/tillsyn/A 36207-2023.docx")</f>
        <v/>
      </c>
      <c r="Y419">
        <f>HYPERLINK("https://klasma.github.io/Logging_STROMSUND/tillsynsmail/A 36207-2023.docx")</f>
        <v/>
      </c>
    </row>
    <row r="420" ht="15" customHeight="1">
      <c r="A420" t="inlineStr">
        <is>
          <t>A 63268-2018</t>
        </is>
      </c>
      <c r="B420" s="1" t="n">
        <v>43426</v>
      </c>
      <c r="C420" s="1" t="n">
        <v>45182</v>
      </c>
      <c r="D420" t="inlineStr">
        <is>
          <t>JÄMTLANDS LÄN</t>
        </is>
      </c>
      <c r="E420" t="inlineStr">
        <is>
          <t>BERG</t>
        </is>
      </c>
      <c r="F420" t="inlineStr">
        <is>
          <t>SCA</t>
        </is>
      </c>
      <c r="G420" t="n">
        <v>9.1</v>
      </c>
      <c r="H420" t="n">
        <v>0</v>
      </c>
      <c r="I420" t="n">
        <v>1</v>
      </c>
      <c r="J420" t="n">
        <v>3</v>
      </c>
      <c r="K420" t="n">
        <v>0</v>
      </c>
      <c r="L420" t="n">
        <v>0</v>
      </c>
      <c r="M420" t="n">
        <v>0</v>
      </c>
      <c r="N420" t="n">
        <v>0</v>
      </c>
      <c r="O420" t="n">
        <v>3</v>
      </c>
      <c r="P420" t="n">
        <v>0</v>
      </c>
      <c r="Q420" t="n">
        <v>4</v>
      </c>
      <c r="R420" s="2" t="inlineStr">
        <is>
          <t>Garnlav
Lunglav
Skrovellav
Skinnlav</t>
        </is>
      </c>
      <c r="S420">
        <f>HYPERLINK("https://klasma.github.io/Logging_BERG/artfynd/A 63268-2018.xlsx")</f>
        <v/>
      </c>
      <c r="T420">
        <f>HYPERLINK("https://klasma.github.io/Logging_BERG/kartor/A 63268-2018.png")</f>
        <v/>
      </c>
      <c r="V420">
        <f>HYPERLINK("https://klasma.github.io/Logging_BERG/klagomål/A 63268-2018.docx")</f>
        <v/>
      </c>
      <c r="W420">
        <f>HYPERLINK("https://klasma.github.io/Logging_BERG/klagomålsmail/A 63268-2018.docx")</f>
        <v/>
      </c>
      <c r="X420">
        <f>HYPERLINK("https://klasma.github.io/Logging_BERG/tillsyn/A 63268-2018.docx")</f>
        <v/>
      </c>
      <c r="Y420">
        <f>HYPERLINK("https://klasma.github.io/Logging_BERG/tillsynsmail/A 63268-2018.docx")</f>
        <v/>
      </c>
    </row>
    <row r="421" ht="15" customHeight="1">
      <c r="A421" t="inlineStr">
        <is>
          <t>A 4904-2019</t>
        </is>
      </c>
      <c r="B421" s="1" t="n">
        <v>43479</v>
      </c>
      <c r="C421" s="1" t="n">
        <v>45182</v>
      </c>
      <c r="D421" t="inlineStr">
        <is>
          <t>JÄMTLANDS LÄN</t>
        </is>
      </c>
      <c r="E421" t="inlineStr">
        <is>
          <t>HÄRJEDALEN</t>
        </is>
      </c>
      <c r="F421" t="inlineStr">
        <is>
          <t>SCA</t>
        </is>
      </c>
      <c r="G421" t="n">
        <v>10.5</v>
      </c>
      <c r="H421" t="n">
        <v>1</v>
      </c>
      <c r="I421" t="n">
        <v>2</v>
      </c>
      <c r="J421" t="n">
        <v>1</v>
      </c>
      <c r="K421" t="n">
        <v>0</v>
      </c>
      <c r="L421" t="n">
        <v>1</v>
      </c>
      <c r="M421" t="n">
        <v>0</v>
      </c>
      <c r="N421" t="n">
        <v>0</v>
      </c>
      <c r="O421" t="n">
        <v>2</v>
      </c>
      <c r="P421" t="n">
        <v>1</v>
      </c>
      <c r="Q421" t="n">
        <v>4</v>
      </c>
      <c r="R421" s="2" t="inlineStr">
        <is>
          <t>Mosippa
Talltaggsvamp
Dropptaggsvamp
Skarp dropptaggsvamp</t>
        </is>
      </c>
      <c r="S421">
        <f>HYPERLINK("https://klasma.github.io/Logging_HARJEDALEN/artfynd/A 4904-2019.xlsx")</f>
        <v/>
      </c>
      <c r="T421">
        <f>HYPERLINK("https://klasma.github.io/Logging_HARJEDALEN/kartor/A 4904-2019.png")</f>
        <v/>
      </c>
      <c r="V421">
        <f>HYPERLINK("https://klasma.github.io/Logging_HARJEDALEN/klagomål/A 4904-2019.docx")</f>
        <v/>
      </c>
      <c r="W421">
        <f>HYPERLINK("https://klasma.github.io/Logging_HARJEDALEN/klagomålsmail/A 4904-2019.docx")</f>
        <v/>
      </c>
      <c r="X421">
        <f>HYPERLINK("https://klasma.github.io/Logging_HARJEDALEN/tillsyn/A 4904-2019.docx")</f>
        <v/>
      </c>
      <c r="Y421">
        <f>HYPERLINK("https://klasma.github.io/Logging_HARJEDALEN/tillsynsmail/A 4904-2019.docx")</f>
        <v/>
      </c>
    </row>
    <row r="422" ht="15" customHeight="1">
      <c r="A422" t="inlineStr">
        <is>
          <t>A 3647-2019</t>
        </is>
      </c>
      <c r="B422" s="1" t="n">
        <v>43481</v>
      </c>
      <c r="C422" s="1" t="n">
        <v>45182</v>
      </c>
      <c r="D422" t="inlineStr">
        <is>
          <t>JÄMTLANDS LÄN</t>
        </is>
      </c>
      <c r="E422" t="inlineStr">
        <is>
          <t>HÄRJEDALEN</t>
        </is>
      </c>
      <c r="F422" t="inlineStr">
        <is>
          <t>Holmen skog AB</t>
        </is>
      </c>
      <c r="G422" t="n">
        <v>30.7</v>
      </c>
      <c r="H422" t="n">
        <v>2</v>
      </c>
      <c r="I422" t="n">
        <v>1</v>
      </c>
      <c r="J422" t="n">
        <v>2</v>
      </c>
      <c r="K422" t="n">
        <v>1</v>
      </c>
      <c r="L422" t="n">
        <v>0</v>
      </c>
      <c r="M422" t="n">
        <v>0</v>
      </c>
      <c r="N422" t="n">
        <v>0</v>
      </c>
      <c r="O422" t="n">
        <v>3</v>
      </c>
      <c r="P422" t="n">
        <v>1</v>
      </c>
      <c r="Q422" t="n">
        <v>4</v>
      </c>
      <c r="R422" s="2" t="inlineStr">
        <is>
          <t>Knärot
Lunglav
Skrovellav
Korallrot</t>
        </is>
      </c>
      <c r="S422">
        <f>HYPERLINK("https://klasma.github.io/Logging_HARJEDALEN/artfynd/A 3647-2019.xlsx")</f>
        <v/>
      </c>
      <c r="T422">
        <f>HYPERLINK("https://klasma.github.io/Logging_HARJEDALEN/kartor/A 3647-2019.png")</f>
        <v/>
      </c>
      <c r="U422">
        <f>HYPERLINK("https://klasma.github.io/Logging_HARJEDALEN/knärot/A 3647-2019.png")</f>
        <v/>
      </c>
      <c r="V422">
        <f>HYPERLINK("https://klasma.github.io/Logging_HARJEDALEN/klagomål/A 3647-2019.docx")</f>
        <v/>
      </c>
      <c r="W422">
        <f>HYPERLINK("https://klasma.github.io/Logging_HARJEDALEN/klagomålsmail/A 3647-2019.docx")</f>
        <v/>
      </c>
      <c r="X422">
        <f>HYPERLINK("https://klasma.github.io/Logging_HARJEDALEN/tillsyn/A 3647-2019.docx")</f>
        <v/>
      </c>
      <c r="Y422">
        <f>HYPERLINK("https://klasma.github.io/Logging_HARJEDALEN/tillsynsmail/A 3647-2019.docx")</f>
        <v/>
      </c>
    </row>
    <row r="423" ht="15" customHeight="1">
      <c r="A423" t="inlineStr">
        <is>
          <t>A 12831-2019</t>
        </is>
      </c>
      <c r="B423" s="1" t="n">
        <v>43525</v>
      </c>
      <c r="C423" s="1" t="n">
        <v>45182</v>
      </c>
      <c r="D423" t="inlineStr">
        <is>
          <t>JÄMTLANDS LÄN</t>
        </is>
      </c>
      <c r="E423" t="inlineStr">
        <is>
          <t>HÄRJEDALEN</t>
        </is>
      </c>
      <c r="G423" t="n">
        <v>8.6</v>
      </c>
      <c r="H423" t="n">
        <v>0</v>
      </c>
      <c r="I423" t="n">
        <v>1</v>
      </c>
      <c r="J423" t="n">
        <v>3</v>
      </c>
      <c r="K423" t="n">
        <v>0</v>
      </c>
      <c r="L423" t="n">
        <v>0</v>
      </c>
      <c r="M423" t="n">
        <v>0</v>
      </c>
      <c r="N423" t="n">
        <v>0</v>
      </c>
      <c r="O423" t="n">
        <v>3</v>
      </c>
      <c r="P423" t="n">
        <v>0</v>
      </c>
      <c r="Q423" t="n">
        <v>4</v>
      </c>
      <c r="R423" s="2" t="inlineStr">
        <is>
          <t>Knottrig blåslav
Skrovellav
Vedskivlav
Stuplav</t>
        </is>
      </c>
      <c r="S423">
        <f>HYPERLINK("https://klasma.github.io/Logging_HARJEDALEN/artfynd/A 12831-2019.xlsx")</f>
        <v/>
      </c>
      <c r="T423">
        <f>HYPERLINK("https://klasma.github.io/Logging_HARJEDALEN/kartor/A 12831-2019.png")</f>
        <v/>
      </c>
      <c r="V423">
        <f>HYPERLINK("https://klasma.github.io/Logging_HARJEDALEN/klagomål/A 12831-2019.docx")</f>
        <v/>
      </c>
      <c r="W423">
        <f>HYPERLINK("https://klasma.github.io/Logging_HARJEDALEN/klagomålsmail/A 12831-2019.docx")</f>
        <v/>
      </c>
      <c r="X423">
        <f>HYPERLINK("https://klasma.github.io/Logging_HARJEDALEN/tillsyn/A 12831-2019.docx")</f>
        <v/>
      </c>
      <c r="Y423">
        <f>HYPERLINK("https://klasma.github.io/Logging_HARJEDALEN/tillsynsmail/A 12831-2019.docx")</f>
        <v/>
      </c>
    </row>
    <row r="424" ht="15" customHeight="1">
      <c r="A424" t="inlineStr">
        <is>
          <t>A 32051-2019</t>
        </is>
      </c>
      <c r="B424" s="1" t="n">
        <v>43643</v>
      </c>
      <c r="C424" s="1" t="n">
        <v>45182</v>
      </c>
      <c r="D424" t="inlineStr">
        <is>
          <t>JÄMTLANDS LÄN</t>
        </is>
      </c>
      <c r="E424" t="inlineStr">
        <is>
          <t>ÅRE</t>
        </is>
      </c>
      <c r="G424" t="n">
        <v>7.1</v>
      </c>
      <c r="H424" t="n">
        <v>2</v>
      </c>
      <c r="I424" t="n">
        <v>2</v>
      </c>
      <c r="J424" t="n">
        <v>1</v>
      </c>
      <c r="K424" t="n">
        <v>0</v>
      </c>
      <c r="L424" t="n">
        <v>0</v>
      </c>
      <c r="M424" t="n">
        <v>0</v>
      </c>
      <c r="N424" t="n">
        <v>0</v>
      </c>
      <c r="O424" t="n">
        <v>1</v>
      </c>
      <c r="P424" t="n">
        <v>0</v>
      </c>
      <c r="Q424" t="n">
        <v>4</v>
      </c>
      <c r="R424" s="2" t="inlineStr">
        <is>
          <t>Lunglav
Guckusko
Tibast
Blåsippa</t>
        </is>
      </c>
      <c r="S424">
        <f>HYPERLINK("https://klasma.github.io/Logging_ARE/artfynd/A 32051-2019.xlsx")</f>
        <v/>
      </c>
      <c r="T424">
        <f>HYPERLINK("https://klasma.github.io/Logging_ARE/kartor/A 32051-2019.png")</f>
        <v/>
      </c>
      <c r="V424">
        <f>HYPERLINK("https://klasma.github.io/Logging_ARE/klagomål/A 32051-2019.docx")</f>
        <v/>
      </c>
      <c r="W424">
        <f>HYPERLINK("https://klasma.github.io/Logging_ARE/klagomålsmail/A 32051-2019.docx")</f>
        <v/>
      </c>
      <c r="X424">
        <f>HYPERLINK("https://klasma.github.io/Logging_ARE/tillsyn/A 32051-2019.docx")</f>
        <v/>
      </c>
      <c r="Y424">
        <f>HYPERLINK("https://klasma.github.io/Logging_ARE/tillsynsmail/A 32051-2019.docx")</f>
        <v/>
      </c>
    </row>
    <row r="425" ht="15" customHeight="1">
      <c r="A425" t="inlineStr">
        <is>
          <t>A 34717-2019</t>
        </is>
      </c>
      <c r="B425" s="1" t="n">
        <v>43657</v>
      </c>
      <c r="C425" s="1" t="n">
        <v>45182</v>
      </c>
      <c r="D425" t="inlineStr">
        <is>
          <t>JÄMTLANDS LÄN</t>
        </is>
      </c>
      <c r="E425" t="inlineStr">
        <is>
          <t>ÅRE</t>
        </is>
      </c>
      <c r="G425" t="n">
        <v>14.4</v>
      </c>
      <c r="H425" t="n">
        <v>0</v>
      </c>
      <c r="I425" t="n">
        <v>1</v>
      </c>
      <c r="J425" t="n">
        <v>3</v>
      </c>
      <c r="K425" t="n">
        <v>0</v>
      </c>
      <c r="L425" t="n">
        <v>0</v>
      </c>
      <c r="M425" t="n">
        <v>0</v>
      </c>
      <c r="N425" t="n">
        <v>0</v>
      </c>
      <c r="O425" t="n">
        <v>3</v>
      </c>
      <c r="P425" t="n">
        <v>0</v>
      </c>
      <c r="Q425" t="n">
        <v>4</v>
      </c>
      <c r="R425" s="2" t="inlineStr">
        <is>
          <t>Blanksvart spiklav
Blågrå svartspik
Vedflamlav
Dropptaggsvamp</t>
        </is>
      </c>
      <c r="S425">
        <f>HYPERLINK("https://klasma.github.io/Logging_ARE/artfynd/A 34717-2019.xlsx")</f>
        <v/>
      </c>
      <c r="T425">
        <f>HYPERLINK("https://klasma.github.io/Logging_ARE/kartor/A 34717-2019.png")</f>
        <v/>
      </c>
      <c r="V425">
        <f>HYPERLINK("https://klasma.github.io/Logging_ARE/klagomål/A 34717-2019.docx")</f>
        <v/>
      </c>
      <c r="W425">
        <f>HYPERLINK("https://klasma.github.io/Logging_ARE/klagomålsmail/A 34717-2019.docx")</f>
        <v/>
      </c>
      <c r="X425">
        <f>HYPERLINK("https://klasma.github.io/Logging_ARE/tillsyn/A 34717-2019.docx")</f>
        <v/>
      </c>
      <c r="Y425">
        <f>HYPERLINK("https://klasma.github.io/Logging_ARE/tillsynsmail/A 34717-2019.docx")</f>
        <v/>
      </c>
    </row>
    <row r="426" ht="15" customHeight="1">
      <c r="A426" t="inlineStr">
        <is>
          <t>A 36209-2019</t>
        </is>
      </c>
      <c r="B426" s="1" t="n">
        <v>43669</v>
      </c>
      <c r="C426" s="1" t="n">
        <v>45182</v>
      </c>
      <c r="D426" t="inlineStr">
        <is>
          <t>JÄMTLANDS LÄN</t>
        </is>
      </c>
      <c r="E426" t="inlineStr">
        <is>
          <t>KROKOM</t>
        </is>
      </c>
      <c r="G426" t="n">
        <v>2.6</v>
      </c>
      <c r="H426" t="n">
        <v>3</v>
      </c>
      <c r="I426" t="n">
        <v>1</v>
      </c>
      <c r="J426" t="n">
        <v>1</v>
      </c>
      <c r="K426" t="n">
        <v>0</v>
      </c>
      <c r="L426" t="n">
        <v>0</v>
      </c>
      <c r="M426" t="n">
        <v>0</v>
      </c>
      <c r="N426" t="n">
        <v>0</v>
      </c>
      <c r="O426" t="n">
        <v>1</v>
      </c>
      <c r="P426" t="n">
        <v>0</v>
      </c>
      <c r="Q426" t="n">
        <v>4</v>
      </c>
      <c r="R426" s="2" t="inlineStr">
        <is>
          <t>Rosenfink
Svart trolldruva
Blåsippa
Gullviva</t>
        </is>
      </c>
      <c r="S426">
        <f>HYPERLINK("https://klasma.github.io/Logging_KROKOM/artfynd/A 36209-2019.xlsx")</f>
        <v/>
      </c>
      <c r="T426">
        <f>HYPERLINK("https://klasma.github.io/Logging_KROKOM/kartor/A 36209-2019.png")</f>
        <v/>
      </c>
      <c r="V426">
        <f>HYPERLINK("https://klasma.github.io/Logging_KROKOM/klagomål/A 36209-2019.docx")</f>
        <v/>
      </c>
      <c r="W426">
        <f>HYPERLINK("https://klasma.github.io/Logging_KROKOM/klagomålsmail/A 36209-2019.docx")</f>
        <v/>
      </c>
      <c r="X426">
        <f>HYPERLINK("https://klasma.github.io/Logging_KROKOM/tillsyn/A 36209-2019.docx")</f>
        <v/>
      </c>
      <c r="Y426">
        <f>HYPERLINK("https://klasma.github.io/Logging_KROKOM/tillsynsmail/A 36209-2019.docx")</f>
        <v/>
      </c>
    </row>
    <row r="427" ht="15" customHeight="1">
      <c r="A427" t="inlineStr">
        <is>
          <t>A 36192-2019</t>
        </is>
      </c>
      <c r="B427" s="1" t="n">
        <v>43669</v>
      </c>
      <c r="C427" s="1" t="n">
        <v>45182</v>
      </c>
      <c r="D427" t="inlineStr">
        <is>
          <t>JÄMTLANDS LÄN</t>
        </is>
      </c>
      <c r="E427" t="inlineStr">
        <is>
          <t>KROKOM</t>
        </is>
      </c>
      <c r="G427" t="n">
        <v>2.6</v>
      </c>
      <c r="H427" t="n">
        <v>3</v>
      </c>
      <c r="I427" t="n">
        <v>1</v>
      </c>
      <c r="J427" t="n">
        <v>1</v>
      </c>
      <c r="K427" t="n">
        <v>0</v>
      </c>
      <c r="L427" t="n">
        <v>0</v>
      </c>
      <c r="M427" t="n">
        <v>0</v>
      </c>
      <c r="N427" t="n">
        <v>0</v>
      </c>
      <c r="O427" t="n">
        <v>1</v>
      </c>
      <c r="P427" t="n">
        <v>0</v>
      </c>
      <c r="Q427" t="n">
        <v>4</v>
      </c>
      <c r="R427" s="2" t="inlineStr">
        <is>
          <t>Rosenfink
Svart trolldruva
Blåsippa
Gullviva</t>
        </is>
      </c>
      <c r="S427">
        <f>HYPERLINK("https://klasma.github.io/Logging_KROKOM/artfynd/A 36192-2019.xlsx")</f>
        <v/>
      </c>
      <c r="T427">
        <f>HYPERLINK("https://klasma.github.io/Logging_KROKOM/kartor/A 36192-2019.png")</f>
        <v/>
      </c>
      <c r="V427">
        <f>HYPERLINK("https://klasma.github.io/Logging_KROKOM/klagomål/A 36192-2019.docx")</f>
        <v/>
      </c>
      <c r="W427">
        <f>HYPERLINK("https://klasma.github.io/Logging_KROKOM/klagomålsmail/A 36192-2019.docx")</f>
        <v/>
      </c>
      <c r="X427">
        <f>HYPERLINK("https://klasma.github.io/Logging_KROKOM/tillsyn/A 36192-2019.docx")</f>
        <v/>
      </c>
      <c r="Y427">
        <f>HYPERLINK("https://klasma.github.io/Logging_KROKOM/tillsynsmail/A 36192-2019.docx")</f>
        <v/>
      </c>
    </row>
    <row r="428" ht="15" customHeight="1">
      <c r="A428" t="inlineStr">
        <is>
          <t>A 36377-2019</t>
        </is>
      </c>
      <c r="B428" s="1" t="n">
        <v>43670</v>
      </c>
      <c r="C428" s="1" t="n">
        <v>45182</v>
      </c>
      <c r="D428" t="inlineStr">
        <is>
          <t>JÄMTLANDS LÄN</t>
        </is>
      </c>
      <c r="E428" t="inlineStr">
        <is>
          <t>KROKOM</t>
        </is>
      </c>
      <c r="G428" t="n">
        <v>36.9</v>
      </c>
      <c r="H428" t="n">
        <v>0</v>
      </c>
      <c r="I428" t="n">
        <v>3</v>
      </c>
      <c r="J428" t="n">
        <v>1</v>
      </c>
      <c r="K428" t="n">
        <v>0</v>
      </c>
      <c r="L428" t="n">
        <v>0</v>
      </c>
      <c r="M428" t="n">
        <v>0</v>
      </c>
      <c r="N428" t="n">
        <v>0</v>
      </c>
      <c r="O428" t="n">
        <v>1</v>
      </c>
      <c r="P428" t="n">
        <v>0</v>
      </c>
      <c r="Q428" t="n">
        <v>4</v>
      </c>
      <c r="R428" s="2" t="inlineStr">
        <is>
          <t>Doftskinn
Dvärghäxört
Kambräken
Mörk husmossa</t>
        </is>
      </c>
      <c r="S428">
        <f>HYPERLINK("https://klasma.github.io/Logging_KROKOM/artfynd/A 36377-2019.xlsx")</f>
        <v/>
      </c>
      <c r="T428">
        <f>HYPERLINK("https://klasma.github.io/Logging_KROKOM/kartor/A 36377-2019.png")</f>
        <v/>
      </c>
      <c r="V428">
        <f>HYPERLINK("https://klasma.github.io/Logging_KROKOM/klagomål/A 36377-2019.docx")</f>
        <v/>
      </c>
      <c r="W428">
        <f>HYPERLINK("https://klasma.github.io/Logging_KROKOM/klagomålsmail/A 36377-2019.docx")</f>
        <v/>
      </c>
      <c r="X428">
        <f>HYPERLINK("https://klasma.github.io/Logging_KROKOM/tillsyn/A 36377-2019.docx")</f>
        <v/>
      </c>
      <c r="Y428">
        <f>HYPERLINK("https://klasma.github.io/Logging_KROKOM/tillsynsmail/A 36377-2019.docx")</f>
        <v/>
      </c>
    </row>
    <row r="429" ht="15" customHeight="1">
      <c r="A429" t="inlineStr">
        <is>
          <t>A 42079-2019</t>
        </is>
      </c>
      <c r="B429" s="1" t="n">
        <v>43700</v>
      </c>
      <c r="C429" s="1" t="n">
        <v>45182</v>
      </c>
      <c r="D429" t="inlineStr">
        <is>
          <t>JÄMTLANDS LÄN</t>
        </is>
      </c>
      <c r="E429" t="inlineStr">
        <is>
          <t>BRÄCKE</t>
        </is>
      </c>
      <c r="F429" t="inlineStr">
        <is>
          <t>SCA</t>
        </is>
      </c>
      <c r="G429" t="n">
        <v>6.3</v>
      </c>
      <c r="H429" t="n">
        <v>1</v>
      </c>
      <c r="I429" t="n">
        <v>1</v>
      </c>
      <c r="J429" t="n">
        <v>3</v>
      </c>
      <c r="K429" t="n">
        <v>0</v>
      </c>
      <c r="L429" t="n">
        <v>0</v>
      </c>
      <c r="M429" t="n">
        <v>0</v>
      </c>
      <c r="N429" t="n">
        <v>0</v>
      </c>
      <c r="O429" t="n">
        <v>3</v>
      </c>
      <c r="P429" t="n">
        <v>0</v>
      </c>
      <c r="Q429" t="n">
        <v>4</v>
      </c>
      <c r="R429" s="2" t="inlineStr">
        <is>
          <t>Garnlav
Lunglav
Tretåig hackspett
Korallblylav</t>
        </is>
      </c>
      <c r="S429">
        <f>HYPERLINK("https://klasma.github.io/Logging_BRACKE/artfynd/A 42079-2019.xlsx")</f>
        <v/>
      </c>
      <c r="T429">
        <f>HYPERLINK("https://klasma.github.io/Logging_BRACKE/kartor/A 42079-2019.png")</f>
        <v/>
      </c>
      <c r="V429">
        <f>HYPERLINK("https://klasma.github.io/Logging_BRACKE/klagomål/A 42079-2019.docx")</f>
        <v/>
      </c>
      <c r="W429">
        <f>HYPERLINK("https://klasma.github.io/Logging_BRACKE/klagomålsmail/A 42079-2019.docx")</f>
        <v/>
      </c>
      <c r="X429">
        <f>HYPERLINK("https://klasma.github.io/Logging_BRACKE/tillsyn/A 42079-2019.docx")</f>
        <v/>
      </c>
      <c r="Y429">
        <f>HYPERLINK("https://klasma.github.io/Logging_BRACKE/tillsynsmail/A 42079-2019.docx")</f>
        <v/>
      </c>
    </row>
    <row r="430" ht="15" customHeight="1">
      <c r="A430" t="inlineStr">
        <is>
          <t>A 42426-2019</t>
        </is>
      </c>
      <c r="B430" s="1" t="n">
        <v>43703</v>
      </c>
      <c r="C430" s="1" t="n">
        <v>45182</v>
      </c>
      <c r="D430" t="inlineStr">
        <is>
          <t>JÄMTLANDS LÄN</t>
        </is>
      </c>
      <c r="E430" t="inlineStr">
        <is>
          <t>STRÖMSUND</t>
        </is>
      </c>
      <c r="F430" t="inlineStr">
        <is>
          <t>SCA</t>
        </is>
      </c>
      <c r="G430" t="n">
        <v>7.6</v>
      </c>
      <c r="H430" t="n">
        <v>0</v>
      </c>
      <c r="I430" t="n">
        <v>1</v>
      </c>
      <c r="J430" t="n">
        <v>3</v>
      </c>
      <c r="K430" t="n">
        <v>0</v>
      </c>
      <c r="L430" t="n">
        <v>0</v>
      </c>
      <c r="M430" t="n">
        <v>0</v>
      </c>
      <c r="N430" t="n">
        <v>0</v>
      </c>
      <c r="O430" t="n">
        <v>3</v>
      </c>
      <c r="P430" t="n">
        <v>0</v>
      </c>
      <c r="Q430" t="n">
        <v>4</v>
      </c>
      <c r="R430" s="2" t="inlineStr">
        <is>
          <t>Gammelgransskål
Gränsticka
Ullticka
Trådticka</t>
        </is>
      </c>
      <c r="S430">
        <f>HYPERLINK("https://klasma.github.io/Logging_STROMSUND/artfynd/A 42426-2019.xlsx")</f>
        <v/>
      </c>
      <c r="T430">
        <f>HYPERLINK("https://klasma.github.io/Logging_STROMSUND/kartor/A 42426-2019.png")</f>
        <v/>
      </c>
      <c r="V430">
        <f>HYPERLINK("https://klasma.github.io/Logging_STROMSUND/klagomål/A 42426-2019.docx")</f>
        <v/>
      </c>
      <c r="W430">
        <f>HYPERLINK("https://klasma.github.io/Logging_STROMSUND/klagomålsmail/A 42426-2019.docx")</f>
        <v/>
      </c>
      <c r="X430">
        <f>HYPERLINK("https://klasma.github.io/Logging_STROMSUND/tillsyn/A 42426-2019.docx")</f>
        <v/>
      </c>
      <c r="Y430">
        <f>HYPERLINK("https://klasma.github.io/Logging_STROMSUND/tillsynsmail/A 42426-2019.docx")</f>
        <v/>
      </c>
    </row>
    <row r="431" ht="15" customHeight="1">
      <c r="A431" t="inlineStr">
        <is>
          <t>A 43202-2019</t>
        </is>
      </c>
      <c r="B431" s="1" t="n">
        <v>43705</v>
      </c>
      <c r="C431" s="1" t="n">
        <v>45182</v>
      </c>
      <c r="D431" t="inlineStr">
        <is>
          <t>JÄMTLANDS LÄN</t>
        </is>
      </c>
      <c r="E431" t="inlineStr">
        <is>
          <t>KROKOM</t>
        </is>
      </c>
      <c r="F431" t="inlineStr">
        <is>
          <t>SCA</t>
        </is>
      </c>
      <c r="G431" t="n">
        <v>4.3</v>
      </c>
      <c r="H431" t="n">
        <v>0</v>
      </c>
      <c r="I431" t="n">
        <v>1</v>
      </c>
      <c r="J431" t="n">
        <v>2</v>
      </c>
      <c r="K431" t="n">
        <v>1</v>
      </c>
      <c r="L431" t="n">
        <v>0</v>
      </c>
      <c r="M431" t="n">
        <v>0</v>
      </c>
      <c r="N431" t="n">
        <v>0</v>
      </c>
      <c r="O431" t="n">
        <v>3</v>
      </c>
      <c r="P431" t="n">
        <v>1</v>
      </c>
      <c r="Q431" t="n">
        <v>4</v>
      </c>
      <c r="R431" s="2" t="inlineStr">
        <is>
          <t>Gräddporing
Nordtagging
Vedtrappmossa
Luddlav</t>
        </is>
      </c>
      <c r="S431">
        <f>HYPERLINK("https://klasma.github.io/Logging_KROKOM/artfynd/A 43202-2019.xlsx")</f>
        <v/>
      </c>
      <c r="T431">
        <f>HYPERLINK("https://klasma.github.io/Logging_KROKOM/kartor/A 43202-2019.png")</f>
        <v/>
      </c>
      <c r="V431">
        <f>HYPERLINK("https://klasma.github.io/Logging_KROKOM/klagomål/A 43202-2019.docx")</f>
        <v/>
      </c>
      <c r="W431">
        <f>HYPERLINK("https://klasma.github.io/Logging_KROKOM/klagomålsmail/A 43202-2019.docx")</f>
        <v/>
      </c>
      <c r="X431">
        <f>HYPERLINK("https://klasma.github.io/Logging_KROKOM/tillsyn/A 43202-2019.docx")</f>
        <v/>
      </c>
      <c r="Y431">
        <f>HYPERLINK("https://klasma.github.io/Logging_KROKOM/tillsynsmail/A 43202-2019.docx")</f>
        <v/>
      </c>
    </row>
    <row r="432" ht="15" customHeight="1">
      <c r="A432" t="inlineStr">
        <is>
          <t>A 49140-2019</t>
        </is>
      </c>
      <c r="B432" s="1" t="n">
        <v>43731</v>
      </c>
      <c r="C432" s="1" t="n">
        <v>45182</v>
      </c>
      <c r="D432" t="inlineStr">
        <is>
          <t>JÄMTLANDS LÄN</t>
        </is>
      </c>
      <c r="E432" t="inlineStr">
        <is>
          <t>KROKOM</t>
        </is>
      </c>
      <c r="G432" t="n">
        <v>13.3</v>
      </c>
      <c r="H432" t="n">
        <v>1</v>
      </c>
      <c r="I432" t="n">
        <v>1</v>
      </c>
      <c r="J432" t="n">
        <v>3</v>
      </c>
      <c r="K432" t="n">
        <v>0</v>
      </c>
      <c r="L432" t="n">
        <v>0</v>
      </c>
      <c r="M432" t="n">
        <v>0</v>
      </c>
      <c r="N432" t="n">
        <v>0</v>
      </c>
      <c r="O432" t="n">
        <v>3</v>
      </c>
      <c r="P432" t="n">
        <v>0</v>
      </c>
      <c r="Q432" t="n">
        <v>4</v>
      </c>
      <c r="R432" s="2" t="inlineStr">
        <is>
          <t>Granticka
Skogshare
Tretåig hackspett
Trådticka</t>
        </is>
      </c>
      <c r="S432">
        <f>HYPERLINK("https://klasma.github.io/Logging_KROKOM/artfynd/A 49140-2019.xlsx")</f>
        <v/>
      </c>
      <c r="T432">
        <f>HYPERLINK("https://klasma.github.io/Logging_KROKOM/kartor/A 49140-2019.png")</f>
        <v/>
      </c>
      <c r="V432">
        <f>HYPERLINK("https://klasma.github.io/Logging_KROKOM/klagomål/A 49140-2019.docx")</f>
        <v/>
      </c>
      <c r="W432">
        <f>HYPERLINK("https://klasma.github.io/Logging_KROKOM/klagomålsmail/A 49140-2019.docx")</f>
        <v/>
      </c>
      <c r="X432">
        <f>HYPERLINK("https://klasma.github.io/Logging_KROKOM/tillsyn/A 49140-2019.docx")</f>
        <v/>
      </c>
      <c r="Y432">
        <f>HYPERLINK("https://klasma.github.io/Logging_KROKOM/tillsynsmail/A 49140-2019.docx")</f>
        <v/>
      </c>
    </row>
    <row r="433" ht="15" customHeight="1">
      <c r="A433" t="inlineStr">
        <is>
          <t>A 49097-2019</t>
        </is>
      </c>
      <c r="B433" s="1" t="n">
        <v>43731</v>
      </c>
      <c r="C433" s="1" t="n">
        <v>45182</v>
      </c>
      <c r="D433" t="inlineStr">
        <is>
          <t>JÄMTLANDS LÄN</t>
        </is>
      </c>
      <c r="E433" t="inlineStr">
        <is>
          <t>KROKOM</t>
        </is>
      </c>
      <c r="G433" t="n">
        <v>31.3</v>
      </c>
      <c r="H433" t="n">
        <v>0</v>
      </c>
      <c r="I433" t="n">
        <v>0</v>
      </c>
      <c r="J433" t="n">
        <v>4</v>
      </c>
      <c r="K433" t="n">
        <v>0</v>
      </c>
      <c r="L433" t="n">
        <v>0</v>
      </c>
      <c r="M433" t="n">
        <v>0</v>
      </c>
      <c r="N433" t="n">
        <v>0</v>
      </c>
      <c r="O433" t="n">
        <v>4</v>
      </c>
      <c r="P433" t="n">
        <v>0</v>
      </c>
      <c r="Q433" t="n">
        <v>4</v>
      </c>
      <c r="R433" s="2" t="inlineStr">
        <is>
          <t>Garnlav
Granticka
Gränsticka
Vitgrynig nållav</t>
        </is>
      </c>
      <c r="S433">
        <f>HYPERLINK("https://klasma.github.io/Logging_KROKOM/artfynd/A 49097-2019.xlsx")</f>
        <v/>
      </c>
      <c r="T433">
        <f>HYPERLINK("https://klasma.github.io/Logging_KROKOM/kartor/A 49097-2019.png")</f>
        <v/>
      </c>
      <c r="V433">
        <f>HYPERLINK("https://klasma.github.io/Logging_KROKOM/klagomål/A 49097-2019.docx")</f>
        <v/>
      </c>
      <c r="W433">
        <f>HYPERLINK("https://klasma.github.io/Logging_KROKOM/klagomålsmail/A 49097-2019.docx")</f>
        <v/>
      </c>
      <c r="X433">
        <f>HYPERLINK("https://klasma.github.io/Logging_KROKOM/tillsyn/A 49097-2019.docx")</f>
        <v/>
      </c>
      <c r="Y433">
        <f>HYPERLINK("https://klasma.github.io/Logging_KROKOM/tillsynsmail/A 49097-2019.docx")</f>
        <v/>
      </c>
    </row>
    <row r="434" ht="15" customHeight="1">
      <c r="A434" t="inlineStr">
        <is>
          <t>A 49169-2019</t>
        </is>
      </c>
      <c r="B434" s="1" t="n">
        <v>43731</v>
      </c>
      <c r="C434" s="1" t="n">
        <v>45182</v>
      </c>
      <c r="D434" t="inlineStr">
        <is>
          <t>JÄMTLANDS LÄN</t>
        </is>
      </c>
      <c r="E434" t="inlineStr">
        <is>
          <t>KROKOM</t>
        </is>
      </c>
      <c r="G434" t="n">
        <v>3.5</v>
      </c>
      <c r="H434" t="n">
        <v>1</v>
      </c>
      <c r="I434" t="n">
        <v>1</v>
      </c>
      <c r="J434" t="n">
        <v>3</v>
      </c>
      <c r="K434" t="n">
        <v>0</v>
      </c>
      <c r="L434" t="n">
        <v>0</v>
      </c>
      <c r="M434" t="n">
        <v>0</v>
      </c>
      <c r="N434" t="n">
        <v>0</v>
      </c>
      <c r="O434" t="n">
        <v>3</v>
      </c>
      <c r="P434" t="n">
        <v>0</v>
      </c>
      <c r="Q434" t="n">
        <v>4</v>
      </c>
      <c r="R434" s="2" t="inlineStr">
        <is>
          <t>Granticka
Tretåig hackspett
Ullticka
Trådticka</t>
        </is>
      </c>
      <c r="S434">
        <f>HYPERLINK("https://klasma.github.io/Logging_KROKOM/artfynd/A 49169-2019.xlsx")</f>
        <v/>
      </c>
      <c r="T434">
        <f>HYPERLINK("https://klasma.github.io/Logging_KROKOM/kartor/A 49169-2019.png")</f>
        <v/>
      </c>
      <c r="V434">
        <f>HYPERLINK("https://klasma.github.io/Logging_KROKOM/klagomål/A 49169-2019.docx")</f>
        <v/>
      </c>
      <c r="W434">
        <f>HYPERLINK("https://klasma.github.io/Logging_KROKOM/klagomålsmail/A 49169-2019.docx")</f>
        <v/>
      </c>
      <c r="X434">
        <f>HYPERLINK("https://klasma.github.io/Logging_KROKOM/tillsyn/A 49169-2019.docx")</f>
        <v/>
      </c>
      <c r="Y434">
        <f>HYPERLINK("https://klasma.github.io/Logging_KROKOM/tillsynsmail/A 49169-2019.docx")</f>
        <v/>
      </c>
    </row>
    <row r="435" ht="15" customHeight="1">
      <c r="A435" t="inlineStr">
        <is>
          <t>A 63750-2019</t>
        </is>
      </c>
      <c r="B435" s="1" t="n">
        <v>43795</v>
      </c>
      <c r="C435" s="1" t="n">
        <v>45182</v>
      </c>
      <c r="D435" t="inlineStr">
        <is>
          <t>JÄMTLANDS LÄN</t>
        </is>
      </c>
      <c r="E435" t="inlineStr">
        <is>
          <t>HÄRJEDALEN</t>
        </is>
      </c>
      <c r="F435" t="inlineStr">
        <is>
          <t>Sveaskog</t>
        </is>
      </c>
      <c r="G435" t="n">
        <v>5.6</v>
      </c>
      <c r="H435" t="n">
        <v>1</v>
      </c>
      <c r="I435" t="n">
        <v>1</v>
      </c>
      <c r="J435" t="n">
        <v>2</v>
      </c>
      <c r="K435" t="n">
        <v>0</v>
      </c>
      <c r="L435" t="n">
        <v>0</v>
      </c>
      <c r="M435" t="n">
        <v>0</v>
      </c>
      <c r="N435" t="n">
        <v>0</v>
      </c>
      <c r="O435" t="n">
        <v>2</v>
      </c>
      <c r="P435" t="n">
        <v>0</v>
      </c>
      <c r="Q435" t="n">
        <v>4</v>
      </c>
      <c r="R435" s="2" t="inlineStr">
        <is>
          <t>Garnlav
Lunglav
Stuplav
Revlummer</t>
        </is>
      </c>
      <c r="S435">
        <f>HYPERLINK("https://klasma.github.io/Logging_HARJEDALEN/artfynd/A 63750-2019.xlsx")</f>
        <v/>
      </c>
      <c r="T435">
        <f>HYPERLINK("https://klasma.github.io/Logging_HARJEDALEN/kartor/A 63750-2019.png")</f>
        <v/>
      </c>
      <c r="V435">
        <f>HYPERLINK("https://klasma.github.io/Logging_HARJEDALEN/klagomål/A 63750-2019.docx")</f>
        <v/>
      </c>
      <c r="W435">
        <f>HYPERLINK("https://klasma.github.io/Logging_HARJEDALEN/klagomålsmail/A 63750-2019.docx")</f>
        <v/>
      </c>
      <c r="X435">
        <f>HYPERLINK("https://klasma.github.io/Logging_HARJEDALEN/tillsyn/A 63750-2019.docx")</f>
        <v/>
      </c>
      <c r="Y435">
        <f>HYPERLINK("https://klasma.github.io/Logging_HARJEDALEN/tillsynsmail/A 63750-2019.docx")</f>
        <v/>
      </c>
    </row>
    <row r="436" ht="15" customHeight="1">
      <c r="A436" t="inlineStr">
        <is>
          <t>A 68086-2019</t>
        </is>
      </c>
      <c r="B436" s="1" t="n">
        <v>43816</v>
      </c>
      <c r="C436" s="1" t="n">
        <v>45182</v>
      </c>
      <c r="D436" t="inlineStr">
        <is>
          <t>JÄMTLANDS LÄN</t>
        </is>
      </c>
      <c r="E436" t="inlineStr">
        <is>
          <t>KROKOM</t>
        </is>
      </c>
      <c r="F436" t="inlineStr">
        <is>
          <t>SCA</t>
        </is>
      </c>
      <c r="G436" t="n">
        <v>2.5</v>
      </c>
      <c r="H436" t="n">
        <v>0</v>
      </c>
      <c r="I436" t="n">
        <v>0</v>
      </c>
      <c r="J436" t="n">
        <v>4</v>
      </c>
      <c r="K436" t="n">
        <v>0</v>
      </c>
      <c r="L436" t="n">
        <v>0</v>
      </c>
      <c r="M436" t="n">
        <v>0</v>
      </c>
      <c r="N436" t="n">
        <v>0</v>
      </c>
      <c r="O436" t="n">
        <v>4</v>
      </c>
      <c r="P436" t="n">
        <v>0</v>
      </c>
      <c r="Q436" t="n">
        <v>4</v>
      </c>
      <c r="R436" s="2" t="inlineStr">
        <is>
          <t>Garnlav
Lunglav
Skrovellav
Tallticka</t>
        </is>
      </c>
      <c r="S436">
        <f>HYPERLINK("https://klasma.github.io/Logging_KROKOM/artfynd/A 68086-2019.xlsx")</f>
        <v/>
      </c>
      <c r="T436">
        <f>HYPERLINK("https://klasma.github.io/Logging_KROKOM/kartor/A 68086-2019.png")</f>
        <v/>
      </c>
      <c r="V436">
        <f>HYPERLINK("https://klasma.github.io/Logging_KROKOM/klagomål/A 68086-2019.docx")</f>
        <v/>
      </c>
      <c r="W436">
        <f>HYPERLINK("https://klasma.github.io/Logging_KROKOM/klagomålsmail/A 68086-2019.docx")</f>
        <v/>
      </c>
      <c r="X436">
        <f>HYPERLINK("https://klasma.github.io/Logging_KROKOM/tillsyn/A 68086-2019.docx")</f>
        <v/>
      </c>
      <c r="Y436">
        <f>HYPERLINK("https://klasma.github.io/Logging_KROKOM/tillsynsmail/A 68086-2019.docx")</f>
        <v/>
      </c>
    </row>
    <row r="437" ht="15" customHeight="1">
      <c r="A437" t="inlineStr">
        <is>
          <t>A 68311-2019</t>
        </is>
      </c>
      <c r="B437" s="1" t="n">
        <v>43817</v>
      </c>
      <c r="C437" s="1" t="n">
        <v>45182</v>
      </c>
      <c r="D437" t="inlineStr">
        <is>
          <t>JÄMTLANDS LÄN</t>
        </is>
      </c>
      <c r="E437" t="inlineStr">
        <is>
          <t>KROKOM</t>
        </is>
      </c>
      <c r="F437" t="inlineStr">
        <is>
          <t>SCA</t>
        </is>
      </c>
      <c r="G437" t="n">
        <v>5.7</v>
      </c>
      <c r="H437" t="n">
        <v>0</v>
      </c>
      <c r="I437" t="n">
        <v>1</v>
      </c>
      <c r="J437" t="n">
        <v>3</v>
      </c>
      <c r="K437" t="n">
        <v>0</v>
      </c>
      <c r="L437" t="n">
        <v>0</v>
      </c>
      <c r="M437" t="n">
        <v>0</v>
      </c>
      <c r="N437" t="n">
        <v>0</v>
      </c>
      <c r="O437" t="n">
        <v>3</v>
      </c>
      <c r="P437" t="n">
        <v>0</v>
      </c>
      <c r="Q437" t="n">
        <v>4</v>
      </c>
      <c r="R437" s="2" t="inlineStr">
        <is>
          <t>Garnlav
Kolflarnlav
Vedskivlav
Norrlandslav</t>
        </is>
      </c>
      <c r="S437">
        <f>HYPERLINK("https://klasma.github.io/Logging_KROKOM/artfynd/A 68311-2019.xlsx")</f>
        <v/>
      </c>
      <c r="T437">
        <f>HYPERLINK("https://klasma.github.io/Logging_KROKOM/kartor/A 68311-2019.png")</f>
        <v/>
      </c>
      <c r="V437">
        <f>HYPERLINK("https://klasma.github.io/Logging_KROKOM/klagomål/A 68311-2019.docx")</f>
        <v/>
      </c>
      <c r="W437">
        <f>HYPERLINK("https://klasma.github.io/Logging_KROKOM/klagomålsmail/A 68311-2019.docx")</f>
        <v/>
      </c>
      <c r="X437">
        <f>HYPERLINK("https://klasma.github.io/Logging_KROKOM/tillsyn/A 68311-2019.docx")</f>
        <v/>
      </c>
      <c r="Y437">
        <f>HYPERLINK("https://klasma.github.io/Logging_KROKOM/tillsynsmail/A 68311-2019.docx")</f>
        <v/>
      </c>
    </row>
    <row r="438" ht="15" customHeight="1">
      <c r="A438" t="inlineStr">
        <is>
          <t>A 1781-2020</t>
        </is>
      </c>
      <c r="B438" s="1" t="n">
        <v>43844</v>
      </c>
      <c r="C438" s="1" t="n">
        <v>45182</v>
      </c>
      <c r="D438" t="inlineStr">
        <is>
          <t>JÄMTLANDS LÄN</t>
        </is>
      </c>
      <c r="E438" t="inlineStr">
        <is>
          <t>ÅRE</t>
        </is>
      </c>
      <c r="G438" t="n">
        <v>9.300000000000001</v>
      </c>
      <c r="H438" t="n">
        <v>0</v>
      </c>
      <c r="I438" t="n">
        <v>3</v>
      </c>
      <c r="J438" t="n">
        <v>1</v>
      </c>
      <c r="K438" t="n">
        <v>0</v>
      </c>
      <c r="L438" t="n">
        <v>0</v>
      </c>
      <c r="M438" t="n">
        <v>0</v>
      </c>
      <c r="N438" t="n">
        <v>0</v>
      </c>
      <c r="O438" t="n">
        <v>1</v>
      </c>
      <c r="P438" t="n">
        <v>0</v>
      </c>
      <c r="Q438" t="n">
        <v>4</v>
      </c>
      <c r="R438" s="2" t="inlineStr">
        <is>
          <t>Vitgrynig nållav
Kransrams
Kryddspindling
Svavelriska</t>
        </is>
      </c>
      <c r="S438">
        <f>HYPERLINK("https://klasma.github.io/Logging_ARE/artfynd/A 1781-2020.xlsx")</f>
        <v/>
      </c>
      <c r="T438">
        <f>HYPERLINK("https://klasma.github.io/Logging_ARE/kartor/A 1781-2020.png")</f>
        <v/>
      </c>
      <c r="V438">
        <f>HYPERLINK("https://klasma.github.io/Logging_ARE/klagomål/A 1781-2020.docx")</f>
        <v/>
      </c>
      <c r="W438">
        <f>HYPERLINK("https://klasma.github.io/Logging_ARE/klagomålsmail/A 1781-2020.docx")</f>
        <v/>
      </c>
      <c r="X438">
        <f>HYPERLINK("https://klasma.github.io/Logging_ARE/tillsyn/A 1781-2020.docx")</f>
        <v/>
      </c>
      <c r="Y438">
        <f>HYPERLINK("https://klasma.github.io/Logging_ARE/tillsynsmail/A 1781-2020.docx")</f>
        <v/>
      </c>
    </row>
    <row r="439" ht="15" customHeight="1">
      <c r="A439" t="inlineStr">
        <is>
          <t>A 16005-2020</t>
        </is>
      </c>
      <c r="B439" s="1" t="n">
        <v>43916</v>
      </c>
      <c r="C439" s="1" t="n">
        <v>45182</v>
      </c>
      <c r="D439" t="inlineStr">
        <is>
          <t>JÄMTLANDS LÄN</t>
        </is>
      </c>
      <c r="E439" t="inlineStr">
        <is>
          <t>ÅRE</t>
        </is>
      </c>
      <c r="G439" t="n">
        <v>13.3</v>
      </c>
      <c r="H439" t="n">
        <v>1</v>
      </c>
      <c r="I439" t="n">
        <v>2</v>
      </c>
      <c r="J439" t="n">
        <v>1</v>
      </c>
      <c r="K439" t="n">
        <v>0</v>
      </c>
      <c r="L439" t="n">
        <v>0</v>
      </c>
      <c r="M439" t="n">
        <v>0</v>
      </c>
      <c r="N439" t="n">
        <v>0</v>
      </c>
      <c r="O439" t="n">
        <v>1</v>
      </c>
      <c r="P439" t="n">
        <v>0</v>
      </c>
      <c r="Q439" t="n">
        <v>4</v>
      </c>
      <c r="R439" s="2" t="inlineStr">
        <is>
          <t>Orange taggsvamp
Dropptaggsvamp
Kransrams
Blåsippa</t>
        </is>
      </c>
      <c r="S439">
        <f>HYPERLINK("https://klasma.github.io/Logging_ARE/artfynd/A 16005-2020.xlsx")</f>
        <v/>
      </c>
      <c r="T439">
        <f>HYPERLINK("https://klasma.github.io/Logging_ARE/kartor/A 16005-2020.png")</f>
        <v/>
      </c>
      <c r="V439">
        <f>HYPERLINK("https://klasma.github.io/Logging_ARE/klagomål/A 16005-2020.docx")</f>
        <v/>
      </c>
      <c r="W439">
        <f>HYPERLINK("https://klasma.github.io/Logging_ARE/klagomålsmail/A 16005-2020.docx")</f>
        <v/>
      </c>
      <c r="X439">
        <f>HYPERLINK("https://klasma.github.io/Logging_ARE/tillsyn/A 16005-2020.docx")</f>
        <v/>
      </c>
      <c r="Y439">
        <f>HYPERLINK("https://klasma.github.io/Logging_ARE/tillsynsmail/A 16005-2020.docx")</f>
        <v/>
      </c>
    </row>
    <row r="440" ht="15" customHeight="1">
      <c r="A440" t="inlineStr">
        <is>
          <t>A 17948-2020</t>
        </is>
      </c>
      <c r="B440" s="1" t="n">
        <v>43924</v>
      </c>
      <c r="C440" s="1" t="n">
        <v>45182</v>
      </c>
      <c r="D440" t="inlineStr">
        <is>
          <t>JÄMTLANDS LÄN</t>
        </is>
      </c>
      <c r="E440" t="inlineStr">
        <is>
          <t>STRÖMSUND</t>
        </is>
      </c>
      <c r="F440" t="inlineStr">
        <is>
          <t>SCA</t>
        </is>
      </c>
      <c r="G440" t="n">
        <v>15.7</v>
      </c>
      <c r="H440" t="n">
        <v>0</v>
      </c>
      <c r="I440" t="n">
        <v>3</v>
      </c>
      <c r="J440" t="n">
        <v>1</v>
      </c>
      <c r="K440" t="n">
        <v>0</v>
      </c>
      <c r="L440" t="n">
        <v>0</v>
      </c>
      <c r="M440" t="n">
        <v>0</v>
      </c>
      <c r="N440" t="n">
        <v>0</v>
      </c>
      <c r="O440" t="n">
        <v>1</v>
      </c>
      <c r="P440" t="n">
        <v>0</v>
      </c>
      <c r="Q440" t="n">
        <v>4</v>
      </c>
      <c r="R440" s="2" t="inlineStr">
        <is>
          <t>Skrovellav
Bårdlav
Luddlav
Stuplav</t>
        </is>
      </c>
      <c r="S440">
        <f>HYPERLINK("https://klasma.github.io/Logging_STROMSUND/artfynd/A 17948-2020.xlsx")</f>
        <v/>
      </c>
      <c r="T440">
        <f>HYPERLINK("https://klasma.github.io/Logging_STROMSUND/kartor/A 17948-2020.png")</f>
        <v/>
      </c>
      <c r="V440">
        <f>HYPERLINK("https://klasma.github.io/Logging_STROMSUND/klagomål/A 17948-2020.docx")</f>
        <v/>
      </c>
      <c r="W440">
        <f>HYPERLINK("https://klasma.github.io/Logging_STROMSUND/klagomålsmail/A 17948-2020.docx")</f>
        <v/>
      </c>
      <c r="X440">
        <f>HYPERLINK("https://klasma.github.io/Logging_STROMSUND/tillsyn/A 17948-2020.docx")</f>
        <v/>
      </c>
      <c r="Y440">
        <f>HYPERLINK("https://klasma.github.io/Logging_STROMSUND/tillsynsmail/A 17948-2020.docx")</f>
        <v/>
      </c>
    </row>
    <row r="441" ht="15" customHeight="1">
      <c r="A441" t="inlineStr">
        <is>
          <t>A 20526-2020</t>
        </is>
      </c>
      <c r="B441" s="1" t="n">
        <v>43948</v>
      </c>
      <c r="C441" s="1" t="n">
        <v>45182</v>
      </c>
      <c r="D441" t="inlineStr">
        <is>
          <t>JÄMTLANDS LÄN</t>
        </is>
      </c>
      <c r="E441" t="inlineStr">
        <is>
          <t>BERG</t>
        </is>
      </c>
      <c r="G441" t="n">
        <v>1</v>
      </c>
      <c r="H441" t="n">
        <v>0</v>
      </c>
      <c r="I441" t="n">
        <v>0</v>
      </c>
      <c r="J441" t="n">
        <v>3</v>
      </c>
      <c r="K441" t="n">
        <v>0</v>
      </c>
      <c r="L441" t="n">
        <v>1</v>
      </c>
      <c r="M441" t="n">
        <v>0</v>
      </c>
      <c r="N441" t="n">
        <v>0</v>
      </c>
      <c r="O441" t="n">
        <v>4</v>
      </c>
      <c r="P441" t="n">
        <v>1</v>
      </c>
      <c r="Q441" t="n">
        <v>4</v>
      </c>
      <c r="R441" s="2" t="inlineStr">
        <is>
          <t>Grynlav
Olivbrun gytterlav
Skrovellav
Ullticka</t>
        </is>
      </c>
      <c r="S441">
        <f>HYPERLINK("https://klasma.github.io/Logging_BERG/artfynd/A 20526-2020.xlsx")</f>
        <v/>
      </c>
      <c r="T441">
        <f>HYPERLINK("https://klasma.github.io/Logging_BERG/kartor/A 20526-2020.png")</f>
        <v/>
      </c>
      <c r="V441">
        <f>HYPERLINK("https://klasma.github.io/Logging_BERG/klagomål/A 20526-2020.docx")</f>
        <v/>
      </c>
      <c r="W441">
        <f>HYPERLINK("https://klasma.github.io/Logging_BERG/klagomålsmail/A 20526-2020.docx")</f>
        <v/>
      </c>
      <c r="X441">
        <f>HYPERLINK("https://klasma.github.io/Logging_BERG/tillsyn/A 20526-2020.docx")</f>
        <v/>
      </c>
      <c r="Y441">
        <f>HYPERLINK("https://klasma.github.io/Logging_BERG/tillsynsmail/A 20526-2020.docx")</f>
        <v/>
      </c>
    </row>
    <row r="442" ht="15" customHeight="1">
      <c r="A442" t="inlineStr">
        <is>
          <t>A 24547-2020</t>
        </is>
      </c>
      <c r="B442" s="1" t="n">
        <v>43977</v>
      </c>
      <c r="C442" s="1" t="n">
        <v>45182</v>
      </c>
      <c r="D442" t="inlineStr">
        <is>
          <t>JÄMTLANDS LÄN</t>
        </is>
      </c>
      <c r="E442" t="inlineStr">
        <is>
          <t>BRÄCKE</t>
        </is>
      </c>
      <c r="G442" t="n">
        <v>5.2</v>
      </c>
      <c r="H442" t="n">
        <v>3</v>
      </c>
      <c r="I442" t="n">
        <v>1</v>
      </c>
      <c r="J442" t="n">
        <v>2</v>
      </c>
      <c r="K442" t="n">
        <v>1</v>
      </c>
      <c r="L442" t="n">
        <v>0</v>
      </c>
      <c r="M442" t="n">
        <v>0</v>
      </c>
      <c r="N442" t="n">
        <v>0</v>
      </c>
      <c r="O442" t="n">
        <v>3</v>
      </c>
      <c r="P442" t="n">
        <v>1</v>
      </c>
      <c r="Q442" t="n">
        <v>4</v>
      </c>
      <c r="R442" s="2" t="inlineStr">
        <is>
          <t>Knärot
Lunglav
Spillkråka
Korallrot</t>
        </is>
      </c>
      <c r="S442">
        <f>HYPERLINK("https://klasma.github.io/Logging_BRACKE/artfynd/A 24547-2020.xlsx")</f>
        <v/>
      </c>
      <c r="T442">
        <f>HYPERLINK("https://klasma.github.io/Logging_BRACKE/kartor/A 24547-2020.png")</f>
        <v/>
      </c>
      <c r="U442">
        <f>HYPERLINK("https://klasma.github.io/Logging_BRACKE/knärot/A 24547-2020.png")</f>
        <v/>
      </c>
      <c r="V442">
        <f>HYPERLINK("https://klasma.github.io/Logging_BRACKE/klagomål/A 24547-2020.docx")</f>
        <v/>
      </c>
      <c r="W442">
        <f>HYPERLINK("https://klasma.github.io/Logging_BRACKE/klagomålsmail/A 24547-2020.docx")</f>
        <v/>
      </c>
      <c r="X442">
        <f>HYPERLINK("https://klasma.github.io/Logging_BRACKE/tillsyn/A 24547-2020.docx")</f>
        <v/>
      </c>
      <c r="Y442">
        <f>HYPERLINK("https://klasma.github.io/Logging_BRACKE/tillsynsmail/A 24547-2020.docx")</f>
        <v/>
      </c>
    </row>
    <row r="443" ht="15" customHeight="1">
      <c r="A443" t="inlineStr">
        <is>
          <t>A 24562-2020</t>
        </is>
      </c>
      <c r="B443" s="1" t="n">
        <v>43977</v>
      </c>
      <c r="C443" s="1" t="n">
        <v>45182</v>
      </c>
      <c r="D443" t="inlineStr">
        <is>
          <t>JÄMTLANDS LÄN</t>
        </is>
      </c>
      <c r="E443" t="inlineStr">
        <is>
          <t>BRÄCKE</t>
        </is>
      </c>
      <c r="G443" t="n">
        <v>14.6</v>
      </c>
      <c r="H443" t="n">
        <v>1</v>
      </c>
      <c r="I443" t="n">
        <v>1</v>
      </c>
      <c r="J443" t="n">
        <v>2</v>
      </c>
      <c r="K443" t="n">
        <v>1</v>
      </c>
      <c r="L443" t="n">
        <v>0</v>
      </c>
      <c r="M443" t="n">
        <v>0</v>
      </c>
      <c r="N443" t="n">
        <v>0</v>
      </c>
      <c r="O443" t="n">
        <v>3</v>
      </c>
      <c r="P443" t="n">
        <v>1</v>
      </c>
      <c r="Q443" t="n">
        <v>4</v>
      </c>
      <c r="R443" s="2" t="inlineStr">
        <is>
          <t>Knärot
Lunglav
Ullticka
Stuplav</t>
        </is>
      </c>
      <c r="S443">
        <f>HYPERLINK("https://klasma.github.io/Logging_BRACKE/artfynd/A 24562-2020.xlsx")</f>
        <v/>
      </c>
      <c r="T443">
        <f>HYPERLINK("https://klasma.github.io/Logging_BRACKE/kartor/A 24562-2020.png")</f>
        <v/>
      </c>
      <c r="U443">
        <f>HYPERLINK("https://klasma.github.io/Logging_BRACKE/knärot/A 24562-2020.png")</f>
        <v/>
      </c>
      <c r="V443">
        <f>HYPERLINK("https://klasma.github.io/Logging_BRACKE/klagomål/A 24562-2020.docx")</f>
        <v/>
      </c>
      <c r="W443">
        <f>HYPERLINK("https://klasma.github.io/Logging_BRACKE/klagomålsmail/A 24562-2020.docx")</f>
        <v/>
      </c>
      <c r="X443">
        <f>HYPERLINK("https://klasma.github.io/Logging_BRACKE/tillsyn/A 24562-2020.docx")</f>
        <v/>
      </c>
      <c r="Y443">
        <f>HYPERLINK("https://klasma.github.io/Logging_BRACKE/tillsynsmail/A 24562-2020.docx")</f>
        <v/>
      </c>
    </row>
    <row r="444" ht="15" customHeight="1">
      <c r="A444" t="inlineStr">
        <is>
          <t>A 24644-2020</t>
        </is>
      </c>
      <c r="B444" s="1" t="n">
        <v>43977</v>
      </c>
      <c r="C444" s="1" t="n">
        <v>45182</v>
      </c>
      <c r="D444" t="inlineStr">
        <is>
          <t>JÄMTLANDS LÄN</t>
        </is>
      </c>
      <c r="E444" t="inlineStr">
        <is>
          <t>RAGUNDA</t>
        </is>
      </c>
      <c r="F444" t="inlineStr">
        <is>
          <t>SCA</t>
        </is>
      </c>
      <c r="G444" t="n">
        <v>21.6</v>
      </c>
      <c r="H444" t="n">
        <v>0</v>
      </c>
      <c r="I444" t="n">
        <v>2</v>
      </c>
      <c r="J444" t="n">
        <v>2</v>
      </c>
      <c r="K444" t="n">
        <v>0</v>
      </c>
      <c r="L444" t="n">
        <v>0</v>
      </c>
      <c r="M444" t="n">
        <v>0</v>
      </c>
      <c r="N444" t="n">
        <v>0</v>
      </c>
      <c r="O444" t="n">
        <v>2</v>
      </c>
      <c r="P444" t="n">
        <v>0</v>
      </c>
      <c r="Q444" t="n">
        <v>4</v>
      </c>
      <c r="R444" s="2" t="inlineStr">
        <is>
          <t>Lunglav
Mörk kolflarnlav
Korallblylav
Stuplav</t>
        </is>
      </c>
      <c r="S444">
        <f>HYPERLINK("https://klasma.github.io/Logging_RAGUNDA/artfynd/A 24644-2020.xlsx")</f>
        <v/>
      </c>
      <c r="T444">
        <f>HYPERLINK("https://klasma.github.io/Logging_RAGUNDA/kartor/A 24644-2020.png")</f>
        <v/>
      </c>
      <c r="V444">
        <f>HYPERLINK("https://klasma.github.io/Logging_RAGUNDA/klagomål/A 24644-2020.docx")</f>
        <v/>
      </c>
      <c r="W444">
        <f>HYPERLINK("https://klasma.github.io/Logging_RAGUNDA/klagomålsmail/A 24644-2020.docx")</f>
        <v/>
      </c>
      <c r="X444">
        <f>HYPERLINK("https://klasma.github.io/Logging_RAGUNDA/tillsyn/A 24644-2020.docx")</f>
        <v/>
      </c>
      <c r="Y444">
        <f>HYPERLINK("https://klasma.github.io/Logging_RAGUNDA/tillsynsmail/A 24644-2020.docx")</f>
        <v/>
      </c>
    </row>
    <row r="445" ht="15" customHeight="1">
      <c r="A445" t="inlineStr">
        <is>
          <t>A 30021-2020</t>
        </is>
      </c>
      <c r="B445" s="1" t="n">
        <v>44006</v>
      </c>
      <c r="C445" s="1" t="n">
        <v>45182</v>
      </c>
      <c r="D445" t="inlineStr">
        <is>
          <t>JÄMTLANDS LÄN</t>
        </is>
      </c>
      <c r="E445" t="inlineStr">
        <is>
          <t>STRÖMSUND</t>
        </is>
      </c>
      <c r="F445" t="inlineStr">
        <is>
          <t>Holmen skog AB</t>
        </is>
      </c>
      <c r="G445" t="n">
        <v>22.6</v>
      </c>
      <c r="H445" t="n">
        <v>1</v>
      </c>
      <c r="I445" t="n">
        <v>0</v>
      </c>
      <c r="J445" t="n">
        <v>4</v>
      </c>
      <c r="K445" t="n">
        <v>0</v>
      </c>
      <c r="L445" t="n">
        <v>0</v>
      </c>
      <c r="M445" t="n">
        <v>0</v>
      </c>
      <c r="N445" t="n">
        <v>0</v>
      </c>
      <c r="O445" t="n">
        <v>4</v>
      </c>
      <c r="P445" t="n">
        <v>0</v>
      </c>
      <c r="Q445" t="n">
        <v>4</v>
      </c>
      <c r="R445" s="2" t="inlineStr">
        <is>
          <t>Garnlav
Lunglav
Skrovellav
Tretåig hackspett</t>
        </is>
      </c>
      <c r="S445">
        <f>HYPERLINK("https://klasma.github.io/Logging_STROMSUND/artfynd/A 30021-2020.xlsx")</f>
        <v/>
      </c>
      <c r="T445">
        <f>HYPERLINK("https://klasma.github.io/Logging_STROMSUND/kartor/A 30021-2020.png")</f>
        <v/>
      </c>
      <c r="V445">
        <f>HYPERLINK("https://klasma.github.io/Logging_STROMSUND/klagomål/A 30021-2020.docx")</f>
        <v/>
      </c>
      <c r="W445">
        <f>HYPERLINK("https://klasma.github.io/Logging_STROMSUND/klagomålsmail/A 30021-2020.docx")</f>
        <v/>
      </c>
      <c r="X445">
        <f>HYPERLINK("https://klasma.github.io/Logging_STROMSUND/tillsyn/A 30021-2020.docx")</f>
        <v/>
      </c>
      <c r="Y445">
        <f>HYPERLINK("https://klasma.github.io/Logging_STROMSUND/tillsynsmail/A 30021-2020.docx")</f>
        <v/>
      </c>
    </row>
    <row r="446" ht="15" customHeight="1">
      <c r="A446" t="inlineStr">
        <is>
          <t>A 30406-2020</t>
        </is>
      </c>
      <c r="B446" s="1" t="n">
        <v>44007</v>
      </c>
      <c r="C446" s="1" t="n">
        <v>45182</v>
      </c>
      <c r="D446" t="inlineStr">
        <is>
          <t>JÄMTLANDS LÄN</t>
        </is>
      </c>
      <c r="E446" t="inlineStr">
        <is>
          <t>STRÖMSUND</t>
        </is>
      </c>
      <c r="F446" t="inlineStr">
        <is>
          <t>Holmen skog AB</t>
        </is>
      </c>
      <c r="G446" t="n">
        <v>9.5</v>
      </c>
      <c r="H446" t="n">
        <v>0</v>
      </c>
      <c r="I446" t="n">
        <v>1</v>
      </c>
      <c r="J446" t="n">
        <v>2</v>
      </c>
      <c r="K446" t="n">
        <v>1</v>
      </c>
      <c r="L446" t="n">
        <v>0</v>
      </c>
      <c r="M446" t="n">
        <v>0</v>
      </c>
      <c r="N446" t="n">
        <v>0</v>
      </c>
      <c r="O446" t="n">
        <v>3</v>
      </c>
      <c r="P446" t="n">
        <v>1</v>
      </c>
      <c r="Q446" t="n">
        <v>4</v>
      </c>
      <c r="R446" s="2" t="inlineStr">
        <is>
          <t>Vit aspticka
Orange taggsvamp
Stiftgelélav
Skinnlav</t>
        </is>
      </c>
      <c r="S446">
        <f>HYPERLINK("https://klasma.github.io/Logging_STROMSUND/artfynd/A 30406-2020.xlsx")</f>
        <v/>
      </c>
      <c r="T446">
        <f>HYPERLINK("https://klasma.github.io/Logging_STROMSUND/kartor/A 30406-2020.png")</f>
        <v/>
      </c>
      <c r="V446">
        <f>HYPERLINK("https://klasma.github.io/Logging_STROMSUND/klagomål/A 30406-2020.docx")</f>
        <v/>
      </c>
      <c r="W446">
        <f>HYPERLINK("https://klasma.github.io/Logging_STROMSUND/klagomålsmail/A 30406-2020.docx")</f>
        <v/>
      </c>
      <c r="X446">
        <f>HYPERLINK("https://klasma.github.io/Logging_STROMSUND/tillsyn/A 30406-2020.docx")</f>
        <v/>
      </c>
      <c r="Y446">
        <f>HYPERLINK("https://klasma.github.io/Logging_STROMSUND/tillsynsmail/A 30406-2020.docx")</f>
        <v/>
      </c>
    </row>
    <row r="447" ht="15" customHeight="1">
      <c r="A447" t="inlineStr">
        <is>
          <t>A 36669-2020</t>
        </is>
      </c>
      <c r="B447" s="1" t="n">
        <v>44050</v>
      </c>
      <c r="C447" s="1" t="n">
        <v>45182</v>
      </c>
      <c r="D447" t="inlineStr">
        <is>
          <t>JÄMTLANDS LÄN</t>
        </is>
      </c>
      <c r="E447" t="inlineStr">
        <is>
          <t>BERG</t>
        </is>
      </c>
      <c r="F447" t="inlineStr">
        <is>
          <t>SCA</t>
        </is>
      </c>
      <c r="G447" t="n">
        <v>2.7</v>
      </c>
      <c r="H447" t="n">
        <v>0</v>
      </c>
      <c r="I447" t="n">
        <v>0</v>
      </c>
      <c r="J447" t="n">
        <v>4</v>
      </c>
      <c r="K447" t="n">
        <v>0</v>
      </c>
      <c r="L447" t="n">
        <v>0</v>
      </c>
      <c r="M447" t="n">
        <v>0</v>
      </c>
      <c r="N447" t="n">
        <v>0</v>
      </c>
      <c r="O447" t="n">
        <v>4</v>
      </c>
      <c r="P447" t="n">
        <v>0</v>
      </c>
      <c r="Q447" t="n">
        <v>4</v>
      </c>
      <c r="R447" s="2" t="inlineStr">
        <is>
          <t>Gammelgransskål
Garnlav
Harticka
Skrovellav</t>
        </is>
      </c>
      <c r="S447">
        <f>HYPERLINK("https://klasma.github.io/Logging_BERG/artfynd/A 36669-2020.xlsx")</f>
        <v/>
      </c>
      <c r="T447">
        <f>HYPERLINK("https://klasma.github.io/Logging_BERG/kartor/A 36669-2020.png")</f>
        <v/>
      </c>
      <c r="V447">
        <f>HYPERLINK("https://klasma.github.io/Logging_BERG/klagomål/A 36669-2020.docx")</f>
        <v/>
      </c>
      <c r="W447">
        <f>HYPERLINK("https://klasma.github.io/Logging_BERG/klagomålsmail/A 36669-2020.docx")</f>
        <v/>
      </c>
      <c r="X447">
        <f>HYPERLINK("https://klasma.github.io/Logging_BERG/tillsyn/A 36669-2020.docx")</f>
        <v/>
      </c>
      <c r="Y447">
        <f>HYPERLINK("https://klasma.github.io/Logging_BERG/tillsynsmail/A 36669-2020.docx")</f>
        <v/>
      </c>
    </row>
    <row r="448" ht="15" customHeight="1">
      <c r="A448" t="inlineStr">
        <is>
          <t>A 39056-2020</t>
        </is>
      </c>
      <c r="B448" s="1" t="n">
        <v>44062</v>
      </c>
      <c r="C448" s="1" t="n">
        <v>45182</v>
      </c>
      <c r="D448" t="inlineStr">
        <is>
          <t>JÄMTLANDS LÄN</t>
        </is>
      </c>
      <c r="E448" t="inlineStr">
        <is>
          <t>BRÄCKE</t>
        </is>
      </c>
      <c r="F448" t="inlineStr">
        <is>
          <t>SCA</t>
        </is>
      </c>
      <c r="G448" t="n">
        <v>3.3</v>
      </c>
      <c r="H448" t="n">
        <v>1</v>
      </c>
      <c r="I448" t="n">
        <v>0</v>
      </c>
      <c r="J448" t="n">
        <v>4</v>
      </c>
      <c r="K448" t="n">
        <v>0</v>
      </c>
      <c r="L448" t="n">
        <v>0</v>
      </c>
      <c r="M448" t="n">
        <v>0</v>
      </c>
      <c r="N448" t="n">
        <v>0</v>
      </c>
      <c r="O448" t="n">
        <v>4</v>
      </c>
      <c r="P448" t="n">
        <v>0</v>
      </c>
      <c r="Q448" t="n">
        <v>4</v>
      </c>
      <c r="R448" s="2" t="inlineStr">
        <is>
          <t>Blå taggsvamp
Garnlav
Kolflarnlav
Tretåig hackspett</t>
        </is>
      </c>
      <c r="S448">
        <f>HYPERLINK("https://klasma.github.io/Logging_BRACKE/artfynd/A 39056-2020.xlsx")</f>
        <v/>
      </c>
      <c r="T448">
        <f>HYPERLINK("https://klasma.github.io/Logging_BRACKE/kartor/A 39056-2020.png")</f>
        <v/>
      </c>
      <c r="V448">
        <f>HYPERLINK("https://klasma.github.io/Logging_BRACKE/klagomål/A 39056-2020.docx")</f>
        <v/>
      </c>
      <c r="W448">
        <f>HYPERLINK("https://klasma.github.io/Logging_BRACKE/klagomålsmail/A 39056-2020.docx")</f>
        <v/>
      </c>
      <c r="X448">
        <f>HYPERLINK("https://klasma.github.io/Logging_BRACKE/tillsyn/A 39056-2020.docx")</f>
        <v/>
      </c>
      <c r="Y448">
        <f>HYPERLINK("https://klasma.github.io/Logging_BRACKE/tillsynsmail/A 39056-2020.docx")</f>
        <v/>
      </c>
    </row>
    <row r="449" ht="15" customHeight="1">
      <c r="A449" t="inlineStr">
        <is>
          <t>A 41872-2020</t>
        </is>
      </c>
      <c r="B449" s="1" t="n">
        <v>44074</v>
      </c>
      <c r="C449" s="1" t="n">
        <v>45182</v>
      </c>
      <c r="D449" t="inlineStr">
        <is>
          <t>JÄMTLANDS LÄN</t>
        </is>
      </c>
      <c r="E449" t="inlineStr">
        <is>
          <t>BERG</t>
        </is>
      </c>
      <c r="F449" t="inlineStr">
        <is>
          <t>SCA</t>
        </is>
      </c>
      <c r="G449" t="n">
        <v>4.9</v>
      </c>
      <c r="H449" t="n">
        <v>0</v>
      </c>
      <c r="I449" t="n">
        <v>1</v>
      </c>
      <c r="J449" t="n">
        <v>3</v>
      </c>
      <c r="K449" t="n">
        <v>0</v>
      </c>
      <c r="L449" t="n">
        <v>0</v>
      </c>
      <c r="M449" t="n">
        <v>0</v>
      </c>
      <c r="N449" t="n">
        <v>0</v>
      </c>
      <c r="O449" t="n">
        <v>3</v>
      </c>
      <c r="P449" t="n">
        <v>0</v>
      </c>
      <c r="Q449" t="n">
        <v>4</v>
      </c>
      <c r="R449" s="2" t="inlineStr">
        <is>
          <t>Garnlav
Lunglav
Vedskivlav
Dropptaggsvamp</t>
        </is>
      </c>
      <c r="S449">
        <f>HYPERLINK("https://klasma.github.io/Logging_BERG/artfynd/A 41872-2020.xlsx")</f>
        <v/>
      </c>
      <c r="T449">
        <f>HYPERLINK("https://klasma.github.io/Logging_BERG/kartor/A 41872-2020.png")</f>
        <v/>
      </c>
      <c r="V449">
        <f>HYPERLINK("https://klasma.github.io/Logging_BERG/klagomål/A 41872-2020.docx")</f>
        <v/>
      </c>
      <c r="W449">
        <f>HYPERLINK("https://klasma.github.io/Logging_BERG/klagomålsmail/A 41872-2020.docx")</f>
        <v/>
      </c>
      <c r="X449">
        <f>HYPERLINK("https://klasma.github.io/Logging_BERG/tillsyn/A 41872-2020.docx")</f>
        <v/>
      </c>
      <c r="Y449">
        <f>HYPERLINK("https://klasma.github.io/Logging_BERG/tillsynsmail/A 41872-2020.docx")</f>
        <v/>
      </c>
    </row>
    <row r="450" ht="15" customHeight="1">
      <c r="A450" t="inlineStr">
        <is>
          <t>A 45849-2020</t>
        </is>
      </c>
      <c r="B450" s="1" t="n">
        <v>44090</v>
      </c>
      <c r="C450" s="1" t="n">
        <v>45182</v>
      </c>
      <c r="D450" t="inlineStr">
        <is>
          <t>JÄMTLANDS LÄN</t>
        </is>
      </c>
      <c r="E450" t="inlineStr">
        <is>
          <t>ÅRE</t>
        </is>
      </c>
      <c r="G450" t="n">
        <v>2.7</v>
      </c>
      <c r="H450" t="n">
        <v>0</v>
      </c>
      <c r="I450" t="n">
        <v>1</v>
      </c>
      <c r="J450" t="n">
        <v>3</v>
      </c>
      <c r="K450" t="n">
        <v>0</v>
      </c>
      <c r="L450" t="n">
        <v>0</v>
      </c>
      <c r="M450" t="n">
        <v>0</v>
      </c>
      <c r="N450" t="n">
        <v>0</v>
      </c>
      <c r="O450" t="n">
        <v>3</v>
      </c>
      <c r="P450" t="n">
        <v>0</v>
      </c>
      <c r="Q450" t="n">
        <v>4</v>
      </c>
      <c r="R450" s="2" t="inlineStr">
        <is>
          <t>Garnlav
Granticka
Harticka
Stuplav</t>
        </is>
      </c>
      <c r="S450">
        <f>HYPERLINK("https://klasma.github.io/Logging_ARE/artfynd/A 45849-2020.xlsx")</f>
        <v/>
      </c>
      <c r="T450">
        <f>HYPERLINK("https://klasma.github.io/Logging_ARE/kartor/A 45849-2020.png")</f>
        <v/>
      </c>
      <c r="V450">
        <f>HYPERLINK("https://klasma.github.io/Logging_ARE/klagomål/A 45849-2020.docx")</f>
        <v/>
      </c>
      <c r="W450">
        <f>HYPERLINK("https://klasma.github.io/Logging_ARE/klagomålsmail/A 45849-2020.docx")</f>
        <v/>
      </c>
      <c r="X450">
        <f>HYPERLINK("https://klasma.github.io/Logging_ARE/tillsyn/A 45849-2020.docx")</f>
        <v/>
      </c>
      <c r="Y450">
        <f>HYPERLINK("https://klasma.github.io/Logging_ARE/tillsynsmail/A 45849-2020.docx")</f>
        <v/>
      </c>
    </row>
    <row r="451" ht="15" customHeight="1">
      <c r="A451" t="inlineStr">
        <is>
          <t>A 51686-2020</t>
        </is>
      </c>
      <c r="B451" s="1" t="n">
        <v>44113</v>
      </c>
      <c r="C451" s="1" t="n">
        <v>45182</v>
      </c>
      <c r="D451" t="inlineStr">
        <is>
          <t>JÄMTLANDS LÄN</t>
        </is>
      </c>
      <c r="E451" t="inlineStr">
        <is>
          <t>RAGUNDA</t>
        </is>
      </c>
      <c r="F451" t="inlineStr">
        <is>
          <t>SCA</t>
        </is>
      </c>
      <c r="G451" t="n">
        <v>1.8</v>
      </c>
      <c r="H451" t="n">
        <v>0</v>
      </c>
      <c r="I451" t="n">
        <v>1</v>
      </c>
      <c r="J451" t="n">
        <v>3</v>
      </c>
      <c r="K451" t="n">
        <v>0</v>
      </c>
      <c r="L451" t="n">
        <v>0</v>
      </c>
      <c r="M451" t="n">
        <v>0</v>
      </c>
      <c r="N451" t="n">
        <v>0</v>
      </c>
      <c r="O451" t="n">
        <v>3</v>
      </c>
      <c r="P451" t="n">
        <v>0</v>
      </c>
      <c r="Q451" t="n">
        <v>4</v>
      </c>
      <c r="R451" s="2" t="inlineStr">
        <is>
          <t>Kolflarnlav
Lunglav
Skrovellav
Stuplav</t>
        </is>
      </c>
      <c r="S451">
        <f>HYPERLINK("https://klasma.github.io/Logging_RAGUNDA/artfynd/A 51686-2020.xlsx")</f>
        <v/>
      </c>
      <c r="T451">
        <f>HYPERLINK("https://klasma.github.io/Logging_RAGUNDA/kartor/A 51686-2020.png")</f>
        <v/>
      </c>
      <c r="V451">
        <f>HYPERLINK("https://klasma.github.io/Logging_RAGUNDA/klagomål/A 51686-2020.docx")</f>
        <v/>
      </c>
      <c r="W451">
        <f>HYPERLINK("https://klasma.github.io/Logging_RAGUNDA/klagomålsmail/A 51686-2020.docx")</f>
        <v/>
      </c>
      <c r="X451">
        <f>HYPERLINK("https://klasma.github.io/Logging_RAGUNDA/tillsyn/A 51686-2020.docx")</f>
        <v/>
      </c>
      <c r="Y451">
        <f>HYPERLINK("https://klasma.github.io/Logging_RAGUNDA/tillsynsmail/A 51686-2020.docx")</f>
        <v/>
      </c>
    </row>
    <row r="452" ht="15" customHeight="1">
      <c r="A452" t="inlineStr">
        <is>
          <t>A 65901-2020</t>
        </is>
      </c>
      <c r="B452" s="1" t="n">
        <v>44174</v>
      </c>
      <c r="C452" s="1" t="n">
        <v>45182</v>
      </c>
      <c r="D452" t="inlineStr">
        <is>
          <t>JÄMTLANDS LÄN</t>
        </is>
      </c>
      <c r="E452" t="inlineStr">
        <is>
          <t>KROKOM</t>
        </is>
      </c>
      <c r="G452" t="n">
        <v>9.699999999999999</v>
      </c>
      <c r="H452" t="n">
        <v>0</v>
      </c>
      <c r="I452" t="n">
        <v>4</v>
      </c>
      <c r="J452" t="n">
        <v>0</v>
      </c>
      <c r="K452" t="n">
        <v>0</v>
      </c>
      <c r="L452" t="n">
        <v>0</v>
      </c>
      <c r="M452" t="n">
        <v>0</v>
      </c>
      <c r="N452" t="n">
        <v>0</v>
      </c>
      <c r="O452" t="n">
        <v>0</v>
      </c>
      <c r="P452" t="n">
        <v>0</v>
      </c>
      <c r="Q452" t="n">
        <v>4</v>
      </c>
      <c r="R452" s="2" t="inlineStr">
        <is>
          <t>Barrfagerspindling
Diskvaxskivling
Kryddspindling
Tibast</t>
        </is>
      </c>
      <c r="S452">
        <f>HYPERLINK("https://klasma.github.io/Logging_KROKOM/artfynd/A 65901-2020.xlsx")</f>
        <v/>
      </c>
      <c r="T452">
        <f>HYPERLINK("https://klasma.github.io/Logging_KROKOM/kartor/A 65901-2020.png")</f>
        <v/>
      </c>
      <c r="V452">
        <f>HYPERLINK("https://klasma.github.io/Logging_KROKOM/klagomål/A 65901-2020.docx")</f>
        <v/>
      </c>
      <c r="W452">
        <f>HYPERLINK("https://klasma.github.io/Logging_KROKOM/klagomålsmail/A 65901-2020.docx")</f>
        <v/>
      </c>
      <c r="X452">
        <f>HYPERLINK("https://klasma.github.io/Logging_KROKOM/tillsyn/A 65901-2020.docx")</f>
        <v/>
      </c>
      <c r="Y452">
        <f>HYPERLINK("https://klasma.github.io/Logging_KROKOM/tillsynsmail/A 65901-2020.docx")</f>
        <v/>
      </c>
    </row>
    <row r="453" ht="15" customHeight="1">
      <c r="A453" t="inlineStr">
        <is>
          <t>A 66729-2020</t>
        </is>
      </c>
      <c r="B453" s="1" t="n">
        <v>44179</v>
      </c>
      <c r="C453" s="1" t="n">
        <v>45182</v>
      </c>
      <c r="D453" t="inlineStr">
        <is>
          <t>JÄMTLANDS LÄN</t>
        </is>
      </c>
      <c r="E453" t="inlineStr">
        <is>
          <t>STRÖMSUND</t>
        </is>
      </c>
      <c r="F453" t="inlineStr">
        <is>
          <t>SCA</t>
        </is>
      </c>
      <c r="G453" t="n">
        <v>22.4</v>
      </c>
      <c r="H453" t="n">
        <v>0</v>
      </c>
      <c r="I453" t="n">
        <v>0</v>
      </c>
      <c r="J453" t="n">
        <v>2</v>
      </c>
      <c r="K453" t="n">
        <v>2</v>
      </c>
      <c r="L453" t="n">
        <v>0</v>
      </c>
      <c r="M453" t="n">
        <v>0</v>
      </c>
      <c r="N453" t="n">
        <v>0</v>
      </c>
      <c r="O453" t="n">
        <v>4</v>
      </c>
      <c r="P453" t="n">
        <v>2</v>
      </c>
      <c r="Q453" t="n">
        <v>4</v>
      </c>
      <c r="R453" s="2" t="inlineStr">
        <is>
          <t>Liten sotlav
Norsk näverlav
Gränsticka
Harticka</t>
        </is>
      </c>
      <c r="S453">
        <f>HYPERLINK("https://klasma.github.io/Logging_STROMSUND/artfynd/A 66729-2020.xlsx")</f>
        <v/>
      </c>
      <c r="T453">
        <f>HYPERLINK("https://klasma.github.io/Logging_STROMSUND/kartor/A 66729-2020.png")</f>
        <v/>
      </c>
      <c r="V453">
        <f>HYPERLINK("https://klasma.github.io/Logging_STROMSUND/klagomål/A 66729-2020.docx")</f>
        <v/>
      </c>
      <c r="W453">
        <f>HYPERLINK("https://klasma.github.io/Logging_STROMSUND/klagomålsmail/A 66729-2020.docx")</f>
        <v/>
      </c>
      <c r="X453">
        <f>HYPERLINK("https://klasma.github.io/Logging_STROMSUND/tillsyn/A 66729-2020.docx")</f>
        <v/>
      </c>
      <c r="Y453">
        <f>HYPERLINK("https://klasma.github.io/Logging_STROMSUND/tillsynsmail/A 66729-2020.docx")</f>
        <v/>
      </c>
    </row>
    <row r="454" ht="15" customHeight="1">
      <c r="A454" t="inlineStr">
        <is>
          <t>A 69317-2020</t>
        </is>
      </c>
      <c r="B454" s="1" t="n">
        <v>44193</v>
      </c>
      <c r="C454" s="1" t="n">
        <v>45182</v>
      </c>
      <c r="D454" t="inlineStr">
        <is>
          <t>JÄMTLANDS LÄN</t>
        </is>
      </c>
      <c r="E454" t="inlineStr">
        <is>
          <t>ÅRE</t>
        </is>
      </c>
      <c r="G454" t="n">
        <v>10.3</v>
      </c>
      <c r="H454" t="n">
        <v>2</v>
      </c>
      <c r="I454" t="n">
        <v>0</v>
      </c>
      <c r="J454" t="n">
        <v>4</v>
      </c>
      <c r="K454" t="n">
        <v>0</v>
      </c>
      <c r="L454" t="n">
        <v>0</v>
      </c>
      <c r="M454" t="n">
        <v>0</v>
      </c>
      <c r="N454" t="n">
        <v>0</v>
      </c>
      <c r="O454" t="n">
        <v>4</v>
      </c>
      <c r="P454" t="n">
        <v>0</v>
      </c>
      <c r="Q454" t="n">
        <v>4</v>
      </c>
      <c r="R454" s="2" t="inlineStr">
        <is>
          <t>Garnlav
Granticka
Spillkråka
Tretåig hackspett</t>
        </is>
      </c>
      <c r="S454">
        <f>HYPERLINK("https://klasma.github.io/Logging_ARE/artfynd/A 69317-2020.xlsx")</f>
        <v/>
      </c>
      <c r="T454">
        <f>HYPERLINK("https://klasma.github.io/Logging_ARE/kartor/A 69317-2020.png")</f>
        <v/>
      </c>
      <c r="V454">
        <f>HYPERLINK("https://klasma.github.io/Logging_ARE/klagomål/A 69317-2020.docx")</f>
        <v/>
      </c>
      <c r="W454">
        <f>HYPERLINK("https://klasma.github.io/Logging_ARE/klagomålsmail/A 69317-2020.docx")</f>
        <v/>
      </c>
      <c r="X454">
        <f>HYPERLINK("https://klasma.github.io/Logging_ARE/tillsyn/A 69317-2020.docx")</f>
        <v/>
      </c>
      <c r="Y454">
        <f>HYPERLINK("https://klasma.github.io/Logging_ARE/tillsynsmail/A 69317-2020.docx")</f>
        <v/>
      </c>
    </row>
    <row r="455" ht="15" customHeight="1">
      <c r="A455" t="inlineStr">
        <is>
          <t>A 69641-2020</t>
        </is>
      </c>
      <c r="B455" s="1" t="n">
        <v>44195</v>
      </c>
      <c r="C455" s="1" t="n">
        <v>45182</v>
      </c>
      <c r="D455" t="inlineStr">
        <is>
          <t>JÄMTLANDS LÄN</t>
        </is>
      </c>
      <c r="E455" t="inlineStr">
        <is>
          <t>STRÖMSUND</t>
        </is>
      </c>
      <c r="G455" t="n">
        <v>15.8</v>
      </c>
      <c r="H455" t="n">
        <v>1</v>
      </c>
      <c r="I455" t="n">
        <v>3</v>
      </c>
      <c r="J455" t="n">
        <v>0</v>
      </c>
      <c r="K455" t="n">
        <v>0</v>
      </c>
      <c r="L455" t="n">
        <v>0</v>
      </c>
      <c r="M455" t="n">
        <v>0</v>
      </c>
      <c r="N455" t="n">
        <v>0</v>
      </c>
      <c r="O455" t="n">
        <v>0</v>
      </c>
      <c r="P455" t="n">
        <v>0</v>
      </c>
      <c r="Q455" t="n">
        <v>4</v>
      </c>
      <c r="R455" s="2" t="inlineStr">
        <is>
          <t>Finbräken
Kransrams
Stuplav
Blåsippa</t>
        </is>
      </c>
      <c r="S455">
        <f>HYPERLINK("https://klasma.github.io/Logging_STROMSUND/artfynd/A 69641-2020.xlsx")</f>
        <v/>
      </c>
      <c r="T455">
        <f>HYPERLINK("https://klasma.github.io/Logging_STROMSUND/kartor/A 69641-2020.png")</f>
        <v/>
      </c>
      <c r="V455">
        <f>HYPERLINK("https://klasma.github.io/Logging_STROMSUND/klagomål/A 69641-2020.docx")</f>
        <v/>
      </c>
      <c r="W455">
        <f>HYPERLINK("https://klasma.github.io/Logging_STROMSUND/klagomålsmail/A 69641-2020.docx")</f>
        <v/>
      </c>
      <c r="X455">
        <f>HYPERLINK("https://klasma.github.io/Logging_STROMSUND/tillsyn/A 69641-2020.docx")</f>
        <v/>
      </c>
      <c r="Y455">
        <f>HYPERLINK("https://klasma.github.io/Logging_STROMSUND/tillsynsmail/A 69641-2020.docx")</f>
        <v/>
      </c>
    </row>
    <row r="456" ht="15" customHeight="1">
      <c r="A456" t="inlineStr">
        <is>
          <t>A 6236-2021</t>
        </is>
      </c>
      <c r="B456" s="1" t="n">
        <v>44231</v>
      </c>
      <c r="C456" s="1" t="n">
        <v>45182</v>
      </c>
      <c r="D456" t="inlineStr">
        <is>
          <t>JÄMTLANDS LÄN</t>
        </is>
      </c>
      <c r="E456" t="inlineStr">
        <is>
          <t>ÅRE</t>
        </is>
      </c>
      <c r="G456" t="n">
        <v>39.1</v>
      </c>
      <c r="H456" t="n">
        <v>0</v>
      </c>
      <c r="I456" t="n">
        <v>3</v>
      </c>
      <c r="J456" t="n">
        <v>1</v>
      </c>
      <c r="K456" t="n">
        <v>0</v>
      </c>
      <c r="L456" t="n">
        <v>0</v>
      </c>
      <c r="M456" t="n">
        <v>0</v>
      </c>
      <c r="N456" t="n">
        <v>0</v>
      </c>
      <c r="O456" t="n">
        <v>1</v>
      </c>
      <c r="P456" t="n">
        <v>0</v>
      </c>
      <c r="Q456" t="n">
        <v>4</v>
      </c>
      <c r="R456" s="2" t="inlineStr">
        <is>
          <t>Garnlav
Bårdlav
Gytterlav
Stuplav</t>
        </is>
      </c>
      <c r="S456">
        <f>HYPERLINK("https://klasma.github.io/Logging_ARE/artfynd/A 6236-2021.xlsx")</f>
        <v/>
      </c>
      <c r="T456">
        <f>HYPERLINK("https://klasma.github.io/Logging_ARE/kartor/A 6236-2021.png")</f>
        <v/>
      </c>
      <c r="V456">
        <f>HYPERLINK("https://klasma.github.io/Logging_ARE/klagomål/A 6236-2021.docx")</f>
        <v/>
      </c>
      <c r="W456">
        <f>HYPERLINK("https://klasma.github.io/Logging_ARE/klagomålsmail/A 6236-2021.docx")</f>
        <v/>
      </c>
      <c r="X456">
        <f>HYPERLINK("https://klasma.github.io/Logging_ARE/tillsyn/A 6236-2021.docx")</f>
        <v/>
      </c>
      <c r="Y456">
        <f>HYPERLINK("https://klasma.github.io/Logging_ARE/tillsynsmail/A 6236-2021.docx")</f>
        <v/>
      </c>
    </row>
    <row r="457" ht="15" customHeight="1">
      <c r="A457" t="inlineStr">
        <is>
          <t>A 8636-2021</t>
        </is>
      </c>
      <c r="B457" s="1" t="n">
        <v>44245</v>
      </c>
      <c r="C457" s="1" t="n">
        <v>45182</v>
      </c>
      <c r="D457" t="inlineStr">
        <is>
          <t>JÄMTLANDS LÄN</t>
        </is>
      </c>
      <c r="E457" t="inlineStr">
        <is>
          <t>RAGUNDA</t>
        </is>
      </c>
      <c r="F457" t="inlineStr">
        <is>
          <t>SCA</t>
        </is>
      </c>
      <c r="G457" t="n">
        <v>6.9</v>
      </c>
      <c r="H457" t="n">
        <v>0</v>
      </c>
      <c r="I457" t="n">
        <v>3</v>
      </c>
      <c r="J457" t="n">
        <v>1</v>
      </c>
      <c r="K457" t="n">
        <v>0</v>
      </c>
      <c r="L457" t="n">
        <v>0</v>
      </c>
      <c r="M457" t="n">
        <v>0</v>
      </c>
      <c r="N457" t="n">
        <v>0</v>
      </c>
      <c r="O457" t="n">
        <v>1</v>
      </c>
      <c r="P457" t="n">
        <v>0</v>
      </c>
      <c r="Q457" t="n">
        <v>4</v>
      </c>
      <c r="R457" s="2" t="inlineStr">
        <is>
          <t>Lunglav
Luddlav
Skinnlav
Stuplav</t>
        </is>
      </c>
      <c r="S457">
        <f>HYPERLINK("https://klasma.github.io/Logging_RAGUNDA/artfynd/A 8636-2021.xlsx")</f>
        <v/>
      </c>
      <c r="T457">
        <f>HYPERLINK("https://klasma.github.io/Logging_RAGUNDA/kartor/A 8636-2021.png")</f>
        <v/>
      </c>
      <c r="V457">
        <f>HYPERLINK("https://klasma.github.io/Logging_RAGUNDA/klagomål/A 8636-2021.docx")</f>
        <v/>
      </c>
      <c r="W457">
        <f>HYPERLINK("https://klasma.github.io/Logging_RAGUNDA/klagomålsmail/A 8636-2021.docx")</f>
        <v/>
      </c>
      <c r="X457">
        <f>HYPERLINK("https://klasma.github.io/Logging_RAGUNDA/tillsyn/A 8636-2021.docx")</f>
        <v/>
      </c>
      <c r="Y457">
        <f>HYPERLINK("https://klasma.github.io/Logging_RAGUNDA/tillsynsmail/A 8636-2021.docx")</f>
        <v/>
      </c>
    </row>
    <row r="458" ht="15" customHeight="1">
      <c r="A458" t="inlineStr">
        <is>
          <t>A 16691-2021</t>
        </is>
      </c>
      <c r="B458" s="1" t="n">
        <v>44294</v>
      </c>
      <c r="C458" s="1" t="n">
        <v>45182</v>
      </c>
      <c r="D458" t="inlineStr">
        <is>
          <t>JÄMTLANDS LÄN</t>
        </is>
      </c>
      <c r="E458" t="inlineStr">
        <is>
          <t>HÄRJEDALEN</t>
        </is>
      </c>
      <c r="G458" t="n">
        <v>4.2</v>
      </c>
      <c r="H458" t="n">
        <v>0</v>
      </c>
      <c r="I458" t="n">
        <v>1</v>
      </c>
      <c r="J458" t="n">
        <v>3</v>
      </c>
      <c r="K458" t="n">
        <v>0</v>
      </c>
      <c r="L458" t="n">
        <v>0</v>
      </c>
      <c r="M458" t="n">
        <v>0</v>
      </c>
      <c r="N458" t="n">
        <v>0</v>
      </c>
      <c r="O458" t="n">
        <v>3</v>
      </c>
      <c r="P458" t="n">
        <v>0</v>
      </c>
      <c r="Q458" t="n">
        <v>4</v>
      </c>
      <c r="R458" s="2" t="inlineStr">
        <is>
          <t>Granticka
Knottrig blåslav
Vitgrynig nållav
Kornig nållav</t>
        </is>
      </c>
      <c r="S458">
        <f>HYPERLINK("https://klasma.github.io/Logging_HARJEDALEN/artfynd/A 16691-2021.xlsx")</f>
        <v/>
      </c>
      <c r="T458">
        <f>HYPERLINK("https://klasma.github.io/Logging_HARJEDALEN/kartor/A 16691-2021.png")</f>
        <v/>
      </c>
      <c r="V458">
        <f>HYPERLINK("https://klasma.github.io/Logging_HARJEDALEN/klagomål/A 16691-2021.docx")</f>
        <v/>
      </c>
      <c r="W458">
        <f>HYPERLINK("https://klasma.github.io/Logging_HARJEDALEN/klagomålsmail/A 16691-2021.docx")</f>
        <v/>
      </c>
      <c r="X458">
        <f>HYPERLINK("https://klasma.github.io/Logging_HARJEDALEN/tillsyn/A 16691-2021.docx")</f>
        <v/>
      </c>
      <c r="Y458">
        <f>HYPERLINK("https://klasma.github.io/Logging_HARJEDALEN/tillsynsmail/A 16691-2021.docx")</f>
        <v/>
      </c>
    </row>
    <row r="459" ht="15" customHeight="1">
      <c r="A459" t="inlineStr">
        <is>
          <t>A 16680-2021</t>
        </is>
      </c>
      <c r="B459" s="1" t="n">
        <v>44294</v>
      </c>
      <c r="C459" s="1" t="n">
        <v>45182</v>
      </c>
      <c r="D459" t="inlineStr">
        <is>
          <t>JÄMTLANDS LÄN</t>
        </is>
      </c>
      <c r="E459" t="inlineStr">
        <is>
          <t>HÄRJEDALEN</t>
        </is>
      </c>
      <c r="G459" t="n">
        <v>5.7</v>
      </c>
      <c r="H459" t="n">
        <v>0</v>
      </c>
      <c r="I459" t="n">
        <v>3</v>
      </c>
      <c r="J459" t="n">
        <v>1</v>
      </c>
      <c r="K459" t="n">
        <v>0</v>
      </c>
      <c r="L459" t="n">
        <v>0</v>
      </c>
      <c r="M459" t="n">
        <v>0</v>
      </c>
      <c r="N459" t="n">
        <v>0</v>
      </c>
      <c r="O459" t="n">
        <v>1</v>
      </c>
      <c r="P459" t="n">
        <v>0</v>
      </c>
      <c r="Q459" t="n">
        <v>4</v>
      </c>
      <c r="R459" s="2" t="inlineStr">
        <is>
          <t>Vitgrynig nållav
Bronshjon
Bårdlav
Stuplav</t>
        </is>
      </c>
      <c r="S459">
        <f>HYPERLINK("https://klasma.github.io/Logging_HARJEDALEN/artfynd/A 16680-2021.xlsx")</f>
        <v/>
      </c>
      <c r="T459">
        <f>HYPERLINK("https://klasma.github.io/Logging_HARJEDALEN/kartor/A 16680-2021.png")</f>
        <v/>
      </c>
      <c r="V459">
        <f>HYPERLINK("https://klasma.github.io/Logging_HARJEDALEN/klagomål/A 16680-2021.docx")</f>
        <v/>
      </c>
      <c r="W459">
        <f>HYPERLINK("https://klasma.github.io/Logging_HARJEDALEN/klagomålsmail/A 16680-2021.docx")</f>
        <v/>
      </c>
      <c r="X459">
        <f>HYPERLINK("https://klasma.github.io/Logging_HARJEDALEN/tillsyn/A 16680-2021.docx")</f>
        <v/>
      </c>
      <c r="Y459">
        <f>HYPERLINK("https://klasma.github.io/Logging_HARJEDALEN/tillsynsmail/A 16680-2021.docx")</f>
        <v/>
      </c>
    </row>
    <row r="460" ht="15" customHeight="1">
      <c r="A460" t="inlineStr">
        <is>
          <t>A 19277-2021</t>
        </is>
      </c>
      <c r="B460" s="1" t="n">
        <v>44309</v>
      </c>
      <c r="C460" s="1" t="n">
        <v>45182</v>
      </c>
      <c r="D460" t="inlineStr">
        <is>
          <t>JÄMTLANDS LÄN</t>
        </is>
      </c>
      <c r="E460" t="inlineStr">
        <is>
          <t>ÅRE</t>
        </is>
      </c>
      <c r="G460" t="n">
        <v>3.2</v>
      </c>
      <c r="H460" t="n">
        <v>0</v>
      </c>
      <c r="I460" t="n">
        <v>2</v>
      </c>
      <c r="J460" t="n">
        <v>2</v>
      </c>
      <c r="K460" t="n">
        <v>0</v>
      </c>
      <c r="L460" t="n">
        <v>0</v>
      </c>
      <c r="M460" t="n">
        <v>0</v>
      </c>
      <c r="N460" t="n">
        <v>0</v>
      </c>
      <c r="O460" t="n">
        <v>2</v>
      </c>
      <c r="P460" t="n">
        <v>0</v>
      </c>
      <c r="Q460" t="n">
        <v>4</v>
      </c>
      <c r="R460" s="2" t="inlineStr">
        <is>
          <t>Garnlav
Gränsticka
Korallblylav
Stuplav</t>
        </is>
      </c>
      <c r="S460">
        <f>HYPERLINK("https://klasma.github.io/Logging_ARE/artfynd/A 19277-2021.xlsx")</f>
        <v/>
      </c>
      <c r="T460">
        <f>HYPERLINK("https://klasma.github.io/Logging_ARE/kartor/A 19277-2021.png")</f>
        <v/>
      </c>
      <c r="V460">
        <f>HYPERLINK("https://klasma.github.io/Logging_ARE/klagomål/A 19277-2021.docx")</f>
        <v/>
      </c>
      <c r="W460">
        <f>HYPERLINK("https://klasma.github.io/Logging_ARE/klagomålsmail/A 19277-2021.docx")</f>
        <v/>
      </c>
      <c r="X460">
        <f>HYPERLINK("https://klasma.github.io/Logging_ARE/tillsyn/A 19277-2021.docx")</f>
        <v/>
      </c>
      <c r="Y460">
        <f>HYPERLINK("https://klasma.github.io/Logging_ARE/tillsynsmail/A 19277-2021.docx")</f>
        <v/>
      </c>
    </row>
    <row r="461" ht="15" customHeight="1">
      <c r="A461" t="inlineStr">
        <is>
          <t>A 20644-2021</t>
        </is>
      </c>
      <c r="B461" s="1" t="n">
        <v>44316</v>
      </c>
      <c r="C461" s="1" t="n">
        <v>45182</v>
      </c>
      <c r="D461" t="inlineStr">
        <is>
          <t>JÄMTLANDS LÄN</t>
        </is>
      </c>
      <c r="E461" t="inlineStr">
        <is>
          <t>ÅRE</t>
        </is>
      </c>
      <c r="G461" t="n">
        <v>42.9</v>
      </c>
      <c r="H461" t="n">
        <v>2</v>
      </c>
      <c r="I461" t="n">
        <v>1</v>
      </c>
      <c r="J461" t="n">
        <v>3</v>
      </c>
      <c r="K461" t="n">
        <v>0</v>
      </c>
      <c r="L461" t="n">
        <v>0</v>
      </c>
      <c r="M461" t="n">
        <v>0</v>
      </c>
      <c r="N461" t="n">
        <v>0</v>
      </c>
      <c r="O461" t="n">
        <v>3</v>
      </c>
      <c r="P461" t="n">
        <v>0</v>
      </c>
      <c r="Q461" t="n">
        <v>4</v>
      </c>
      <c r="R461" s="2" t="inlineStr">
        <is>
          <t>Doftskinn
Månlåsbräken
Tretåig hackspett
Tvåblad</t>
        </is>
      </c>
      <c r="S461">
        <f>HYPERLINK("https://klasma.github.io/Logging_ARE/artfynd/A 20644-2021.xlsx")</f>
        <v/>
      </c>
      <c r="T461">
        <f>HYPERLINK("https://klasma.github.io/Logging_ARE/kartor/A 20644-2021.png")</f>
        <v/>
      </c>
      <c r="V461">
        <f>HYPERLINK("https://klasma.github.io/Logging_ARE/klagomål/A 20644-2021.docx")</f>
        <v/>
      </c>
      <c r="W461">
        <f>HYPERLINK("https://klasma.github.io/Logging_ARE/klagomålsmail/A 20644-2021.docx")</f>
        <v/>
      </c>
      <c r="X461">
        <f>HYPERLINK("https://klasma.github.io/Logging_ARE/tillsyn/A 20644-2021.docx")</f>
        <v/>
      </c>
      <c r="Y461">
        <f>HYPERLINK("https://klasma.github.io/Logging_ARE/tillsynsmail/A 20644-2021.docx")</f>
        <v/>
      </c>
    </row>
    <row r="462" ht="15" customHeight="1">
      <c r="A462" t="inlineStr">
        <is>
          <t>A 23682-2021</t>
        </is>
      </c>
      <c r="B462" s="1" t="n">
        <v>44334</v>
      </c>
      <c r="C462" s="1" t="n">
        <v>45182</v>
      </c>
      <c r="D462" t="inlineStr">
        <is>
          <t>JÄMTLANDS LÄN</t>
        </is>
      </c>
      <c r="E462" t="inlineStr">
        <is>
          <t>RAGUNDA</t>
        </is>
      </c>
      <c r="G462" t="n">
        <v>9.199999999999999</v>
      </c>
      <c r="H462" t="n">
        <v>1</v>
      </c>
      <c r="I462" t="n">
        <v>0</v>
      </c>
      <c r="J462" t="n">
        <v>3</v>
      </c>
      <c r="K462" t="n">
        <v>1</v>
      </c>
      <c r="L462" t="n">
        <v>0</v>
      </c>
      <c r="M462" t="n">
        <v>0</v>
      </c>
      <c r="N462" t="n">
        <v>0</v>
      </c>
      <c r="O462" t="n">
        <v>4</v>
      </c>
      <c r="P462" t="n">
        <v>1</v>
      </c>
      <c r="Q462" t="n">
        <v>4</v>
      </c>
      <c r="R462" s="2" t="inlineStr">
        <is>
          <t>Knärot
Garnlav
Lunglav
Rosenticka</t>
        </is>
      </c>
      <c r="S462">
        <f>HYPERLINK("https://klasma.github.io/Logging_RAGUNDA/artfynd/A 23682-2021.xlsx")</f>
        <v/>
      </c>
      <c r="T462">
        <f>HYPERLINK("https://klasma.github.io/Logging_RAGUNDA/kartor/A 23682-2021.png")</f>
        <v/>
      </c>
      <c r="U462">
        <f>HYPERLINK("https://klasma.github.io/Logging_RAGUNDA/knärot/A 23682-2021.png")</f>
        <v/>
      </c>
      <c r="V462">
        <f>HYPERLINK("https://klasma.github.io/Logging_RAGUNDA/klagomål/A 23682-2021.docx")</f>
        <v/>
      </c>
      <c r="W462">
        <f>HYPERLINK("https://klasma.github.io/Logging_RAGUNDA/klagomålsmail/A 23682-2021.docx")</f>
        <v/>
      </c>
      <c r="X462">
        <f>HYPERLINK("https://klasma.github.io/Logging_RAGUNDA/tillsyn/A 23682-2021.docx")</f>
        <v/>
      </c>
      <c r="Y462">
        <f>HYPERLINK("https://klasma.github.io/Logging_RAGUNDA/tillsynsmail/A 23682-2021.docx")</f>
        <v/>
      </c>
    </row>
    <row r="463" ht="15" customHeight="1">
      <c r="A463" t="inlineStr">
        <is>
          <t>A 23663-2021</t>
        </is>
      </c>
      <c r="B463" s="1" t="n">
        <v>44334</v>
      </c>
      <c r="C463" s="1" t="n">
        <v>45182</v>
      </c>
      <c r="D463" t="inlineStr">
        <is>
          <t>JÄMTLANDS LÄN</t>
        </is>
      </c>
      <c r="E463" t="inlineStr">
        <is>
          <t>RAGUNDA</t>
        </is>
      </c>
      <c r="G463" t="n">
        <v>9.199999999999999</v>
      </c>
      <c r="H463" t="n">
        <v>1</v>
      </c>
      <c r="I463" t="n">
        <v>0</v>
      </c>
      <c r="J463" t="n">
        <v>3</v>
      </c>
      <c r="K463" t="n">
        <v>1</v>
      </c>
      <c r="L463" t="n">
        <v>0</v>
      </c>
      <c r="M463" t="n">
        <v>0</v>
      </c>
      <c r="N463" t="n">
        <v>0</v>
      </c>
      <c r="O463" t="n">
        <v>4</v>
      </c>
      <c r="P463" t="n">
        <v>1</v>
      </c>
      <c r="Q463" t="n">
        <v>4</v>
      </c>
      <c r="R463" s="2" t="inlineStr">
        <is>
          <t>Knärot
Garnlav
Lunglav
Rosenticka</t>
        </is>
      </c>
      <c r="S463">
        <f>HYPERLINK("https://klasma.github.io/Logging_RAGUNDA/artfynd/A 23663-2021.xlsx")</f>
        <v/>
      </c>
      <c r="T463">
        <f>HYPERLINK("https://klasma.github.io/Logging_RAGUNDA/kartor/A 23663-2021.png")</f>
        <v/>
      </c>
      <c r="U463">
        <f>HYPERLINK("https://klasma.github.io/Logging_RAGUNDA/knärot/A 23663-2021.png")</f>
        <v/>
      </c>
      <c r="V463">
        <f>HYPERLINK("https://klasma.github.io/Logging_RAGUNDA/klagomål/A 23663-2021.docx")</f>
        <v/>
      </c>
      <c r="W463">
        <f>HYPERLINK("https://klasma.github.io/Logging_RAGUNDA/klagomålsmail/A 23663-2021.docx")</f>
        <v/>
      </c>
      <c r="X463">
        <f>HYPERLINK("https://klasma.github.io/Logging_RAGUNDA/tillsyn/A 23663-2021.docx")</f>
        <v/>
      </c>
      <c r="Y463">
        <f>HYPERLINK("https://klasma.github.io/Logging_RAGUNDA/tillsynsmail/A 23663-2021.docx")</f>
        <v/>
      </c>
    </row>
    <row r="464" ht="15" customHeight="1">
      <c r="A464" t="inlineStr">
        <is>
          <t>A 26126-2021</t>
        </is>
      </c>
      <c r="B464" s="1" t="n">
        <v>44345</v>
      </c>
      <c r="C464" s="1" t="n">
        <v>45182</v>
      </c>
      <c r="D464" t="inlineStr">
        <is>
          <t>JÄMTLANDS LÄN</t>
        </is>
      </c>
      <c r="E464" t="inlineStr">
        <is>
          <t>STRÖMSUND</t>
        </is>
      </c>
      <c r="F464" t="inlineStr">
        <is>
          <t>SCA</t>
        </is>
      </c>
      <c r="G464" t="n">
        <v>2.4</v>
      </c>
      <c r="H464" t="n">
        <v>0</v>
      </c>
      <c r="I464" t="n">
        <v>3</v>
      </c>
      <c r="J464" t="n">
        <v>1</v>
      </c>
      <c r="K464" t="n">
        <v>0</v>
      </c>
      <c r="L464" t="n">
        <v>0</v>
      </c>
      <c r="M464" t="n">
        <v>0</v>
      </c>
      <c r="N464" t="n">
        <v>0</v>
      </c>
      <c r="O464" t="n">
        <v>1</v>
      </c>
      <c r="P464" t="n">
        <v>0</v>
      </c>
      <c r="Q464" t="n">
        <v>4</v>
      </c>
      <c r="R464" s="2" t="inlineStr">
        <is>
          <t>Violettgrå tagellav
Skinnlav
Stuplav
Vedticka</t>
        </is>
      </c>
      <c r="S464">
        <f>HYPERLINK("https://klasma.github.io/Logging_STROMSUND/artfynd/A 26126-2021.xlsx")</f>
        <v/>
      </c>
      <c r="T464">
        <f>HYPERLINK("https://klasma.github.io/Logging_STROMSUND/kartor/A 26126-2021.png")</f>
        <v/>
      </c>
      <c r="V464">
        <f>HYPERLINK("https://klasma.github.io/Logging_STROMSUND/klagomål/A 26126-2021.docx")</f>
        <v/>
      </c>
      <c r="W464">
        <f>HYPERLINK("https://klasma.github.io/Logging_STROMSUND/klagomålsmail/A 26126-2021.docx")</f>
        <v/>
      </c>
      <c r="X464">
        <f>HYPERLINK("https://klasma.github.io/Logging_STROMSUND/tillsyn/A 26126-2021.docx")</f>
        <v/>
      </c>
      <c r="Y464">
        <f>HYPERLINK("https://klasma.github.io/Logging_STROMSUND/tillsynsmail/A 26126-2021.docx")</f>
        <v/>
      </c>
    </row>
    <row r="465" ht="15" customHeight="1">
      <c r="A465" t="inlineStr">
        <is>
          <t>A 26672-2021</t>
        </is>
      </c>
      <c r="B465" s="1" t="n">
        <v>44348</v>
      </c>
      <c r="C465" s="1" t="n">
        <v>45182</v>
      </c>
      <c r="D465" t="inlineStr">
        <is>
          <t>JÄMTLANDS LÄN</t>
        </is>
      </c>
      <c r="E465" t="inlineStr">
        <is>
          <t>BRÄCKE</t>
        </is>
      </c>
      <c r="F465" t="inlineStr">
        <is>
          <t>SCA</t>
        </is>
      </c>
      <c r="G465" t="n">
        <v>9.4</v>
      </c>
      <c r="H465" t="n">
        <v>1</v>
      </c>
      <c r="I465" t="n">
        <v>1</v>
      </c>
      <c r="J465" t="n">
        <v>2</v>
      </c>
      <c r="K465" t="n">
        <v>0</v>
      </c>
      <c r="L465" t="n">
        <v>0</v>
      </c>
      <c r="M465" t="n">
        <v>0</v>
      </c>
      <c r="N465" t="n">
        <v>0</v>
      </c>
      <c r="O465" t="n">
        <v>2</v>
      </c>
      <c r="P465" t="n">
        <v>0</v>
      </c>
      <c r="Q465" t="n">
        <v>4</v>
      </c>
      <c r="R465" s="2" t="inlineStr">
        <is>
          <t>Lunglav
Vedtrappmossa
Stuplav
Revlummer</t>
        </is>
      </c>
      <c r="S465">
        <f>HYPERLINK("https://klasma.github.io/Logging_BRACKE/artfynd/A 26672-2021.xlsx")</f>
        <v/>
      </c>
      <c r="T465">
        <f>HYPERLINK("https://klasma.github.io/Logging_BRACKE/kartor/A 26672-2021.png")</f>
        <v/>
      </c>
      <c r="V465">
        <f>HYPERLINK("https://klasma.github.io/Logging_BRACKE/klagomål/A 26672-2021.docx")</f>
        <v/>
      </c>
      <c r="W465">
        <f>HYPERLINK("https://klasma.github.io/Logging_BRACKE/klagomålsmail/A 26672-2021.docx")</f>
        <v/>
      </c>
      <c r="X465">
        <f>HYPERLINK("https://klasma.github.io/Logging_BRACKE/tillsyn/A 26672-2021.docx")</f>
        <v/>
      </c>
      <c r="Y465">
        <f>HYPERLINK("https://klasma.github.io/Logging_BRACKE/tillsynsmail/A 26672-2021.docx")</f>
        <v/>
      </c>
    </row>
    <row r="466" ht="15" customHeight="1">
      <c r="A466" t="inlineStr">
        <is>
          <t>A 28544-2021</t>
        </is>
      </c>
      <c r="B466" s="1" t="n">
        <v>44356</v>
      </c>
      <c r="C466" s="1" t="n">
        <v>45182</v>
      </c>
      <c r="D466" t="inlineStr">
        <is>
          <t>JÄMTLANDS LÄN</t>
        </is>
      </c>
      <c r="E466" t="inlineStr">
        <is>
          <t>STRÖMSUND</t>
        </is>
      </c>
      <c r="G466" t="n">
        <v>7.4</v>
      </c>
      <c r="H466" t="n">
        <v>2</v>
      </c>
      <c r="I466" t="n">
        <v>2</v>
      </c>
      <c r="J466" t="n">
        <v>1</v>
      </c>
      <c r="K466" t="n">
        <v>0</v>
      </c>
      <c r="L466" t="n">
        <v>0</v>
      </c>
      <c r="M466" t="n">
        <v>0</v>
      </c>
      <c r="N466" t="n">
        <v>0</v>
      </c>
      <c r="O466" t="n">
        <v>1</v>
      </c>
      <c r="P466" t="n">
        <v>0</v>
      </c>
      <c r="Q466" t="n">
        <v>4</v>
      </c>
      <c r="R466" s="2" t="inlineStr">
        <is>
          <t>Barrviolspindling
Grönkulla
Kryddspindling
Blåsippa</t>
        </is>
      </c>
      <c r="S466">
        <f>HYPERLINK("https://klasma.github.io/Logging_STROMSUND/artfynd/A 28544-2021.xlsx")</f>
        <v/>
      </c>
      <c r="T466">
        <f>HYPERLINK("https://klasma.github.io/Logging_STROMSUND/kartor/A 28544-2021.png")</f>
        <v/>
      </c>
      <c r="V466">
        <f>HYPERLINK("https://klasma.github.io/Logging_STROMSUND/klagomål/A 28544-2021.docx")</f>
        <v/>
      </c>
      <c r="W466">
        <f>HYPERLINK("https://klasma.github.io/Logging_STROMSUND/klagomålsmail/A 28544-2021.docx")</f>
        <v/>
      </c>
      <c r="X466">
        <f>HYPERLINK("https://klasma.github.io/Logging_STROMSUND/tillsyn/A 28544-2021.docx")</f>
        <v/>
      </c>
      <c r="Y466">
        <f>HYPERLINK("https://klasma.github.io/Logging_STROMSUND/tillsynsmail/A 28544-2021.docx")</f>
        <v/>
      </c>
    </row>
    <row r="467" ht="15" customHeight="1">
      <c r="A467" t="inlineStr">
        <is>
          <t>A 32277-2021</t>
        </is>
      </c>
      <c r="B467" s="1" t="n">
        <v>44371</v>
      </c>
      <c r="C467" s="1" t="n">
        <v>45182</v>
      </c>
      <c r="D467" t="inlineStr">
        <is>
          <t>JÄMTLANDS LÄN</t>
        </is>
      </c>
      <c r="E467" t="inlineStr">
        <is>
          <t>STRÖMSUND</t>
        </is>
      </c>
      <c r="F467" t="inlineStr">
        <is>
          <t>SCA</t>
        </is>
      </c>
      <c r="G467" t="n">
        <v>17.6</v>
      </c>
      <c r="H467" t="n">
        <v>0</v>
      </c>
      <c r="I467" t="n">
        <v>0</v>
      </c>
      <c r="J467" t="n">
        <v>3</v>
      </c>
      <c r="K467" t="n">
        <v>1</v>
      </c>
      <c r="L467" t="n">
        <v>0</v>
      </c>
      <c r="M467" t="n">
        <v>0</v>
      </c>
      <c r="N467" t="n">
        <v>0</v>
      </c>
      <c r="O467" t="n">
        <v>4</v>
      </c>
      <c r="P467" t="n">
        <v>1</v>
      </c>
      <c r="Q467" t="n">
        <v>4</v>
      </c>
      <c r="R467" s="2" t="inlineStr">
        <is>
          <t>Norsk näverlav
Gränsticka
Harticka
Stjärntagging</t>
        </is>
      </c>
      <c r="S467">
        <f>HYPERLINK("https://klasma.github.io/Logging_STROMSUND/artfynd/A 32277-2021.xlsx")</f>
        <v/>
      </c>
      <c r="T467">
        <f>HYPERLINK("https://klasma.github.io/Logging_STROMSUND/kartor/A 32277-2021.png")</f>
        <v/>
      </c>
      <c r="V467">
        <f>HYPERLINK("https://klasma.github.io/Logging_STROMSUND/klagomål/A 32277-2021.docx")</f>
        <v/>
      </c>
      <c r="W467">
        <f>HYPERLINK("https://klasma.github.io/Logging_STROMSUND/klagomålsmail/A 32277-2021.docx")</f>
        <v/>
      </c>
      <c r="X467">
        <f>HYPERLINK("https://klasma.github.io/Logging_STROMSUND/tillsyn/A 32277-2021.docx")</f>
        <v/>
      </c>
      <c r="Y467">
        <f>HYPERLINK("https://klasma.github.io/Logging_STROMSUND/tillsynsmail/A 32277-2021.docx")</f>
        <v/>
      </c>
    </row>
    <row r="468" ht="15" customHeight="1">
      <c r="A468" t="inlineStr">
        <is>
          <t>A 32968-2021</t>
        </is>
      </c>
      <c r="B468" s="1" t="n">
        <v>44376</v>
      </c>
      <c r="C468" s="1" t="n">
        <v>45182</v>
      </c>
      <c r="D468" t="inlineStr">
        <is>
          <t>JÄMTLANDS LÄN</t>
        </is>
      </c>
      <c r="E468" t="inlineStr">
        <is>
          <t>STRÖMSUND</t>
        </is>
      </c>
      <c r="F468" t="inlineStr">
        <is>
          <t>SCA</t>
        </is>
      </c>
      <c r="G468" t="n">
        <v>34.3</v>
      </c>
      <c r="H468" t="n">
        <v>1</v>
      </c>
      <c r="I468" t="n">
        <v>0</v>
      </c>
      <c r="J468" t="n">
        <v>4</v>
      </c>
      <c r="K468" t="n">
        <v>0</v>
      </c>
      <c r="L468" t="n">
        <v>0</v>
      </c>
      <c r="M468" t="n">
        <v>0</v>
      </c>
      <c r="N468" t="n">
        <v>0</v>
      </c>
      <c r="O468" t="n">
        <v>4</v>
      </c>
      <c r="P468" t="n">
        <v>0</v>
      </c>
      <c r="Q468" t="n">
        <v>4</v>
      </c>
      <c r="R468" s="2" t="inlineStr">
        <is>
          <t>Granticka
Lunglav
Skrovellav
Tretåig hackspett</t>
        </is>
      </c>
      <c r="S468">
        <f>HYPERLINK("https://klasma.github.io/Logging_STROMSUND/artfynd/A 32968-2021.xlsx")</f>
        <v/>
      </c>
      <c r="T468">
        <f>HYPERLINK("https://klasma.github.io/Logging_STROMSUND/kartor/A 32968-2021.png")</f>
        <v/>
      </c>
      <c r="V468">
        <f>HYPERLINK("https://klasma.github.io/Logging_STROMSUND/klagomål/A 32968-2021.docx")</f>
        <v/>
      </c>
      <c r="W468">
        <f>HYPERLINK("https://klasma.github.io/Logging_STROMSUND/klagomålsmail/A 32968-2021.docx")</f>
        <v/>
      </c>
      <c r="X468">
        <f>HYPERLINK("https://klasma.github.io/Logging_STROMSUND/tillsyn/A 32968-2021.docx")</f>
        <v/>
      </c>
      <c r="Y468">
        <f>HYPERLINK("https://klasma.github.io/Logging_STROMSUND/tillsynsmail/A 32968-2021.docx")</f>
        <v/>
      </c>
    </row>
    <row r="469" ht="15" customHeight="1">
      <c r="A469" t="inlineStr">
        <is>
          <t>A 36820-2021</t>
        </is>
      </c>
      <c r="B469" s="1" t="n">
        <v>44392</v>
      </c>
      <c r="C469" s="1" t="n">
        <v>45182</v>
      </c>
      <c r="D469" t="inlineStr">
        <is>
          <t>JÄMTLANDS LÄN</t>
        </is>
      </c>
      <c r="E469" t="inlineStr">
        <is>
          <t>BRÄCKE</t>
        </is>
      </c>
      <c r="F469" t="inlineStr">
        <is>
          <t>SCA</t>
        </is>
      </c>
      <c r="G469" t="n">
        <v>2.4</v>
      </c>
      <c r="H469" t="n">
        <v>1</v>
      </c>
      <c r="I469" t="n">
        <v>0</v>
      </c>
      <c r="J469" t="n">
        <v>3</v>
      </c>
      <c r="K469" t="n">
        <v>1</v>
      </c>
      <c r="L469" t="n">
        <v>0</v>
      </c>
      <c r="M469" t="n">
        <v>0</v>
      </c>
      <c r="N469" t="n">
        <v>0</v>
      </c>
      <c r="O469" t="n">
        <v>4</v>
      </c>
      <c r="P469" t="n">
        <v>1</v>
      </c>
      <c r="Q469" t="n">
        <v>4</v>
      </c>
      <c r="R469" s="2" t="inlineStr">
        <is>
          <t>Knärot
Lunglav
Skrovellav
Vitgrynig nållav</t>
        </is>
      </c>
      <c r="S469">
        <f>HYPERLINK("https://klasma.github.io/Logging_BRACKE/artfynd/A 36820-2021.xlsx")</f>
        <v/>
      </c>
      <c r="T469">
        <f>HYPERLINK("https://klasma.github.io/Logging_BRACKE/kartor/A 36820-2021.png")</f>
        <v/>
      </c>
      <c r="U469">
        <f>HYPERLINK("https://klasma.github.io/Logging_BRACKE/knärot/A 36820-2021.png")</f>
        <v/>
      </c>
      <c r="V469">
        <f>HYPERLINK("https://klasma.github.io/Logging_BRACKE/klagomål/A 36820-2021.docx")</f>
        <v/>
      </c>
      <c r="W469">
        <f>HYPERLINK("https://klasma.github.io/Logging_BRACKE/klagomålsmail/A 36820-2021.docx")</f>
        <v/>
      </c>
      <c r="X469">
        <f>HYPERLINK("https://klasma.github.io/Logging_BRACKE/tillsyn/A 36820-2021.docx")</f>
        <v/>
      </c>
      <c r="Y469">
        <f>HYPERLINK("https://klasma.github.io/Logging_BRACKE/tillsynsmail/A 36820-2021.docx")</f>
        <v/>
      </c>
    </row>
    <row r="470" ht="15" customHeight="1">
      <c r="A470" t="inlineStr">
        <is>
          <t>A 37958-2021</t>
        </is>
      </c>
      <c r="B470" s="1" t="n">
        <v>44403</v>
      </c>
      <c r="C470" s="1" t="n">
        <v>45182</v>
      </c>
      <c r="D470" t="inlineStr">
        <is>
          <t>JÄMTLANDS LÄN</t>
        </is>
      </c>
      <c r="E470" t="inlineStr">
        <is>
          <t>BRÄCKE</t>
        </is>
      </c>
      <c r="F470" t="inlineStr">
        <is>
          <t>SCA</t>
        </is>
      </c>
      <c r="G470" t="n">
        <v>3.5</v>
      </c>
      <c r="H470" t="n">
        <v>0</v>
      </c>
      <c r="I470" t="n">
        <v>0</v>
      </c>
      <c r="J470" t="n">
        <v>4</v>
      </c>
      <c r="K470" t="n">
        <v>0</v>
      </c>
      <c r="L470" t="n">
        <v>0</v>
      </c>
      <c r="M470" t="n">
        <v>0</v>
      </c>
      <c r="N470" t="n">
        <v>0</v>
      </c>
      <c r="O470" t="n">
        <v>4</v>
      </c>
      <c r="P470" t="n">
        <v>0</v>
      </c>
      <c r="Q470" t="n">
        <v>4</v>
      </c>
      <c r="R470" s="2" t="inlineStr">
        <is>
          <t>Dvärgbägarlav
Kolflarnlav
Lunglav
Vedtrappmossa</t>
        </is>
      </c>
      <c r="S470">
        <f>HYPERLINK("https://klasma.github.io/Logging_BRACKE/artfynd/A 37958-2021.xlsx")</f>
        <v/>
      </c>
      <c r="T470">
        <f>HYPERLINK("https://klasma.github.io/Logging_BRACKE/kartor/A 37958-2021.png")</f>
        <v/>
      </c>
      <c r="V470">
        <f>HYPERLINK("https://klasma.github.io/Logging_BRACKE/klagomål/A 37958-2021.docx")</f>
        <v/>
      </c>
      <c r="W470">
        <f>HYPERLINK("https://klasma.github.io/Logging_BRACKE/klagomålsmail/A 37958-2021.docx")</f>
        <v/>
      </c>
      <c r="X470">
        <f>HYPERLINK("https://klasma.github.io/Logging_BRACKE/tillsyn/A 37958-2021.docx")</f>
        <v/>
      </c>
      <c r="Y470">
        <f>HYPERLINK("https://klasma.github.io/Logging_BRACKE/tillsynsmail/A 37958-2021.docx")</f>
        <v/>
      </c>
    </row>
    <row r="471" ht="15" customHeight="1">
      <c r="A471" t="inlineStr">
        <is>
          <t>A 38588-2021</t>
        </is>
      </c>
      <c r="B471" s="1" t="n">
        <v>44407</v>
      </c>
      <c r="C471" s="1" t="n">
        <v>45182</v>
      </c>
      <c r="D471" t="inlineStr">
        <is>
          <t>JÄMTLANDS LÄN</t>
        </is>
      </c>
      <c r="E471" t="inlineStr">
        <is>
          <t>STRÖMSUND</t>
        </is>
      </c>
      <c r="F471" t="inlineStr">
        <is>
          <t>SCA</t>
        </is>
      </c>
      <c r="G471" t="n">
        <v>7.4</v>
      </c>
      <c r="H471" t="n">
        <v>0</v>
      </c>
      <c r="I471" t="n">
        <v>0</v>
      </c>
      <c r="J471" t="n">
        <v>4</v>
      </c>
      <c r="K471" t="n">
        <v>0</v>
      </c>
      <c r="L471" t="n">
        <v>0</v>
      </c>
      <c r="M471" t="n">
        <v>0</v>
      </c>
      <c r="N471" t="n">
        <v>0</v>
      </c>
      <c r="O471" t="n">
        <v>4</v>
      </c>
      <c r="P471" t="n">
        <v>0</v>
      </c>
      <c r="Q471" t="n">
        <v>4</v>
      </c>
      <c r="R471" s="2" t="inlineStr">
        <is>
          <t>Gammelgransskål
Garnlav
Harticka
Vitgrynig nållav</t>
        </is>
      </c>
      <c r="S471">
        <f>HYPERLINK("https://klasma.github.io/Logging_STROMSUND/artfynd/A 38588-2021.xlsx")</f>
        <v/>
      </c>
      <c r="T471">
        <f>HYPERLINK("https://klasma.github.io/Logging_STROMSUND/kartor/A 38588-2021.png")</f>
        <v/>
      </c>
      <c r="V471">
        <f>HYPERLINK("https://klasma.github.io/Logging_STROMSUND/klagomål/A 38588-2021.docx")</f>
        <v/>
      </c>
      <c r="W471">
        <f>HYPERLINK("https://klasma.github.io/Logging_STROMSUND/klagomålsmail/A 38588-2021.docx")</f>
        <v/>
      </c>
      <c r="X471">
        <f>HYPERLINK("https://klasma.github.io/Logging_STROMSUND/tillsyn/A 38588-2021.docx")</f>
        <v/>
      </c>
      <c r="Y471">
        <f>HYPERLINK("https://klasma.github.io/Logging_STROMSUND/tillsynsmail/A 38588-2021.docx")</f>
        <v/>
      </c>
    </row>
    <row r="472" ht="15" customHeight="1">
      <c r="A472" t="inlineStr">
        <is>
          <t>A 44601-2021</t>
        </is>
      </c>
      <c r="B472" s="1" t="n">
        <v>44435</v>
      </c>
      <c r="C472" s="1" t="n">
        <v>45182</v>
      </c>
      <c r="D472" t="inlineStr">
        <is>
          <t>JÄMTLANDS LÄN</t>
        </is>
      </c>
      <c r="E472" t="inlineStr">
        <is>
          <t>STRÖMSUND</t>
        </is>
      </c>
      <c r="F472" t="inlineStr">
        <is>
          <t>SCA</t>
        </is>
      </c>
      <c r="G472" t="n">
        <v>10.7</v>
      </c>
      <c r="H472" t="n">
        <v>0</v>
      </c>
      <c r="I472" t="n">
        <v>1</v>
      </c>
      <c r="J472" t="n">
        <v>3</v>
      </c>
      <c r="K472" t="n">
        <v>0</v>
      </c>
      <c r="L472" t="n">
        <v>0</v>
      </c>
      <c r="M472" t="n">
        <v>0</v>
      </c>
      <c r="N472" t="n">
        <v>0</v>
      </c>
      <c r="O472" t="n">
        <v>3</v>
      </c>
      <c r="P472" t="n">
        <v>0</v>
      </c>
      <c r="Q472" t="n">
        <v>4</v>
      </c>
      <c r="R472" s="2" t="inlineStr">
        <is>
          <t>Garnlav
Granticka
Lunglav
Stuplav</t>
        </is>
      </c>
      <c r="S472">
        <f>HYPERLINK("https://klasma.github.io/Logging_STROMSUND/artfynd/A 44601-2021.xlsx")</f>
        <v/>
      </c>
      <c r="T472">
        <f>HYPERLINK("https://klasma.github.io/Logging_STROMSUND/kartor/A 44601-2021.png")</f>
        <v/>
      </c>
      <c r="V472">
        <f>HYPERLINK("https://klasma.github.io/Logging_STROMSUND/klagomål/A 44601-2021.docx")</f>
        <v/>
      </c>
      <c r="W472">
        <f>HYPERLINK("https://klasma.github.io/Logging_STROMSUND/klagomålsmail/A 44601-2021.docx")</f>
        <v/>
      </c>
      <c r="X472">
        <f>HYPERLINK("https://klasma.github.io/Logging_STROMSUND/tillsyn/A 44601-2021.docx")</f>
        <v/>
      </c>
      <c r="Y472">
        <f>HYPERLINK("https://klasma.github.io/Logging_STROMSUND/tillsynsmail/A 44601-2021.docx")</f>
        <v/>
      </c>
    </row>
    <row r="473" ht="15" customHeight="1">
      <c r="A473" t="inlineStr">
        <is>
          <t>A 47165-2021</t>
        </is>
      </c>
      <c r="B473" s="1" t="n">
        <v>44446</v>
      </c>
      <c r="C473" s="1" t="n">
        <v>45182</v>
      </c>
      <c r="D473" t="inlineStr">
        <is>
          <t>JÄMTLANDS LÄN</t>
        </is>
      </c>
      <c r="E473" t="inlineStr">
        <is>
          <t>RAGUNDA</t>
        </is>
      </c>
      <c r="F473" t="inlineStr">
        <is>
          <t>SCA</t>
        </is>
      </c>
      <c r="G473" t="n">
        <v>1.8</v>
      </c>
      <c r="H473" t="n">
        <v>0</v>
      </c>
      <c r="I473" t="n">
        <v>0</v>
      </c>
      <c r="J473" t="n">
        <v>4</v>
      </c>
      <c r="K473" t="n">
        <v>0</v>
      </c>
      <c r="L473" t="n">
        <v>0</v>
      </c>
      <c r="M473" t="n">
        <v>0</v>
      </c>
      <c r="N473" t="n">
        <v>0</v>
      </c>
      <c r="O473" t="n">
        <v>4</v>
      </c>
      <c r="P473" t="n">
        <v>0</v>
      </c>
      <c r="Q473" t="n">
        <v>4</v>
      </c>
      <c r="R473" s="2" t="inlineStr">
        <is>
          <t>Garnlav
Lunglav
Mörk kolflarnlav
Ullticka</t>
        </is>
      </c>
      <c r="S473">
        <f>HYPERLINK("https://klasma.github.io/Logging_RAGUNDA/artfynd/A 47165-2021.xlsx")</f>
        <v/>
      </c>
      <c r="T473">
        <f>HYPERLINK("https://klasma.github.io/Logging_RAGUNDA/kartor/A 47165-2021.png")</f>
        <v/>
      </c>
      <c r="V473">
        <f>HYPERLINK("https://klasma.github.io/Logging_RAGUNDA/klagomål/A 47165-2021.docx")</f>
        <v/>
      </c>
      <c r="W473">
        <f>HYPERLINK("https://klasma.github.io/Logging_RAGUNDA/klagomålsmail/A 47165-2021.docx")</f>
        <v/>
      </c>
      <c r="X473">
        <f>HYPERLINK("https://klasma.github.io/Logging_RAGUNDA/tillsyn/A 47165-2021.docx")</f>
        <v/>
      </c>
      <c r="Y473">
        <f>HYPERLINK("https://klasma.github.io/Logging_RAGUNDA/tillsynsmail/A 47165-2021.docx")</f>
        <v/>
      </c>
    </row>
    <row r="474" ht="15" customHeight="1">
      <c r="A474" t="inlineStr">
        <is>
          <t>A 64967-2021</t>
        </is>
      </c>
      <c r="B474" s="1" t="n">
        <v>44512</v>
      </c>
      <c r="C474" s="1" t="n">
        <v>45182</v>
      </c>
      <c r="D474" t="inlineStr">
        <is>
          <t>JÄMTLANDS LÄN</t>
        </is>
      </c>
      <c r="E474" t="inlineStr">
        <is>
          <t>KROKOM</t>
        </is>
      </c>
      <c r="F474" t="inlineStr">
        <is>
          <t>SCA</t>
        </is>
      </c>
      <c r="G474" t="n">
        <v>5.6</v>
      </c>
      <c r="H474" t="n">
        <v>3</v>
      </c>
      <c r="I474" t="n">
        <v>1</v>
      </c>
      <c r="J474" t="n">
        <v>1</v>
      </c>
      <c r="K474" t="n">
        <v>0</v>
      </c>
      <c r="L474" t="n">
        <v>0</v>
      </c>
      <c r="M474" t="n">
        <v>0</v>
      </c>
      <c r="N474" t="n">
        <v>0</v>
      </c>
      <c r="O474" t="n">
        <v>1</v>
      </c>
      <c r="P474" t="n">
        <v>0</v>
      </c>
      <c r="Q474" t="n">
        <v>4</v>
      </c>
      <c r="R474" s="2" t="inlineStr">
        <is>
          <t>Dofttaggsvamp
Plattlummer
Lopplummer
Revlummer</t>
        </is>
      </c>
      <c r="S474">
        <f>HYPERLINK("https://klasma.github.io/Logging_KROKOM/artfynd/A 64967-2021.xlsx")</f>
        <v/>
      </c>
      <c r="T474">
        <f>HYPERLINK("https://klasma.github.io/Logging_KROKOM/kartor/A 64967-2021.png")</f>
        <v/>
      </c>
      <c r="V474">
        <f>HYPERLINK("https://klasma.github.io/Logging_KROKOM/klagomål/A 64967-2021.docx")</f>
        <v/>
      </c>
      <c r="W474">
        <f>HYPERLINK("https://klasma.github.io/Logging_KROKOM/klagomålsmail/A 64967-2021.docx")</f>
        <v/>
      </c>
      <c r="X474">
        <f>HYPERLINK("https://klasma.github.io/Logging_KROKOM/tillsyn/A 64967-2021.docx")</f>
        <v/>
      </c>
      <c r="Y474">
        <f>HYPERLINK("https://klasma.github.io/Logging_KROKOM/tillsynsmail/A 64967-2021.docx")</f>
        <v/>
      </c>
    </row>
    <row r="475" ht="15" customHeight="1">
      <c r="A475" t="inlineStr">
        <is>
          <t>A 73935-2021</t>
        </is>
      </c>
      <c r="B475" s="1" t="n">
        <v>44553</v>
      </c>
      <c r="C475" s="1" t="n">
        <v>45182</v>
      </c>
      <c r="D475" t="inlineStr">
        <is>
          <t>JÄMTLANDS LÄN</t>
        </is>
      </c>
      <c r="E475" t="inlineStr">
        <is>
          <t>KROKOM</t>
        </is>
      </c>
      <c r="G475" t="n">
        <v>391.3</v>
      </c>
      <c r="H475" t="n">
        <v>3</v>
      </c>
      <c r="I475" t="n">
        <v>0</v>
      </c>
      <c r="J475" t="n">
        <v>2</v>
      </c>
      <c r="K475" t="n">
        <v>0</v>
      </c>
      <c r="L475" t="n">
        <v>0</v>
      </c>
      <c r="M475" t="n">
        <v>0</v>
      </c>
      <c r="N475" t="n">
        <v>0</v>
      </c>
      <c r="O475" t="n">
        <v>2</v>
      </c>
      <c r="P475" t="n">
        <v>0</v>
      </c>
      <c r="Q475" t="n">
        <v>4</v>
      </c>
      <c r="R475" s="2" t="inlineStr">
        <is>
          <t>Doftskinn
Tretåig hackspett
Nattviol
Revlummer</t>
        </is>
      </c>
      <c r="S475">
        <f>HYPERLINK("https://klasma.github.io/Logging_KROKOM/artfynd/A 73935-2021.xlsx")</f>
        <v/>
      </c>
      <c r="T475">
        <f>HYPERLINK("https://klasma.github.io/Logging_KROKOM/kartor/A 73935-2021.png")</f>
        <v/>
      </c>
      <c r="V475">
        <f>HYPERLINK("https://klasma.github.io/Logging_KROKOM/klagomål/A 73935-2021.docx")</f>
        <v/>
      </c>
      <c r="W475">
        <f>HYPERLINK("https://klasma.github.io/Logging_KROKOM/klagomålsmail/A 73935-2021.docx")</f>
        <v/>
      </c>
      <c r="X475">
        <f>HYPERLINK("https://klasma.github.io/Logging_KROKOM/tillsyn/A 73935-2021.docx")</f>
        <v/>
      </c>
      <c r="Y475">
        <f>HYPERLINK("https://klasma.github.io/Logging_KROKOM/tillsynsmail/A 73935-2021.docx")</f>
        <v/>
      </c>
    </row>
    <row r="476" ht="15" customHeight="1">
      <c r="A476" t="inlineStr">
        <is>
          <t>A 2022-2022</t>
        </is>
      </c>
      <c r="B476" s="1" t="n">
        <v>44575</v>
      </c>
      <c r="C476" s="1" t="n">
        <v>45182</v>
      </c>
      <c r="D476" t="inlineStr">
        <is>
          <t>JÄMTLANDS LÄN</t>
        </is>
      </c>
      <c r="E476" t="inlineStr">
        <is>
          <t>ÅRE</t>
        </is>
      </c>
      <c r="G476" t="n">
        <v>110</v>
      </c>
      <c r="H476" t="n">
        <v>2</v>
      </c>
      <c r="I476" t="n">
        <v>1</v>
      </c>
      <c r="J476" t="n">
        <v>3</v>
      </c>
      <c r="K476" t="n">
        <v>0</v>
      </c>
      <c r="L476" t="n">
        <v>0</v>
      </c>
      <c r="M476" t="n">
        <v>0</v>
      </c>
      <c r="N476" t="n">
        <v>0</v>
      </c>
      <c r="O476" t="n">
        <v>3</v>
      </c>
      <c r="P476" t="n">
        <v>0</v>
      </c>
      <c r="Q476" t="n">
        <v>4</v>
      </c>
      <c r="R476" s="2" t="inlineStr">
        <is>
          <t>Granticka
Klådris
Tretåig hackspett
Spindelblomster</t>
        </is>
      </c>
      <c r="S476">
        <f>HYPERLINK("https://klasma.github.io/Logging_ARE/artfynd/A 2022-2022.xlsx")</f>
        <v/>
      </c>
      <c r="T476">
        <f>HYPERLINK("https://klasma.github.io/Logging_ARE/kartor/A 2022-2022.png")</f>
        <v/>
      </c>
      <c r="V476">
        <f>HYPERLINK("https://klasma.github.io/Logging_ARE/klagomål/A 2022-2022.docx")</f>
        <v/>
      </c>
      <c r="W476">
        <f>HYPERLINK("https://klasma.github.io/Logging_ARE/klagomålsmail/A 2022-2022.docx")</f>
        <v/>
      </c>
      <c r="X476">
        <f>HYPERLINK("https://klasma.github.io/Logging_ARE/tillsyn/A 2022-2022.docx")</f>
        <v/>
      </c>
      <c r="Y476">
        <f>HYPERLINK("https://klasma.github.io/Logging_ARE/tillsynsmail/A 2022-2022.docx")</f>
        <v/>
      </c>
    </row>
    <row r="477" ht="15" customHeight="1">
      <c r="A477" t="inlineStr">
        <is>
          <t>A 3540-2022</t>
        </is>
      </c>
      <c r="B477" s="1" t="n">
        <v>44585</v>
      </c>
      <c r="C477" s="1" t="n">
        <v>45182</v>
      </c>
      <c r="D477" t="inlineStr">
        <is>
          <t>JÄMTLANDS LÄN</t>
        </is>
      </c>
      <c r="E477" t="inlineStr">
        <is>
          <t>STRÖMSUND</t>
        </is>
      </c>
      <c r="F477" t="inlineStr">
        <is>
          <t>SCA</t>
        </is>
      </c>
      <c r="G477" t="n">
        <v>10.3</v>
      </c>
      <c r="H477" t="n">
        <v>0</v>
      </c>
      <c r="I477" t="n">
        <v>0</v>
      </c>
      <c r="J477" t="n">
        <v>3</v>
      </c>
      <c r="K477" t="n">
        <v>1</v>
      </c>
      <c r="L477" t="n">
        <v>0</v>
      </c>
      <c r="M477" t="n">
        <v>0</v>
      </c>
      <c r="N477" t="n">
        <v>0</v>
      </c>
      <c r="O477" t="n">
        <v>4</v>
      </c>
      <c r="P477" t="n">
        <v>1</v>
      </c>
      <c r="Q477" t="n">
        <v>4</v>
      </c>
      <c r="R477" s="2" t="inlineStr">
        <is>
          <t>Rynkskinn
Granticka
Harticka
Skrovellav</t>
        </is>
      </c>
      <c r="S477">
        <f>HYPERLINK("https://klasma.github.io/Logging_STROMSUND/artfynd/A 3540-2022.xlsx")</f>
        <v/>
      </c>
      <c r="T477">
        <f>HYPERLINK("https://klasma.github.io/Logging_STROMSUND/kartor/A 3540-2022.png")</f>
        <v/>
      </c>
      <c r="V477">
        <f>HYPERLINK("https://klasma.github.io/Logging_STROMSUND/klagomål/A 3540-2022.docx")</f>
        <v/>
      </c>
      <c r="W477">
        <f>HYPERLINK("https://klasma.github.io/Logging_STROMSUND/klagomålsmail/A 3540-2022.docx")</f>
        <v/>
      </c>
      <c r="X477">
        <f>HYPERLINK("https://klasma.github.io/Logging_STROMSUND/tillsyn/A 3540-2022.docx")</f>
        <v/>
      </c>
      <c r="Y477">
        <f>HYPERLINK("https://klasma.github.io/Logging_STROMSUND/tillsynsmail/A 3540-2022.docx")</f>
        <v/>
      </c>
    </row>
    <row r="478" ht="15" customHeight="1">
      <c r="A478" t="inlineStr">
        <is>
          <t>A 7891-2022</t>
        </is>
      </c>
      <c r="B478" s="1" t="n">
        <v>44607</v>
      </c>
      <c r="C478" s="1" t="n">
        <v>45182</v>
      </c>
      <c r="D478" t="inlineStr">
        <is>
          <t>JÄMTLANDS LÄN</t>
        </is>
      </c>
      <c r="E478" t="inlineStr">
        <is>
          <t>BERG</t>
        </is>
      </c>
      <c r="G478" t="n">
        <v>2.5</v>
      </c>
      <c r="H478" t="n">
        <v>3</v>
      </c>
      <c r="I478" t="n">
        <v>0</v>
      </c>
      <c r="J478" t="n">
        <v>1</v>
      </c>
      <c r="K478" t="n">
        <v>1</v>
      </c>
      <c r="L478" t="n">
        <v>0</v>
      </c>
      <c r="M478" t="n">
        <v>0</v>
      </c>
      <c r="N478" t="n">
        <v>0</v>
      </c>
      <c r="O478" t="n">
        <v>2</v>
      </c>
      <c r="P478" t="n">
        <v>1</v>
      </c>
      <c r="Q478" t="n">
        <v>4</v>
      </c>
      <c r="R478" s="2" t="inlineStr">
        <is>
          <t>Knärot
Ullticka
Blåsippa
Revlummer</t>
        </is>
      </c>
      <c r="S478">
        <f>HYPERLINK("https://klasma.github.io/Logging_BERG/artfynd/A 7891-2022.xlsx")</f>
        <v/>
      </c>
      <c r="T478">
        <f>HYPERLINK("https://klasma.github.io/Logging_BERG/kartor/A 7891-2022.png")</f>
        <v/>
      </c>
      <c r="U478">
        <f>HYPERLINK("https://klasma.github.io/Logging_BERG/knärot/A 7891-2022.png")</f>
        <v/>
      </c>
      <c r="V478">
        <f>HYPERLINK("https://klasma.github.io/Logging_BERG/klagomål/A 7891-2022.docx")</f>
        <v/>
      </c>
      <c r="W478">
        <f>HYPERLINK("https://klasma.github.io/Logging_BERG/klagomålsmail/A 7891-2022.docx")</f>
        <v/>
      </c>
      <c r="X478">
        <f>HYPERLINK("https://klasma.github.io/Logging_BERG/tillsyn/A 7891-2022.docx")</f>
        <v/>
      </c>
      <c r="Y478">
        <f>HYPERLINK("https://klasma.github.io/Logging_BERG/tillsynsmail/A 7891-2022.docx")</f>
        <v/>
      </c>
    </row>
    <row r="479" ht="15" customHeight="1">
      <c r="A479" t="inlineStr">
        <is>
          <t>A 8413-2022</t>
        </is>
      </c>
      <c r="B479" s="1" t="n">
        <v>44610</v>
      </c>
      <c r="C479" s="1" t="n">
        <v>45182</v>
      </c>
      <c r="D479" t="inlineStr">
        <is>
          <t>JÄMTLANDS LÄN</t>
        </is>
      </c>
      <c r="E479" t="inlineStr">
        <is>
          <t>RAGUNDA</t>
        </is>
      </c>
      <c r="F479" t="inlineStr">
        <is>
          <t>SCA</t>
        </is>
      </c>
      <c r="G479" t="n">
        <v>2.2</v>
      </c>
      <c r="H479" t="n">
        <v>0</v>
      </c>
      <c r="I479" t="n">
        <v>1</v>
      </c>
      <c r="J479" t="n">
        <v>3</v>
      </c>
      <c r="K479" t="n">
        <v>0</v>
      </c>
      <c r="L479" t="n">
        <v>0</v>
      </c>
      <c r="M479" t="n">
        <v>0</v>
      </c>
      <c r="N479" t="n">
        <v>0</v>
      </c>
      <c r="O479" t="n">
        <v>3</v>
      </c>
      <c r="P479" t="n">
        <v>0</v>
      </c>
      <c r="Q479" t="n">
        <v>4</v>
      </c>
      <c r="R479" s="2" t="inlineStr">
        <is>
          <t>Garnlav
Kolflarnlav
Lunglav
Källmossor</t>
        </is>
      </c>
      <c r="S479">
        <f>HYPERLINK("https://klasma.github.io/Logging_RAGUNDA/artfynd/A 8413-2022.xlsx")</f>
        <v/>
      </c>
      <c r="T479">
        <f>HYPERLINK("https://klasma.github.io/Logging_RAGUNDA/kartor/A 8413-2022.png")</f>
        <v/>
      </c>
      <c r="V479">
        <f>HYPERLINK("https://klasma.github.io/Logging_RAGUNDA/klagomål/A 8413-2022.docx")</f>
        <v/>
      </c>
      <c r="W479">
        <f>HYPERLINK("https://klasma.github.io/Logging_RAGUNDA/klagomålsmail/A 8413-2022.docx")</f>
        <v/>
      </c>
      <c r="X479">
        <f>HYPERLINK("https://klasma.github.io/Logging_RAGUNDA/tillsyn/A 8413-2022.docx")</f>
        <v/>
      </c>
      <c r="Y479">
        <f>HYPERLINK("https://klasma.github.io/Logging_RAGUNDA/tillsynsmail/A 8413-2022.docx")</f>
        <v/>
      </c>
    </row>
    <row r="480" ht="15" customHeight="1">
      <c r="A480" t="inlineStr">
        <is>
          <t>A 10697-2022</t>
        </is>
      </c>
      <c r="B480" s="1" t="n">
        <v>44624</v>
      </c>
      <c r="C480" s="1" t="n">
        <v>45182</v>
      </c>
      <c r="D480" t="inlineStr">
        <is>
          <t>JÄMTLANDS LÄN</t>
        </is>
      </c>
      <c r="E480" t="inlineStr">
        <is>
          <t>RAGUNDA</t>
        </is>
      </c>
      <c r="F480" t="inlineStr">
        <is>
          <t>SCA</t>
        </is>
      </c>
      <c r="G480" t="n">
        <v>3.9</v>
      </c>
      <c r="H480" t="n">
        <v>0</v>
      </c>
      <c r="I480" t="n">
        <v>2</v>
      </c>
      <c r="J480" t="n">
        <v>2</v>
      </c>
      <c r="K480" t="n">
        <v>0</v>
      </c>
      <c r="L480" t="n">
        <v>0</v>
      </c>
      <c r="M480" t="n">
        <v>0</v>
      </c>
      <c r="N480" t="n">
        <v>0</v>
      </c>
      <c r="O480" t="n">
        <v>2</v>
      </c>
      <c r="P480" t="n">
        <v>0</v>
      </c>
      <c r="Q480" t="n">
        <v>4</v>
      </c>
      <c r="R480" s="2" t="inlineStr">
        <is>
          <t>Garnlav
Lunglav
Källmossa
Stuplav</t>
        </is>
      </c>
      <c r="S480">
        <f>HYPERLINK("https://klasma.github.io/Logging_RAGUNDA/artfynd/A 10697-2022.xlsx")</f>
        <v/>
      </c>
      <c r="T480">
        <f>HYPERLINK("https://klasma.github.io/Logging_RAGUNDA/kartor/A 10697-2022.png")</f>
        <v/>
      </c>
      <c r="V480">
        <f>HYPERLINK("https://klasma.github.io/Logging_RAGUNDA/klagomål/A 10697-2022.docx")</f>
        <v/>
      </c>
      <c r="W480">
        <f>HYPERLINK("https://klasma.github.io/Logging_RAGUNDA/klagomålsmail/A 10697-2022.docx")</f>
        <v/>
      </c>
      <c r="X480">
        <f>HYPERLINK("https://klasma.github.io/Logging_RAGUNDA/tillsyn/A 10697-2022.docx")</f>
        <v/>
      </c>
      <c r="Y480">
        <f>HYPERLINK("https://klasma.github.io/Logging_RAGUNDA/tillsynsmail/A 10697-2022.docx")</f>
        <v/>
      </c>
    </row>
    <row r="481" ht="15" customHeight="1">
      <c r="A481" t="inlineStr">
        <is>
          <t>A 12271-2022</t>
        </is>
      </c>
      <c r="B481" s="1" t="n">
        <v>44637</v>
      </c>
      <c r="C481" s="1" t="n">
        <v>45182</v>
      </c>
      <c r="D481" t="inlineStr">
        <is>
          <t>JÄMTLANDS LÄN</t>
        </is>
      </c>
      <c r="E481" t="inlineStr">
        <is>
          <t>ÅRE</t>
        </is>
      </c>
      <c r="G481" t="n">
        <v>19.9</v>
      </c>
      <c r="H481" t="n">
        <v>0</v>
      </c>
      <c r="I481" t="n">
        <v>1</v>
      </c>
      <c r="J481" t="n">
        <v>3</v>
      </c>
      <c r="K481" t="n">
        <v>0</v>
      </c>
      <c r="L481" t="n">
        <v>0</v>
      </c>
      <c r="M481" t="n">
        <v>0</v>
      </c>
      <c r="N481" t="n">
        <v>0</v>
      </c>
      <c r="O481" t="n">
        <v>3</v>
      </c>
      <c r="P481" t="n">
        <v>0</v>
      </c>
      <c r="Q481" t="n">
        <v>4</v>
      </c>
      <c r="R481" s="2" t="inlineStr">
        <is>
          <t>Granticka
Gränsticka
Skrovellav
Stuplav</t>
        </is>
      </c>
      <c r="S481">
        <f>HYPERLINK("https://klasma.github.io/Logging_ARE/artfynd/A 12271-2022.xlsx")</f>
        <v/>
      </c>
      <c r="T481">
        <f>HYPERLINK("https://klasma.github.io/Logging_ARE/kartor/A 12271-2022.png")</f>
        <v/>
      </c>
      <c r="V481">
        <f>HYPERLINK("https://klasma.github.io/Logging_ARE/klagomål/A 12271-2022.docx")</f>
        <v/>
      </c>
      <c r="W481">
        <f>HYPERLINK("https://klasma.github.io/Logging_ARE/klagomålsmail/A 12271-2022.docx")</f>
        <v/>
      </c>
      <c r="X481">
        <f>HYPERLINK("https://klasma.github.io/Logging_ARE/tillsyn/A 12271-2022.docx")</f>
        <v/>
      </c>
      <c r="Y481">
        <f>HYPERLINK("https://klasma.github.io/Logging_ARE/tillsynsmail/A 12271-2022.docx")</f>
        <v/>
      </c>
    </row>
    <row r="482" ht="15" customHeight="1">
      <c r="A482" t="inlineStr">
        <is>
          <t>A 15667-2022</t>
        </is>
      </c>
      <c r="B482" s="1" t="n">
        <v>44662</v>
      </c>
      <c r="C482" s="1" t="n">
        <v>45182</v>
      </c>
      <c r="D482" t="inlineStr">
        <is>
          <t>JÄMTLANDS LÄN</t>
        </is>
      </c>
      <c r="E482" t="inlineStr">
        <is>
          <t>RAGUNDA</t>
        </is>
      </c>
      <c r="F482" t="inlineStr">
        <is>
          <t>SCA</t>
        </is>
      </c>
      <c r="G482" t="n">
        <v>2.9</v>
      </c>
      <c r="H482" t="n">
        <v>0</v>
      </c>
      <c r="I482" t="n">
        <v>2</v>
      </c>
      <c r="J482" t="n">
        <v>2</v>
      </c>
      <c r="K482" t="n">
        <v>0</v>
      </c>
      <c r="L482" t="n">
        <v>0</v>
      </c>
      <c r="M482" t="n">
        <v>0</v>
      </c>
      <c r="N482" t="n">
        <v>0</v>
      </c>
      <c r="O482" t="n">
        <v>2</v>
      </c>
      <c r="P482" t="n">
        <v>0</v>
      </c>
      <c r="Q482" t="n">
        <v>4</v>
      </c>
      <c r="R482" s="2" t="inlineStr">
        <is>
          <t>Garnlav
Lunglav
Källmossa
Ögonpyrola</t>
        </is>
      </c>
      <c r="S482">
        <f>HYPERLINK("https://klasma.github.io/Logging_RAGUNDA/artfynd/A 15667-2022.xlsx")</f>
        <v/>
      </c>
      <c r="T482">
        <f>HYPERLINK("https://klasma.github.io/Logging_RAGUNDA/kartor/A 15667-2022.png")</f>
        <v/>
      </c>
      <c r="V482">
        <f>HYPERLINK("https://klasma.github.io/Logging_RAGUNDA/klagomål/A 15667-2022.docx")</f>
        <v/>
      </c>
      <c r="W482">
        <f>HYPERLINK("https://klasma.github.io/Logging_RAGUNDA/klagomålsmail/A 15667-2022.docx")</f>
        <v/>
      </c>
      <c r="X482">
        <f>HYPERLINK("https://klasma.github.io/Logging_RAGUNDA/tillsyn/A 15667-2022.docx")</f>
        <v/>
      </c>
      <c r="Y482">
        <f>HYPERLINK("https://klasma.github.io/Logging_RAGUNDA/tillsynsmail/A 15667-2022.docx")</f>
        <v/>
      </c>
    </row>
    <row r="483" ht="15" customHeight="1">
      <c r="A483" t="inlineStr">
        <is>
          <t>A 17092-2022</t>
        </is>
      </c>
      <c r="B483" s="1" t="n">
        <v>44677</v>
      </c>
      <c r="C483" s="1" t="n">
        <v>45182</v>
      </c>
      <c r="D483" t="inlineStr">
        <is>
          <t>JÄMTLANDS LÄN</t>
        </is>
      </c>
      <c r="E483" t="inlineStr">
        <is>
          <t>RAGUNDA</t>
        </is>
      </c>
      <c r="G483" t="n">
        <v>21.2</v>
      </c>
      <c r="H483" t="n">
        <v>1</v>
      </c>
      <c r="I483" t="n">
        <v>0</v>
      </c>
      <c r="J483" t="n">
        <v>3</v>
      </c>
      <c r="K483" t="n">
        <v>1</v>
      </c>
      <c r="L483" t="n">
        <v>0</v>
      </c>
      <c r="M483" t="n">
        <v>0</v>
      </c>
      <c r="N483" t="n">
        <v>0</v>
      </c>
      <c r="O483" t="n">
        <v>4</v>
      </c>
      <c r="P483" t="n">
        <v>1</v>
      </c>
      <c r="Q483" t="n">
        <v>4</v>
      </c>
      <c r="R483" s="2" t="inlineStr">
        <is>
          <t>Knärot
Garnlav
Lunglav
Ullticka</t>
        </is>
      </c>
      <c r="S483">
        <f>HYPERLINK("https://klasma.github.io/Logging_RAGUNDA/artfynd/A 17092-2022.xlsx")</f>
        <v/>
      </c>
      <c r="T483">
        <f>HYPERLINK("https://klasma.github.io/Logging_RAGUNDA/kartor/A 17092-2022.png")</f>
        <v/>
      </c>
      <c r="U483">
        <f>HYPERLINK("https://klasma.github.io/Logging_RAGUNDA/knärot/A 17092-2022.png")</f>
        <v/>
      </c>
      <c r="V483">
        <f>HYPERLINK("https://klasma.github.io/Logging_RAGUNDA/klagomål/A 17092-2022.docx")</f>
        <v/>
      </c>
      <c r="W483">
        <f>HYPERLINK("https://klasma.github.io/Logging_RAGUNDA/klagomålsmail/A 17092-2022.docx")</f>
        <v/>
      </c>
      <c r="X483">
        <f>HYPERLINK("https://klasma.github.io/Logging_RAGUNDA/tillsyn/A 17092-2022.docx")</f>
        <v/>
      </c>
      <c r="Y483">
        <f>HYPERLINK("https://klasma.github.io/Logging_RAGUNDA/tillsynsmail/A 17092-2022.docx")</f>
        <v/>
      </c>
    </row>
    <row r="484" ht="15" customHeight="1">
      <c r="A484" t="inlineStr">
        <is>
          <t>A 19476-2022</t>
        </is>
      </c>
      <c r="B484" s="1" t="n">
        <v>44693</v>
      </c>
      <c r="C484" s="1" t="n">
        <v>45182</v>
      </c>
      <c r="D484" t="inlineStr">
        <is>
          <t>JÄMTLANDS LÄN</t>
        </is>
      </c>
      <c r="E484" t="inlineStr">
        <is>
          <t>BRÄCKE</t>
        </is>
      </c>
      <c r="G484" t="n">
        <v>1.3</v>
      </c>
      <c r="H484" t="n">
        <v>0</v>
      </c>
      <c r="I484" t="n">
        <v>1</v>
      </c>
      <c r="J484" t="n">
        <v>2</v>
      </c>
      <c r="K484" t="n">
        <v>1</v>
      </c>
      <c r="L484" t="n">
        <v>0</v>
      </c>
      <c r="M484" t="n">
        <v>0</v>
      </c>
      <c r="N484" t="n">
        <v>0</v>
      </c>
      <c r="O484" t="n">
        <v>3</v>
      </c>
      <c r="P484" t="n">
        <v>1</v>
      </c>
      <c r="Q484" t="n">
        <v>4</v>
      </c>
      <c r="R484" s="2" t="inlineStr">
        <is>
          <t>Tallgråticka
Orange taggsvamp
Skrovlig taggsvamp
Dropptaggsvamp</t>
        </is>
      </c>
      <c r="S484">
        <f>HYPERLINK("https://klasma.github.io/Logging_BRACKE/artfynd/A 19476-2022.xlsx")</f>
        <v/>
      </c>
      <c r="T484">
        <f>HYPERLINK("https://klasma.github.io/Logging_BRACKE/kartor/A 19476-2022.png")</f>
        <v/>
      </c>
      <c r="V484">
        <f>HYPERLINK("https://klasma.github.io/Logging_BRACKE/klagomål/A 19476-2022.docx")</f>
        <v/>
      </c>
      <c r="W484">
        <f>HYPERLINK("https://klasma.github.io/Logging_BRACKE/klagomålsmail/A 19476-2022.docx")</f>
        <v/>
      </c>
      <c r="X484">
        <f>HYPERLINK("https://klasma.github.io/Logging_BRACKE/tillsyn/A 19476-2022.docx")</f>
        <v/>
      </c>
      <c r="Y484">
        <f>HYPERLINK("https://klasma.github.io/Logging_BRACKE/tillsynsmail/A 19476-2022.docx")</f>
        <v/>
      </c>
    </row>
    <row r="485" ht="15" customHeight="1">
      <c r="A485" t="inlineStr">
        <is>
          <t>A 19851-2022</t>
        </is>
      </c>
      <c r="B485" s="1" t="n">
        <v>44696</v>
      </c>
      <c r="C485" s="1" t="n">
        <v>45182</v>
      </c>
      <c r="D485" t="inlineStr">
        <is>
          <t>JÄMTLANDS LÄN</t>
        </is>
      </c>
      <c r="E485" t="inlineStr">
        <is>
          <t>RAGUNDA</t>
        </is>
      </c>
      <c r="F485" t="inlineStr">
        <is>
          <t>SCA</t>
        </is>
      </c>
      <c r="G485" t="n">
        <v>3</v>
      </c>
      <c r="H485" t="n">
        <v>2</v>
      </c>
      <c r="I485" t="n">
        <v>0</v>
      </c>
      <c r="J485" t="n">
        <v>3</v>
      </c>
      <c r="K485" t="n">
        <v>0</v>
      </c>
      <c r="L485" t="n">
        <v>0</v>
      </c>
      <c r="M485" t="n">
        <v>0</v>
      </c>
      <c r="N485" t="n">
        <v>0</v>
      </c>
      <c r="O485" t="n">
        <v>3</v>
      </c>
      <c r="P485" t="n">
        <v>0</v>
      </c>
      <c r="Q485" t="n">
        <v>4</v>
      </c>
      <c r="R485" s="2" t="inlineStr">
        <is>
          <t>Garnlav
Talltita
Ullticka
Revlummer</t>
        </is>
      </c>
      <c r="S485">
        <f>HYPERLINK("https://klasma.github.io/Logging_RAGUNDA/artfynd/A 19851-2022.xlsx")</f>
        <v/>
      </c>
      <c r="T485">
        <f>HYPERLINK("https://klasma.github.io/Logging_RAGUNDA/kartor/A 19851-2022.png")</f>
        <v/>
      </c>
      <c r="V485">
        <f>HYPERLINK("https://klasma.github.io/Logging_RAGUNDA/klagomål/A 19851-2022.docx")</f>
        <v/>
      </c>
      <c r="W485">
        <f>HYPERLINK("https://klasma.github.io/Logging_RAGUNDA/klagomålsmail/A 19851-2022.docx")</f>
        <v/>
      </c>
      <c r="X485">
        <f>HYPERLINK("https://klasma.github.io/Logging_RAGUNDA/tillsyn/A 19851-2022.docx")</f>
        <v/>
      </c>
      <c r="Y485">
        <f>HYPERLINK("https://klasma.github.io/Logging_RAGUNDA/tillsynsmail/A 19851-2022.docx")</f>
        <v/>
      </c>
    </row>
    <row r="486" ht="15" customHeight="1">
      <c r="A486" t="inlineStr">
        <is>
          <t>A 21091-2022</t>
        </is>
      </c>
      <c r="B486" s="1" t="n">
        <v>44699</v>
      </c>
      <c r="C486" s="1" t="n">
        <v>45182</v>
      </c>
      <c r="D486" t="inlineStr">
        <is>
          <t>JÄMTLANDS LÄN</t>
        </is>
      </c>
      <c r="E486" t="inlineStr">
        <is>
          <t>STRÖMSUND</t>
        </is>
      </c>
      <c r="F486" t="inlineStr">
        <is>
          <t>SCA</t>
        </is>
      </c>
      <c r="G486" t="n">
        <v>26.9</v>
      </c>
      <c r="H486" t="n">
        <v>2</v>
      </c>
      <c r="I486" t="n">
        <v>2</v>
      </c>
      <c r="J486" t="n">
        <v>0</v>
      </c>
      <c r="K486" t="n">
        <v>0</v>
      </c>
      <c r="L486" t="n">
        <v>0</v>
      </c>
      <c r="M486" t="n">
        <v>0</v>
      </c>
      <c r="N486" t="n">
        <v>0</v>
      </c>
      <c r="O486" t="n">
        <v>0</v>
      </c>
      <c r="P486" t="n">
        <v>0</v>
      </c>
      <c r="Q486" t="n">
        <v>4</v>
      </c>
      <c r="R486" s="2" t="inlineStr">
        <is>
          <t>Kransrams
Strutbräken
Skogsrör
Mattlummer</t>
        </is>
      </c>
      <c r="S486">
        <f>HYPERLINK("https://klasma.github.io/Logging_STROMSUND/artfynd/A 21091-2022.xlsx")</f>
        <v/>
      </c>
      <c r="T486">
        <f>HYPERLINK("https://klasma.github.io/Logging_STROMSUND/kartor/A 21091-2022.png")</f>
        <v/>
      </c>
      <c r="V486">
        <f>HYPERLINK("https://klasma.github.io/Logging_STROMSUND/klagomål/A 21091-2022.docx")</f>
        <v/>
      </c>
      <c r="W486">
        <f>HYPERLINK("https://klasma.github.io/Logging_STROMSUND/klagomålsmail/A 21091-2022.docx")</f>
        <v/>
      </c>
      <c r="X486">
        <f>HYPERLINK("https://klasma.github.io/Logging_STROMSUND/tillsyn/A 21091-2022.docx")</f>
        <v/>
      </c>
      <c r="Y486">
        <f>HYPERLINK("https://klasma.github.io/Logging_STROMSUND/tillsynsmail/A 21091-2022.docx")</f>
        <v/>
      </c>
    </row>
    <row r="487" ht="15" customHeight="1">
      <c r="A487" t="inlineStr">
        <is>
          <t>A 22333-2022</t>
        </is>
      </c>
      <c r="B487" s="1" t="n">
        <v>44712</v>
      </c>
      <c r="C487" s="1" t="n">
        <v>45182</v>
      </c>
      <c r="D487" t="inlineStr">
        <is>
          <t>JÄMTLANDS LÄN</t>
        </is>
      </c>
      <c r="E487" t="inlineStr">
        <is>
          <t>BERG</t>
        </is>
      </c>
      <c r="F487" t="inlineStr">
        <is>
          <t>SCA</t>
        </is>
      </c>
      <c r="G487" t="n">
        <v>5.5</v>
      </c>
      <c r="H487" t="n">
        <v>1</v>
      </c>
      <c r="I487" t="n">
        <v>0</v>
      </c>
      <c r="J487" t="n">
        <v>3</v>
      </c>
      <c r="K487" t="n">
        <v>1</v>
      </c>
      <c r="L487" t="n">
        <v>0</v>
      </c>
      <c r="M487" t="n">
        <v>0</v>
      </c>
      <c r="N487" t="n">
        <v>0</v>
      </c>
      <c r="O487" t="n">
        <v>4</v>
      </c>
      <c r="P487" t="n">
        <v>1</v>
      </c>
      <c r="Q487" t="n">
        <v>4</v>
      </c>
      <c r="R487" s="2" t="inlineStr">
        <is>
          <t>Knärot
Gränsticka
Rosenticka
Ullticka</t>
        </is>
      </c>
      <c r="S487">
        <f>HYPERLINK("https://klasma.github.io/Logging_BERG/artfynd/A 22333-2022.xlsx")</f>
        <v/>
      </c>
      <c r="T487">
        <f>HYPERLINK("https://klasma.github.io/Logging_BERG/kartor/A 22333-2022.png")</f>
        <v/>
      </c>
      <c r="U487">
        <f>HYPERLINK("https://klasma.github.io/Logging_BERG/knärot/A 22333-2022.png")</f>
        <v/>
      </c>
      <c r="V487">
        <f>HYPERLINK("https://klasma.github.io/Logging_BERG/klagomål/A 22333-2022.docx")</f>
        <v/>
      </c>
      <c r="W487">
        <f>HYPERLINK("https://klasma.github.io/Logging_BERG/klagomålsmail/A 22333-2022.docx")</f>
        <v/>
      </c>
      <c r="X487">
        <f>HYPERLINK("https://klasma.github.io/Logging_BERG/tillsyn/A 22333-2022.docx")</f>
        <v/>
      </c>
      <c r="Y487">
        <f>HYPERLINK("https://klasma.github.io/Logging_BERG/tillsynsmail/A 22333-2022.docx")</f>
        <v/>
      </c>
    </row>
    <row r="488" ht="15" customHeight="1">
      <c r="A488" t="inlineStr">
        <is>
          <t>A 23207-2022</t>
        </is>
      </c>
      <c r="B488" s="1" t="n">
        <v>44719</v>
      </c>
      <c r="C488" s="1" t="n">
        <v>45182</v>
      </c>
      <c r="D488" t="inlineStr">
        <is>
          <t>JÄMTLANDS LÄN</t>
        </is>
      </c>
      <c r="E488" t="inlineStr">
        <is>
          <t>STRÖMSUND</t>
        </is>
      </c>
      <c r="F488" t="inlineStr">
        <is>
          <t>SCA</t>
        </is>
      </c>
      <c r="G488" t="n">
        <v>1.6</v>
      </c>
      <c r="H488" t="n">
        <v>1</v>
      </c>
      <c r="I488" t="n">
        <v>1</v>
      </c>
      <c r="J488" t="n">
        <v>2</v>
      </c>
      <c r="K488" t="n">
        <v>1</v>
      </c>
      <c r="L488" t="n">
        <v>0</v>
      </c>
      <c r="M488" t="n">
        <v>0</v>
      </c>
      <c r="N488" t="n">
        <v>0</v>
      </c>
      <c r="O488" t="n">
        <v>3</v>
      </c>
      <c r="P488" t="n">
        <v>1</v>
      </c>
      <c r="Q488" t="n">
        <v>4</v>
      </c>
      <c r="R488" s="2" t="inlineStr">
        <is>
          <t>Doftticka
Garnlav
Lunglav
Stuplav</t>
        </is>
      </c>
      <c r="S488">
        <f>HYPERLINK("https://klasma.github.io/Logging_STROMSUND/artfynd/A 23207-2022.xlsx")</f>
        <v/>
      </c>
      <c r="T488">
        <f>HYPERLINK("https://klasma.github.io/Logging_STROMSUND/kartor/A 23207-2022.png")</f>
        <v/>
      </c>
      <c r="V488">
        <f>HYPERLINK("https://klasma.github.io/Logging_STROMSUND/klagomål/A 23207-2022.docx")</f>
        <v/>
      </c>
      <c r="W488">
        <f>HYPERLINK("https://klasma.github.io/Logging_STROMSUND/klagomålsmail/A 23207-2022.docx")</f>
        <v/>
      </c>
      <c r="X488">
        <f>HYPERLINK("https://klasma.github.io/Logging_STROMSUND/tillsyn/A 23207-2022.docx")</f>
        <v/>
      </c>
      <c r="Y488">
        <f>HYPERLINK("https://klasma.github.io/Logging_STROMSUND/tillsynsmail/A 23207-2022.docx")</f>
        <v/>
      </c>
    </row>
    <row r="489" ht="15" customHeight="1">
      <c r="A489" t="inlineStr">
        <is>
          <t>A 23994-2022</t>
        </is>
      </c>
      <c r="B489" s="1" t="n">
        <v>44722</v>
      </c>
      <c r="C489" s="1" t="n">
        <v>45182</v>
      </c>
      <c r="D489" t="inlineStr">
        <is>
          <t>JÄMTLANDS LÄN</t>
        </is>
      </c>
      <c r="E489" t="inlineStr">
        <is>
          <t>KROKOM</t>
        </is>
      </c>
      <c r="F489" t="inlineStr">
        <is>
          <t>SCA</t>
        </is>
      </c>
      <c r="G489" t="n">
        <v>13.4</v>
      </c>
      <c r="H489" t="n">
        <v>0</v>
      </c>
      <c r="I489" t="n">
        <v>1</v>
      </c>
      <c r="J489" t="n">
        <v>3</v>
      </c>
      <c r="K489" t="n">
        <v>0</v>
      </c>
      <c r="L489" t="n">
        <v>0</v>
      </c>
      <c r="M489" t="n">
        <v>0</v>
      </c>
      <c r="N489" t="n">
        <v>0</v>
      </c>
      <c r="O489" t="n">
        <v>3</v>
      </c>
      <c r="P489" t="n">
        <v>0</v>
      </c>
      <c r="Q489" t="n">
        <v>4</v>
      </c>
      <c r="R489" s="2" t="inlineStr">
        <is>
          <t>Garnlav
Lunglav
Skrovellav
Korallblylav</t>
        </is>
      </c>
      <c r="S489">
        <f>HYPERLINK("https://klasma.github.io/Logging_KROKOM/artfynd/A 23994-2022.xlsx")</f>
        <v/>
      </c>
      <c r="T489">
        <f>HYPERLINK("https://klasma.github.io/Logging_KROKOM/kartor/A 23994-2022.png")</f>
        <v/>
      </c>
      <c r="V489">
        <f>HYPERLINK("https://klasma.github.io/Logging_KROKOM/klagomål/A 23994-2022.docx")</f>
        <v/>
      </c>
      <c r="W489">
        <f>HYPERLINK("https://klasma.github.io/Logging_KROKOM/klagomålsmail/A 23994-2022.docx")</f>
        <v/>
      </c>
      <c r="X489">
        <f>HYPERLINK("https://klasma.github.io/Logging_KROKOM/tillsyn/A 23994-2022.docx")</f>
        <v/>
      </c>
      <c r="Y489">
        <f>HYPERLINK("https://klasma.github.io/Logging_KROKOM/tillsynsmail/A 23994-2022.docx")</f>
        <v/>
      </c>
    </row>
    <row r="490" ht="15" customHeight="1">
      <c r="A490" t="inlineStr">
        <is>
          <t>A 23991-2022</t>
        </is>
      </c>
      <c r="B490" s="1" t="n">
        <v>44722</v>
      </c>
      <c r="C490" s="1" t="n">
        <v>45182</v>
      </c>
      <c r="D490" t="inlineStr">
        <is>
          <t>JÄMTLANDS LÄN</t>
        </is>
      </c>
      <c r="E490" t="inlineStr">
        <is>
          <t>KROKOM</t>
        </is>
      </c>
      <c r="F490" t="inlineStr">
        <is>
          <t>SCA</t>
        </is>
      </c>
      <c r="G490" t="n">
        <v>9</v>
      </c>
      <c r="H490" t="n">
        <v>1</v>
      </c>
      <c r="I490" t="n">
        <v>1</v>
      </c>
      <c r="J490" t="n">
        <v>2</v>
      </c>
      <c r="K490" t="n">
        <v>1</v>
      </c>
      <c r="L490" t="n">
        <v>0</v>
      </c>
      <c r="M490" t="n">
        <v>0</v>
      </c>
      <c r="N490" t="n">
        <v>0</v>
      </c>
      <c r="O490" t="n">
        <v>3</v>
      </c>
      <c r="P490" t="n">
        <v>1</v>
      </c>
      <c r="Q490" t="n">
        <v>4</v>
      </c>
      <c r="R490" s="2" t="inlineStr">
        <is>
          <t>Knärot
Gammelgransskål
Granticka
Kransrams</t>
        </is>
      </c>
      <c r="S490">
        <f>HYPERLINK("https://klasma.github.io/Logging_KROKOM/artfynd/A 23991-2022.xlsx")</f>
        <v/>
      </c>
      <c r="T490">
        <f>HYPERLINK("https://klasma.github.io/Logging_KROKOM/kartor/A 23991-2022.png")</f>
        <v/>
      </c>
      <c r="U490">
        <f>HYPERLINK("https://klasma.github.io/Logging_KROKOM/knärot/A 23991-2022.png")</f>
        <v/>
      </c>
      <c r="V490">
        <f>HYPERLINK("https://klasma.github.io/Logging_KROKOM/klagomål/A 23991-2022.docx")</f>
        <v/>
      </c>
      <c r="W490">
        <f>HYPERLINK("https://klasma.github.io/Logging_KROKOM/klagomålsmail/A 23991-2022.docx")</f>
        <v/>
      </c>
      <c r="X490">
        <f>HYPERLINK("https://klasma.github.io/Logging_KROKOM/tillsyn/A 23991-2022.docx")</f>
        <v/>
      </c>
      <c r="Y490">
        <f>HYPERLINK("https://klasma.github.io/Logging_KROKOM/tillsynsmail/A 23991-2022.docx")</f>
        <v/>
      </c>
    </row>
    <row r="491" ht="15" customHeight="1">
      <c r="A491" t="inlineStr">
        <is>
          <t>A 25029-2022</t>
        </is>
      </c>
      <c r="B491" s="1" t="n">
        <v>44728</v>
      </c>
      <c r="C491" s="1" t="n">
        <v>45182</v>
      </c>
      <c r="D491" t="inlineStr">
        <is>
          <t>JÄMTLANDS LÄN</t>
        </is>
      </c>
      <c r="E491" t="inlineStr">
        <is>
          <t>KROKOM</t>
        </is>
      </c>
      <c r="F491" t="inlineStr">
        <is>
          <t>SCA</t>
        </is>
      </c>
      <c r="G491" t="n">
        <v>41.5</v>
      </c>
      <c r="H491" t="n">
        <v>3</v>
      </c>
      <c r="I491" t="n">
        <v>0</v>
      </c>
      <c r="J491" t="n">
        <v>2</v>
      </c>
      <c r="K491" t="n">
        <v>1</v>
      </c>
      <c r="L491" t="n">
        <v>0</v>
      </c>
      <c r="M491" t="n">
        <v>0</v>
      </c>
      <c r="N491" t="n">
        <v>0</v>
      </c>
      <c r="O491" t="n">
        <v>3</v>
      </c>
      <c r="P491" t="n">
        <v>1</v>
      </c>
      <c r="Q491" t="n">
        <v>4</v>
      </c>
      <c r="R491" s="2" t="inlineStr">
        <is>
          <t>Knärot
Skrovellav
Spillkråka
Fläcknycklar</t>
        </is>
      </c>
      <c r="S491">
        <f>HYPERLINK("https://klasma.github.io/Logging_KROKOM/artfynd/A 25029-2022.xlsx")</f>
        <v/>
      </c>
      <c r="T491">
        <f>HYPERLINK("https://klasma.github.io/Logging_KROKOM/kartor/A 25029-2022.png")</f>
        <v/>
      </c>
      <c r="U491">
        <f>HYPERLINK("https://klasma.github.io/Logging_KROKOM/knärot/A 25029-2022.png")</f>
        <v/>
      </c>
      <c r="V491">
        <f>HYPERLINK("https://klasma.github.io/Logging_KROKOM/klagomål/A 25029-2022.docx")</f>
        <v/>
      </c>
      <c r="W491">
        <f>HYPERLINK("https://klasma.github.io/Logging_KROKOM/klagomålsmail/A 25029-2022.docx")</f>
        <v/>
      </c>
      <c r="X491">
        <f>HYPERLINK("https://klasma.github.io/Logging_KROKOM/tillsyn/A 25029-2022.docx")</f>
        <v/>
      </c>
      <c r="Y491">
        <f>HYPERLINK("https://klasma.github.io/Logging_KROKOM/tillsynsmail/A 25029-2022.docx")</f>
        <v/>
      </c>
    </row>
    <row r="492" ht="15" customHeight="1">
      <c r="A492" t="inlineStr">
        <is>
          <t>A 25649-2022</t>
        </is>
      </c>
      <c r="B492" s="1" t="n">
        <v>44732</v>
      </c>
      <c r="C492" s="1" t="n">
        <v>45182</v>
      </c>
      <c r="D492" t="inlineStr">
        <is>
          <t>JÄMTLANDS LÄN</t>
        </is>
      </c>
      <c r="E492" t="inlineStr">
        <is>
          <t>RAGUNDA</t>
        </is>
      </c>
      <c r="F492" t="inlineStr">
        <is>
          <t>SCA</t>
        </is>
      </c>
      <c r="G492" t="n">
        <v>2.9</v>
      </c>
      <c r="H492" t="n">
        <v>2</v>
      </c>
      <c r="I492" t="n">
        <v>1</v>
      </c>
      <c r="J492" t="n">
        <v>2</v>
      </c>
      <c r="K492" t="n">
        <v>1</v>
      </c>
      <c r="L492" t="n">
        <v>0</v>
      </c>
      <c r="M492" t="n">
        <v>0</v>
      </c>
      <c r="N492" t="n">
        <v>0</v>
      </c>
      <c r="O492" t="n">
        <v>3</v>
      </c>
      <c r="P492" t="n">
        <v>1</v>
      </c>
      <c r="Q492" t="n">
        <v>4</v>
      </c>
      <c r="R492" s="2" t="inlineStr">
        <is>
          <t>Knärot
Garnlav
Talltita
Dropptaggsvamp</t>
        </is>
      </c>
      <c r="S492">
        <f>HYPERLINK("https://klasma.github.io/Logging_RAGUNDA/artfynd/A 25649-2022.xlsx")</f>
        <v/>
      </c>
      <c r="T492">
        <f>HYPERLINK("https://klasma.github.io/Logging_RAGUNDA/kartor/A 25649-2022.png")</f>
        <v/>
      </c>
      <c r="U492">
        <f>HYPERLINK("https://klasma.github.io/Logging_RAGUNDA/knärot/A 25649-2022.png")</f>
        <v/>
      </c>
      <c r="V492">
        <f>HYPERLINK("https://klasma.github.io/Logging_RAGUNDA/klagomål/A 25649-2022.docx")</f>
        <v/>
      </c>
      <c r="W492">
        <f>HYPERLINK("https://klasma.github.io/Logging_RAGUNDA/klagomålsmail/A 25649-2022.docx")</f>
        <v/>
      </c>
      <c r="X492">
        <f>HYPERLINK("https://klasma.github.io/Logging_RAGUNDA/tillsyn/A 25649-2022.docx")</f>
        <v/>
      </c>
      <c r="Y492">
        <f>HYPERLINK("https://klasma.github.io/Logging_RAGUNDA/tillsynsmail/A 25649-2022.docx")</f>
        <v/>
      </c>
    </row>
    <row r="493" ht="15" customHeight="1">
      <c r="A493" t="inlineStr">
        <is>
          <t>A 27569-2022</t>
        </is>
      </c>
      <c r="B493" s="1" t="n">
        <v>44742</v>
      </c>
      <c r="C493" s="1" t="n">
        <v>45182</v>
      </c>
      <c r="D493" t="inlineStr">
        <is>
          <t>JÄMTLANDS LÄN</t>
        </is>
      </c>
      <c r="E493" t="inlineStr">
        <is>
          <t>STRÖMSUND</t>
        </is>
      </c>
      <c r="F493" t="inlineStr">
        <is>
          <t>SCA</t>
        </is>
      </c>
      <c r="G493" t="n">
        <v>7.2</v>
      </c>
      <c r="H493" t="n">
        <v>0</v>
      </c>
      <c r="I493" t="n">
        <v>2</v>
      </c>
      <c r="J493" t="n">
        <v>2</v>
      </c>
      <c r="K493" t="n">
        <v>0</v>
      </c>
      <c r="L493" t="n">
        <v>0</v>
      </c>
      <c r="M493" t="n">
        <v>0</v>
      </c>
      <c r="N493" t="n">
        <v>0</v>
      </c>
      <c r="O493" t="n">
        <v>2</v>
      </c>
      <c r="P493" t="n">
        <v>0</v>
      </c>
      <c r="Q493" t="n">
        <v>4</v>
      </c>
      <c r="R493" s="2" t="inlineStr">
        <is>
          <t>Lunglav
Skrovellav
Stuplav
Vedticka</t>
        </is>
      </c>
      <c r="S493">
        <f>HYPERLINK("https://klasma.github.io/Logging_STROMSUND/artfynd/A 27569-2022.xlsx")</f>
        <v/>
      </c>
      <c r="T493">
        <f>HYPERLINK("https://klasma.github.io/Logging_STROMSUND/kartor/A 27569-2022.png")</f>
        <v/>
      </c>
      <c r="V493">
        <f>HYPERLINK("https://klasma.github.io/Logging_STROMSUND/klagomål/A 27569-2022.docx")</f>
        <v/>
      </c>
      <c r="W493">
        <f>HYPERLINK("https://klasma.github.io/Logging_STROMSUND/klagomålsmail/A 27569-2022.docx")</f>
        <v/>
      </c>
      <c r="X493">
        <f>HYPERLINK("https://klasma.github.io/Logging_STROMSUND/tillsyn/A 27569-2022.docx")</f>
        <v/>
      </c>
      <c r="Y493">
        <f>HYPERLINK("https://klasma.github.io/Logging_STROMSUND/tillsynsmail/A 27569-2022.docx")</f>
        <v/>
      </c>
    </row>
    <row r="494" ht="15" customHeight="1">
      <c r="A494" t="inlineStr">
        <is>
          <t>A 29135-2022</t>
        </is>
      </c>
      <c r="B494" s="1" t="n">
        <v>44750</v>
      </c>
      <c r="C494" s="1" t="n">
        <v>45182</v>
      </c>
      <c r="D494" t="inlineStr">
        <is>
          <t>JÄMTLANDS LÄN</t>
        </is>
      </c>
      <c r="E494" t="inlineStr">
        <is>
          <t>ÖSTERSUND</t>
        </is>
      </c>
      <c r="G494" t="n">
        <v>2.3</v>
      </c>
      <c r="H494" t="n">
        <v>3</v>
      </c>
      <c r="I494" t="n">
        <v>2</v>
      </c>
      <c r="J494" t="n">
        <v>0</v>
      </c>
      <c r="K494" t="n">
        <v>0</v>
      </c>
      <c r="L494" t="n">
        <v>0</v>
      </c>
      <c r="M494" t="n">
        <v>0</v>
      </c>
      <c r="N494" t="n">
        <v>0</v>
      </c>
      <c r="O494" t="n">
        <v>0</v>
      </c>
      <c r="P494" t="n">
        <v>0</v>
      </c>
      <c r="Q494" t="n">
        <v>4</v>
      </c>
      <c r="R494" s="2" t="inlineStr">
        <is>
          <t>Finbräken
Grönkulla
Fläcknycklar
Blåsippa</t>
        </is>
      </c>
      <c r="S494">
        <f>HYPERLINK("https://klasma.github.io/Logging_OSTERSUND/artfynd/A 29135-2022.xlsx")</f>
        <v/>
      </c>
      <c r="T494">
        <f>HYPERLINK("https://klasma.github.io/Logging_OSTERSUND/kartor/A 29135-2022.png")</f>
        <v/>
      </c>
      <c r="V494">
        <f>HYPERLINK("https://klasma.github.io/Logging_OSTERSUND/klagomål/A 29135-2022.docx")</f>
        <v/>
      </c>
      <c r="W494">
        <f>HYPERLINK("https://klasma.github.io/Logging_OSTERSUND/klagomålsmail/A 29135-2022.docx")</f>
        <v/>
      </c>
      <c r="X494">
        <f>HYPERLINK("https://klasma.github.io/Logging_OSTERSUND/tillsyn/A 29135-2022.docx")</f>
        <v/>
      </c>
      <c r="Y494">
        <f>HYPERLINK("https://klasma.github.io/Logging_OSTERSUND/tillsynsmail/A 29135-2022.docx")</f>
        <v/>
      </c>
    </row>
    <row r="495" ht="15" customHeight="1">
      <c r="A495" t="inlineStr">
        <is>
          <t>A 30035-2022</t>
        </is>
      </c>
      <c r="B495" s="1" t="n">
        <v>44756</v>
      </c>
      <c r="C495" s="1" t="n">
        <v>45182</v>
      </c>
      <c r="D495" t="inlineStr">
        <is>
          <t>JÄMTLANDS LÄN</t>
        </is>
      </c>
      <c r="E495" t="inlineStr">
        <is>
          <t>STRÖMSUND</t>
        </is>
      </c>
      <c r="F495" t="inlineStr">
        <is>
          <t>SCA</t>
        </is>
      </c>
      <c r="G495" t="n">
        <v>6.2</v>
      </c>
      <c r="H495" t="n">
        <v>0</v>
      </c>
      <c r="I495" t="n">
        <v>1</v>
      </c>
      <c r="J495" t="n">
        <v>2</v>
      </c>
      <c r="K495" t="n">
        <v>1</v>
      </c>
      <c r="L495" t="n">
        <v>0</v>
      </c>
      <c r="M495" t="n">
        <v>0</v>
      </c>
      <c r="N495" t="n">
        <v>0</v>
      </c>
      <c r="O495" t="n">
        <v>3</v>
      </c>
      <c r="P495" t="n">
        <v>1</v>
      </c>
      <c r="Q495" t="n">
        <v>4</v>
      </c>
      <c r="R495" s="2" t="inlineStr">
        <is>
          <t>Rynkskinn
Harticka
Skrovellav
Trådticka</t>
        </is>
      </c>
      <c r="S495">
        <f>HYPERLINK("https://klasma.github.io/Logging_STROMSUND/artfynd/A 30035-2022.xlsx")</f>
        <v/>
      </c>
      <c r="T495">
        <f>HYPERLINK("https://klasma.github.io/Logging_STROMSUND/kartor/A 30035-2022.png")</f>
        <v/>
      </c>
      <c r="V495">
        <f>HYPERLINK("https://klasma.github.io/Logging_STROMSUND/klagomål/A 30035-2022.docx")</f>
        <v/>
      </c>
      <c r="W495">
        <f>HYPERLINK("https://klasma.github.io/Logging_STROMSUND/klagomålsmail/A 30035-2022.docx")</f>
        <v/>
      </c>
      <c r="X495">
        <f>HYPERLINK("https://klasma.github.io/Logging_STROMSUND/tillsyn/A 30035-2022.docx")</f>
        <v/>
      </c>
      <c r="Y495">
        <f>HYPERLINK("https://klasma.github.io/Logging_STROMSUND/tillsynsmail/A 30035-2022.docx")</f>
        <v/>
      </c>
    </row>
    <row r="496" ht="15" customHeight="1">
      <c r="A496" t="inlineStr">
        <is>
          <t>A 30228-2022</t>
        </is>
      </c>
      <c r="B496" s="1" t="n">
        <v>44757</v>
      </c>
      <c r="C496" s="1" t="n">
        <v>45182</v>
      </c>
      <c r="D496" t="inlineStr">
        <is>
          <t>JÄMTLANDS LÄN</t>
        </is>
      </c>
      <c r="E496" t="inlineStr">
        <is>
          <t>STRÖMSUND</t>
        </is>
      </c>
      <c r="F496" t="inlineStr">
        <is>
          <t>SCA</t>
        </is>
      </c>
      <c r="G496" t="n">
        <v>12</v>
      </c>
      <c r="H496" t="n">
        <v>0</v>
      </c>
      <c r="I496" t="n">
        <v>2</v>
      </c>
      <c r="J496" t="n">
        <v>2</v>
      </c>
      <c r="K496" t="n">
        <v>0</v>
      </c>
      <c r="L496" t="n">
        <v>0</v>
      </c>
      <c r="M496" t="n">
        <v>0</v>
      </c>
      <c r="N496" t="n">
        <v>0</v>
      </c>
      <c r="O496" t="n">
        <v>2</v>
      </c>
      <c r="P496" t="n">
        <v>0</v>
      </c>
      <c r="Q496" t="n">
        <v>4</v>
      </c>
      <c r="R496" s="2" t="inlineStr">
        <is>
          <t>Lunglav
Skrovellav
Bårdlav
Gytterlav</t>
        </is>
      </c>
      <c r="S496">
        <f>HYPERLINK("https://klasma.github.io/Logging_STROMSUND/artfynd/A 30228-2022.xlsx")</f>
        <v/>
      </c>
      <c r="T496">
        <f>HYPERLINK("https://klasma.github.io/Logging_STROMSUND/kartor/A 30228-2022.png")</f>
        <v/>
      </c>
      <c r="V496">
        <f>HYPERLINK("https://klasma.github.io/Logging_STROMSUND/klagomål/A 30228-2022.docx")</f>
        <v/>
      </c>
      <c r="W496">
        <f>HYPERLINK("https://klasma.github.io/Logging_STROMSUND/klagomålsmail/A 30228-2022.docx")</f>
        <v/>
      </c>
      <c r="X496">
        <f>HYPERLINK("https://klasma.github.io/Logging_STROMSUND/tillsyn/A 30228-2022.docx")</f>
        <v/>
      </c>
      <c r="Y496">
        <f>HYPERLINK("https://klasma.github.io/Logging_STROMSUND/tillsynsmail/A 30228-2022.docx")</f>
        <v/>
      </c>
    </row>
    <row r="497" ht="15" customHeight="1">
      <c r="A497" t="inlineStr">
        <is>
          <t>A 33928-2022</t>
        </is>
      </c>
      <c r="B497" s="1" t="n">
        <v>44790</v>
      </c>
      <c r="C497" s="1" t="n">
        <v>45182</v>
      </c>
      <c r="D497" t="inlineStr">
        <is>
          <t>JÄMTLANDS LÄN</t>
        </is>
      </c>
      <c r="E497" t="inlineStr">
        <is>
          <t>BRÄCKE</t>
        </is>
      </c>
      <c r="G497" t="n">
        <v>5.3</v>
      </c>
      <c r="H497" t="n">
        <v>3</v>
      </c>
      <c r="I497" t="n">
        <v>3</v>
      </c>
      <c r="J497" t="n">
        <v>0</v>
      </c>
      <c r="K497" t="n">
        <v>0</v>
      </c>
      <c r="L497" t="n">
        <v>0</v>
      </c>
      <c r="M497" t="n">
        <v>0</v>
      </c>
      <c r="N497" t="n">
        <v>0</v>
      </c>
      <c r="O497" t="n">
        <v>0</v>
      </c>
      <c r="P497" t="n">
        <v>0</v>
      </c>
      <c r="Q497" t="n">
        <v>4</v>
      </c>
      <c r="R497" s="2" t="inlineStr">
        <is>
          <t>Gräsull
Korallrot
Tvåblad
Dactylorhiza incarnata subsp. incarnata</t>
        </is>
      </c>
      <c r="S497">
        <f>HYPERLINK("https://klasma.github.io/Logging_BRACKE/artfynd/A 33928-2022.xlsx")</f>
        <v/>
      </c>
      <c r="T497">
        <f>HYPERLINK("https://klasma.github.io/Logging_BRACKE/kartor/A 33928-2022.png")</f>
        <v/>
      </c>
      <c r="V497">
        <f>HYPERLINK("https://klasma.github.io/Logging_BRACKE/klagomål/A 33928-2022.docx")</f>
        <v/>
      </c>
      <c r="W497">
        <f>HYPERLINK("https://klasma.github.io/Logging_BRACKE/klagomålsmail/A 33928-2022.docx")</f>
        <v/>
      </c>
      <c r="X497">
        <f>HYPERLINK("https://klasma.github.io/Logging_BRACKE/tillsyn/A 33928-2022.docx")</f>
        <v/>
      </c>
      <c r="Y497">
        <f>HYPERLINK("https://klasma.github.io/Logging_BRACKE/tillsynsmail/A 33928-2022.docx")</f>
        <v/>
      </c>
    </row>
    <row r="498" ht="15" customHeight="1">
      <c r="A498" t="inlineStr">
        <is>
          <t>A 35158-2022</t>
        </is>
      </c>
      <c r="B498" s="1" t="n">
        <v>44797</v>
      </c>
      <c r="C498" s="1" t="n">
        <v>45182</v>
      </c>
      <c r="D498" t="inlineStr">
        <is>
          <t>JÄMTLANDS LÄN</t>
        </is>
      </c>
      <c r="E498" t="inlineStr">
        <is>
          <t>KROKOM</t>
        </is>
      </c>
      <c r="G498" t="n">
        <v>17.5</v>
      </c>
      <c r="H498" t="n">
        <v>1</v>
      </c>
      <c r="I498" t="n">
        <v>2</v>
      </c>
      <c r="J498" t="n">
        <v>2</v>
      </c>
      <c r="K498" t="n">
        <v>0</v>
      </c>
      <c r="L498" t="n">
        <v>0</v>
      </c>
      <c r="M498" t="n">
        <v>0</v>
      </c>
      <c r="N498" t="n">
        <v>0</v>
      </c>
      <c r="O498" t="n">
        <v>2</v>
      </c>
      <c r="P498" t="n">
        <v>0</v>
      </c>
      <c r="Q498" t="n">
        <v>4</v>
      </c>
      <c r="R498" s="2" t="inlineStr">
        <is>
          <t>Ullticka
Vitgrynig nållav
Grönkulla
Vedticka</t>
        </is>
      </c>
      <c r="S498">
        <f>HYPERLINK("https://klasma.github.io/Logging_KROKOM/artfynd/A 35158-2022.xlsx")</f>
        <v/>
      </c>
      <c r="T498">
        <f>HYPERLINK("https://klasma.github.io/Logging_KROKOM/kartor/A 35158-2022.png")</f>
        <v/>
      </c>
      <c r="V498">
        <f>HYPERLINK("https://klasma.github.io/Logging_KROKOM/klagomål/A 35158-2022.docx")</f>
        <v/>
      </c>
      <c r="W498">
        <f>HYPERLINK("https://klasma.github.io/Logging_KROKOM/klagomålsmail/A 35158-2022.docx")</f>
        <v/>
      </c>
      <c r="X498">
        <f>HYPERLINK("https://klasma.github.io/Logging_KROKOM/tillsyn/A 35158-2022.docx")</f>
        <v/>
      </c>
      <c r="Y498">
        <f>HYPERLINK("https://klasma.github.io/Logging_KROKOM/tillsynsmail/A 35158-2022.docx")</f>
        <v/>
      </c>
    </row>
    <row r="499" ht="15" customHeight="1">
      <c r="A499" t="inlineStr">
        <is>
          <t>A 35742-2022</t>
        </is>
      </c>
      <c r="B499" s="1" t="n">
        <v>44799</v>
      </c>
      <c r="C499" s="1" t="n">
        <v>45182</v>
      </c>
      <c r="D499" t="inlineStr">
        <is>
          <t>JÄMTLANDS LÄN</t>
        </is>
      </c>
      <c r="E499" t="inlineStr">
        <is>
          <t>BERG</t>
        </is>
      </c>
      <c r="F499" t="inlineStr">
        <is>
          <t>SCA</t>
        </is>
      </c>
      <c r="G499" t="n">
        <v>16.6</v>
      </c>
      <c r="H499" t="n">
        <v>1</v>
      </c>
      <c r="I499" t="n">
        <v>1</v>
      </c>
      <c r="J499" t="n">
        <v>3</v>
      </c>
      <c r="K499" t="n">
        <v>0</v>
      </c>
      <c r="L499" t="n">
        <v>0</v>
      </c>
      <c r="M499" t="n">
        <v>0</v>
      </c>
      <c r="N499" t="n">
        <v>0</v>
      </c>
      <c r="O499" t="n">
        <v>3</v>
      </c>
      <c r="P499" t="n">
        <v>0</v>
      </c>
      <c r="Q499" t="n">
        <v>4</v>
      </c>
      <c r="R499" s="2" t="inlineStr">
        <is>
          <t>Dvärgbägarlav
Vedflamlav
Vedskivlav
Plattlummer</t>
        </is>
      </c>
      <c r="S499">
        <f>HYPERLINK("https://klasma.github.io/Logging_BERG/artfynd/A 35742-2022.xlsx")</f>
        <v/>
      </c>
      <c r="T499">
        <f>HYPERLINK("https://klasma.github.io/Logging_BERG/kartor/A 35742-2022.png")</f>
        <v/>
      </c>
      <c r="V499">
        <f>HYPERLINK("https://klasma.github.io/Logging_BERG/klagomål/A 35742-2022.docx")</f>
        <v/>
      </c>
      <c r="W499">
        <f>HYPERLINK("https://klasma.github.io/Logging_BERG/klagomålsmail/A 35742-2022.docx")</f>
        <v/>
      </c>
      <c r="X499">
        <f>HYPERLINK("https://klasma.github.io/Logging_BERG/tillsyn/A 35742-2022.docx")</f>
        <v/>
      </c>
      <c r="Y499">
        <f>HYPERLINK("https://klasma.github.io/Logging_BERG/tillsynsmail/A 35742-2022.docx")</f>
        <v/>
      </c>
    </row>
    <row r="500" ht="15" customHeight="1">
      <c r="A500" t="inlineStr">
        <is>
          <t>A 36791-2022</t>
        </is>
      </c>
      <c r="B500" s="1" t="n">
        <v>44805</v>
      </c>
      <c r="C500" s="1" t="n">
        <v>45182</v>
      </c>
      <c r="D500" t="inlineStr">
        <is>
          <t>JÄMTLANDS LÄN</t>
        </is>
      </c>
      <c r="E500" t="inlineStr">
        <is>
          <t>STRÖMSUND</t>
        </is>
      </c>
      <c r="G500" t="n">
        <v>9.300000000000001</v>
      </c>
      <c r="H500" t="n">
        <v>0</v>
      </c>
      <c r="I500" t="n">
        <v>1</v>
      </c>
      <c r="J500" t="n">
        <v>3</v>
      </c>
      <c r="K500" t="n">
        <v>0</v>
      </c>
      <c r="L500" t="n">
        <v>0</v>
      </c>
      <c r="M500" t="n">
        <v>0</v>
      </c>
      <c r="N500" t="n">
        <v>0</v>
      </c>
      <c r="O500" t="n">
        <v>3</v>
      </c>
      <c r="P500" t="n">
        <v>0</v>
      </c>
      <c r="Q500" t="n">
        <v>4</v>
      </c>
      <c r="R500" s="2" t="inlineStr">
        <is>
          <t>Doftskinn
Granticka
Vitgrynig nållav
Stuplav</t>
        </is>
      </c>
      <c r="S500">
        <f>HYPERLINK("https://klasma.github.io/Logging_STROMSUND/artfynd/A 36791-2022.xlsx")</f>
        <v/>
      </c>
      <c r="T500">
        <f>HYPERLINK("https://klasma.github.io/Logging_STROMSUND/kartor/A 36791-2022.png")</f>
        <v/>
      </c>
      <c r="V500">
        <f>HYPERLINK("https://klasma.github.io/Logging_STROMSUND/klagomål/A 36791-2022.docx")</f>
        <v/>
      </c>
      <c r="W500">
        <f>HYPERLINK("https://klasma.github.io/Logging_STROMSUND/klagomålsmail/A 36791-2022.docx")</f>
        <v/>
      </c>
      <c r="X500">
        <f>HYPERLINK("https://klasma.github.io/Logging_STROMSUND/tillsyn/A 36791-2022.docx")</f>
        <v/>
      </c>
      <c r="Y500">
        <f>HYPERLINK("https://klasma.github.io/Logging_STROMSUND/tillsynsmail/A 36791-2022.docx")</f>
        <v/>
      </c>
    </row>
    <row r="501" ht="15" customHeight="1">
      <c r="A501" t="inlineStr">
        <is>
          <t>A 37381-2022</t>
        </is>
      </c>
      <c r="B501" s="1" t="n">
        <v>44806</v>
      </c>
      <c r="C501" s="1" t="n">
        <v>45182</v>
      </c>
      <c r="D501" t="inlineStr">
        <is>
          <t>JÄMTLANDS LÄN</t>
        </is>
      </c>
      <c r="E501" t="inlineStr">
        <is>
          <t>BERG</t>
        </is>
      </c>
      <c r="G501" t="n">
        <v>29</v>
      </c>
      <c r="H501" t="n">
        <v>1</v>
      </c>
      <c r="I501" t="n">
        <v>0</v>
      </c>
      <c r="J501" t="n">
        <v>4</v>
      </c>
      <c r="K501" t="n">
        <v>0</v>
      </c>
      <c r="L501" t="n">
        <v>0</v>
      </c>
      <c r="M501" t="n">
        <v>0</v>
      </c>
      <c r="N501" t="n">
        <v>0</v>
      </c>
      <c r="O501" t="n">
        <v>4</v>
      </c>
      <c r="P501" t="n">
        <v>0</v>
      </c>
      <c r="Q501" t="n">
        <v>4</v>
      </c>
      <c r="R501" s="2" t="inlineStr">
        <is>
          <t>Garnlav
Granticka
Harticka
Tretåig hackspett</t>
        </is>
      </c>
      <c r="S501">
        <f>HYPERLINK("https://klasma.github.io/Logging_BERG/artfynd/A 37381-2022.xlsx")</f>
        <v/>
      </c>
      <c r="T501">
        <f>HYPERLINK("https://klasma.github.io/Logging_BERG/kartor/A 37381-2022.png")</f>
        <v/>
      </c>
      <c r="V501">
        <f>HYPERLINK("https://klasma.github.io/Logging_BERG/klagomål/A 37381-2022.docx")</f>
        <v/>
      </c>
      <c r="W501">
        <f>HYPERLINK("https://klasma.github.io/Logging_BERG/klagomålsmail/A 37381-2022.docx")</f>
        <v/>
      </c>
      <c r="X501">
        <f>HYPERLINK("https://klasma.github.io/Logging_BERG/tillsyn/A 37381-2022.docx")</f>
        <v/>
      </c>
      <c r="Y501">
        <f>HYPERLINK("https://klasma.github.io/Logging_BERG/tillsynsmail/A 37381-2022.docx")</f>
        <v/>
      </c>
    </row>
    <row r="502" ht="15" customHeight="1">
      <c r="A502" t="inlineStr">
        <is>
          <t>A 53363-2022</t>
        </is>
      </c>
      <c r="B502" s="1" t="n">
        <v>44879</v>
      </c>
      <c r="C502" s="1" t="n">
        <v>45182</v>
      </c>
      <c r="D502" t="inlineStr">
        <is>
          <t>JÄMTLANDS LÄN</t>
        </is>
      </c>
      <c r="E502" t="inlineStr">
        <is>
          <t>KROKOM</t>
        </is>
      </c>
      <c r="F502" t="inlineStr">
        <is>
          <t>Kyrkan</t>
        </is>
      </c>
      <c r="G502" t="n">
        <v>13.3</v>
      </c>
      <c r="H502" t="n">
        <v>1</v>
      </c>
      <c r="I502" t="n">
        <v>0</v>
      </c>
      <c r="J502" t="n">
        <v>4</v>
      </c>
      <c r="K502" t="n">
        <v>0</v>
      </c>
      <c r="L502" t="n">
        <v>0</v>
      </c>
      <c r="M502" t="n">
        <v>0</v>
      </c>
      <c r="N502" t="n">
        <v>0</v>
      </c>
      <c r="O502" t="n">
        <v>4</v>
      </c>
      <c r="P502" t="n">
        <v>0</v>
      </c>
      <c r="Q502" t="n">
        <v>4</v>
      </c>
      <c r="R502" s="2" t="inlineStr">
        <is>
          <t>Garnlav
Lunglav
Skrovellav
Tretåig hackspett</t>
        </is>
      </c>
      <c r="S502">
        <f>HYPERLINK("https://klasma.github.io/Logging_KROKOM/artfynd/A 53363-2022.xlsx")</f>
        <v/>
      </c>
      <c r="T502">
        <f>HYPERLINK("https://klasma.github.io/Logging_KROKOM/kartor/A 53363-2022.png")</f>
        <v/>
      </c>
      <c r="V502">
        <f>HYPERLINK("https://klasma.github.io/Logging_KROKOM/klagomål/A 53363-2022.docx")</f>
        <v/>
      </c>
      <c r="W502">
        <f>HYPERLINK("https://klasma.github.io/Logging_KROKOM/klagomålsmail/A 53363-2022.docx")</f>
        <v/>
      </c>
      <c r="X502">
        <f>HYPERLINK("https://klasma.github.io/Logging_KROKOM/tillsyn/A 53363-2022.docx")</f>
        <v/>
      </c>
      <c r="Y502">
        <f>HYPERLINK("https://klasma.github.io/Logging_KROKOM/tillsynsmail/A 53363-2022.docx")</f>
        <v/>
      </c>
    </row>
    <row r="503" ht="15" customHeight="1">
      <c r="A503" t="inlineStr">
        <is>
          <t>A 57279-2022</t>
        </is>
      </c>
      <c r="B503" s="1" t="n">
        <v>44895</v>
      </c>
      <c r="C503" s="1" t="n">
        <v>45182</v>
      </c>
      <c r="D503" t="inlineStr">
        <is>
          <t>JÄMTLANDS LÄN</t>
        </is>
      </c>
      <c r="E503" t="inlineStr">
        <is>
          <t>STRÖMSUND</t>
        </is>
      </c>
      <c r="F503" t="inlineStr">
        <is>
          <t>SCA</t>
        </is>
      </c>
      <c r="G503" t="n">
        <v>11</v>
      </c>
      <c r="H503" t="n">
        <v>0</v>
      </c>
      <c r="I503" t="n">
        <v>0</v>
      </c>
      <c r="J503" t="n">
        <v>3</v>
      </c>
      <c r="K503" t="n">
        <v>1</v>
      </c>
      <c r="L503" t="n">
        <v>0</v>
      </c>
      <c r="M503" t="n">
        <v>0</v>
      </c>
      <c r="N503" t="n">
        <v>0</v>
      </c>
      <c r="O503" t="n">
        <v>4</v>
      </c>
      <c r="P503" t="n">
        <v>1</v>
      </c>
      <c r="Q503" t="n">
        <v>4</v>
      </c>
      <c r="R503" s="2" t="inlineStr">
        <is>
          <t>Rynkskinn
Koralltaggsvamp
Lunglav
Skrovellav</t>
        </is>
      </c>
      <c r="S503">
        <f>HYPERLINK("https://klasma.github.io/Logging_STROMSUND/artfynd/A 57279-2022.xlsx")</f>
        <v/>
      </c>
      <c r="T503">
        <f>HYPERLINK("https://klasma.github.io/Logging_STROMSUND/kartor/A 57279-2022.png")</f>
        <v/>
      </c>
      <c r="V503">
        <f>HYPERLINK("https://klasma.github.io/Logging_STROMSUND/klagomål/A 57279-2022.docx")</f>
        <v/>
      </c>
      <c r="W503">
        <f>HYPERLINK("https://klasma.github.io/Logging_STROMSUND/klagomålsmail/A 57279-2022.docx")</f>
        <v/>
      </c>
      <c r="X503">
        <f>HYPERLINK("https://klasma.github.io/Logging_STROMSUND/tillsyn/A 57279-2022.docx")</f>
        <v/>
      </c>
      <c r="Y503">
        <f>HYPERLINK("https://klasma.github.io/Logging_STROMSUND/tillsynsmail/A 57279-2022.docx")</f>
        <v/>
      </c>
    </row>
    <row r="504" ht="15" customHeight="1">
      <c r="A504" t="inlineStr">
        <is>
          <t>A 57295-2022</t>
        </is>
      </c>
      <c r="B504" s="1" t="n">
        <v>44895</v>
      </c>
      <c r="C504" s="1" t="n">
        <v>45182</v>
      </c>
      <c r="D504" t="inlineStr">
        <is>
          <t>JÄMTLANDS LÄN</t>
        </is>
      </c>
      <c r="E504" t="inlineStr">
        <is>
          <t>KROKOM</t>
        </is>
      </c>
      <c r="G504" t="n">
        <v>36.3</v>
      </c>
      <c r="H504" t="n">
        <v>2</v>
      </c>
      <c r="I504" t="n">
        <v>0</v>
      </c>
      <c r="J504" t="n">
        <v>3</v>
      </c>
      <c r="K504" t="n">
        <v>1</v>
      </c>
      <c r="L504" t="n">
        <v>0</v>
      </c>
      <c r="M504" t="n">
        <v>0</v>
      </c>
      <c r="N504" t="n">
        <v>0</v>
      </c>
      <c r="O504" t="n">
        <v>4</v>
      </c>
      <c r="P504" t="n">
        <v>1</v>
      </c>
      <c r="Q504" t="n">
        <v>4</v>
      </c>
      <c r="R504" s="2" t="inlineStr">
        <is>
          <t>Doftticka
Garnlav
Lunglav
Tretåig hackspett</t>
        </is>
      </c>
      <c r="S504">
        <f>HYPERLINK("https://klasma.github.io/Logging_KROKOM/artfynd/A 57295-2022.xlsx")</f>
        <v/>
      </c>
      <c r="T504">
        <f>HYPERLINK("https://klasma.github.io/Logging_KROKOM/kartor/A 57295-2022.png")</f>
        <v/>
      </c>
      <c r="V504">
        <f>HYPERLINK("https://klasma.github.io/Logging_KROKOM/klagomål/A 57295-2022.docx")</f>
        <v/>
      </c>
      <c r="W504">
        <f>HYPERLINK("https://klasma.github.io/Logging_KROKOM/klagomålsmail/A 57295-2022.docx")</f>
        <v/>
      </c>
      <c r="X504">
        <f>HYPERLINK("https://klasma.github.io/Logging_KROKOM/tillsyn/A 57295-2022.docx")</f>
        <v/>
      </c>
      <c r="Y504">
        <f>HYPERLINK("https://klasma.github.io/Logging_KROKOM/tillsynsmail/A 57295-2022.docx")</f>
        <v/>
      </c>
    </row>
    <row r="505" ht="15" customHeight="1">
      <c r="A505" t="inlineStr">
        <is>
          <t>A 59039-2022</t>
        </is>
      </c>
      <c r="B505" s="1" t="n">
        <v>44903</v>
      </c>
      <c r="C505" s="1" t="n">
        <v>45182</v>
      </c>
      <c r="D505" t="inlineStr">
        <is>
          <t>JÄMTLANDS LÄN</t>
        </is>
      </c>
      <c r="E505" t="inlineStr">
        <is>
          <t>KROKOM</t>
        </is>
      </c>
      <c r="F505" t="inlineStr">
        <is>
          <t>SCA</t>
        </is>
      </c>
      <c r="G505" t="n">
        <v>2.5</v>
      </c>
      <c r="H505" t="n">
        <v>0</v>
      </c>
      <c r="I505" t="n">
        <v>0</v>
      </c>
      <c r="J505" t="n">
        <v>4</v>
      </c>
      <c r="K505" t="n">
        <v>0</v>
      </c>
      <c r="L505" t="n">
        <v>0</v>
      </c>
      <c r="M505" t="n">
        <v>0</v>
      </c>
      <c r="N505" t="n">
        <v>0</v>
      </c>
      <c r="O505" t="n">
        <v>4</v>
      </c>
      <c r="P505" t="n">
        <v>0</v>
      </c>
      <c r="Q505" t="n">
        <v>4</v>
      </c>
      <c r="R505" s="2" t="inlineStr">
        <is>
          <t>Garnlav
Lunglav
Skrovellav
Tallticka</t>
        </is>
      </c>
      <c r="S505">
        <f>HYPERLINK("https://klasma.github.io/Logging_KROKOM/artfynd/A 59039-2022.xlsx")</f>
        <v/>
      </c>
      <c r="T505">
        <f>HYPERLINK("https://klasma.github.io/Logging_KROKOM/kartor/A 59039-2022.png")</f>
        <v/>
      </c>
      <c r="V505">
        <f>HYPERLINK("https://klasma.github.io/Logging_KROKOM/klagomål/A 59039-2022.docx")</f>
        <v/>
      </c>
      <c r="W505">
        <f>HYPERLINK("https://klasma.github.io/Logging_KROKOM/klagomålsmail/A 59039-2022.docx")</f>
        <v/>
      </c>
      <c r="X505">
        <f>HYPERLINK("https://klasma.github.io/Logging_KROKOM/tillsyn/A 59039-2022.docx")</f>
        <v/>
      </c>
      <c r="Y505">
        <f>HYPERLINK("https://klasma.github.io/Logging_KROKOM/tillsynsmail/A 59039-2022.docx")</f>
        <v/>
      </c>
    </row>
    <row r="506" ht="15" customHeight="1">
      <c r="A506" t="inlineStr">
        <is>
          <t>A 59291-2022</t>
        </is>
      </c>
      <c r="B506" s="1" t="n">
        <v>44904</v>
      </c>
      <c r="C506" s="1" t="n">
        <v>45182</v>
      </c>
      <c r="D506" t="inlineStr">
        <is>
          <t>JÄMTLANDS LÄN</t>
        </is>
      </c>
      <c r="E506" t="inlineStr">
        <is>
          <t>ÖSTERSUND</t>
        </is>
      </c>
      <c r="G506" t="n">
        <v>9.199999999999999</v>
      </c>
      <c r="H506" t="n">
        <v>1</v>
      </c>
      <c r="I506" t="n">
        <v>0</v>
      </c>
      <c r="J506" t="n">
        <v>3</v>
      </c>
      <c r="K506" t="n">
        <v>0</v>
      </c>
      <c r="L506" t="n">
        <v>0</v>
      </c>
      <c r="M506" t="n">
        <v>0</v>
      </c>
      <c r="N506" t="n">
        <v>0</v>
      </c>
      <c r="O506" t="n">
        <v>3</v>
      </c>
      <c r="P506" t="n">
        <v>0</v>
      </c>
      <c r="Q506" t="n">
        <v>4</v>
      </c>
      <c r="R506" s="2" t="inlineStr">
        <is>
          <t>Garnlav
Lunglav
Skrovellav
Revlummer</t>
        </is>
      </c>
      <c r="S506">
        <f>HYPERLINK("https://klasma.github.io/Logging_OSTERSUND/artfynd/A 59291-2022.xlsx")</f>
        <v/>
      </c>
      <c r="T506">
        <f>HYPERLINK("https://klasma.github.io/Logging_OSTERSUND/kartor/A 59291-2022.png")</f>
        <v/>
      </c>
      <c r="V506">
        <f>HYPERLINK("https://klasma.github.io/Logging_OSTERSUND/klagomål/A 59291-2022.docx")</f>
        <v/>
      </c>
      <c r="W506">
        <f>HYPERLINK("https://klasma.github.io/Logging_OSTERSUND/klagomålsmail/A 59291-2022.docx")</f>
        <v/>
      </c>
      <c r="X506">
        <f>HYPERLINK("https://klasma.github.io/Logging_OSTERSUND/tillsyn/A 59291-2022.docx")</f>
        <v/>
      </c>
      <c r="Y506">
        <f>HYPERLINK("https://klasma.github.io/Logging_OSTERSUND/tillsynsmail/A 59291-2022.docx")</f>
        <v/>
      </c>
    </row>
    <row r="507" ht="15" customHeight="1">
      <c r="A507" t="inlineStr">
        <is>
          <t>A 60566-2022</t>
        </is>
      </c>
      <c r="B507" s="1" t="n">
        <v>44904</v>
      </c>
      <c r="C507" s="1" t="n">
        <v>45182</v>
      </c>
      <c r="D507" t="inlineStr">
        <is>
          <t>JÄMTLANDS LÄN</t>
        </is>
      </c>
      <c r="E507" t="inlineStr">
        <is>
          <t>KROKOM</t>
        </is>
      </c>
      <c r="G507" t="n">
        <v>7.1</v>
      </c>
      <c r="H507" t="n">
        <v>1</v>
      </c>
      <c r="I507" t="n">
        <v>0</v>
      </c>
      <c r="J507" t="n">
        <v>3</v>
      </c>
      <c r="K507" t="n">
        <v>1</v>
      </c>
      <c r="L507" t="n">
        <v>0</v>
      </c>
      <c r="M507" t="n">
        <v>0</v>
      </c>
      <c r="N507" t="n">
        <v>0</v>
      </c>
      <c r="O507" t="n">
        <v>4</v>
      </c>
      <c r="P507" t="n">
        <v>1</v>
      </c>
      <c r="Q507" t="n">
        <v>4</v>
      </c>
      <c r="R507" s="2" t="inlineStr">
        <is>
          <t>Fjällfotad fingersvamp
Lunglav
Småflikig brosklav
Talltita</t>
        </is>
      </c>
      <c r="S507">
        <f>HYPERLINK("https://klasma.github.io/Logging_KROKOM/artfynd/A 60566-2022.xlsx")</f>
        <v/>
      </c>
      <c r="T507">
        <f>HYPERLINK("https://klasma.github.io/Logging_KROKOM/kartor/A 60566-2022.png")</f>
        <v/>
      </c>
      <c r="V507">
        <f>HYPERLINK("https://klasma.github.io/Logging_KROKOM/klagomål/A 60566-2022.docx")</f>
        <v/>
      </c>
      <c r="W507">
        <f>HYPERLINK("https://klasma.github.io/Logging_KROKOM/klagomålsmail/A 60566-2022.docx")</f>
        <v/>
      </c>
      <c r="X507">
        <f>HYPERLINK("https://klasma.github.io/Logging_KROKOM/tillsyn/A 60566-2022.docx")</f>
        <v/>
      </c>
      <c r="Y507">
        <f>HYPERLINK("https://klasma.github.io/Logging_KROKOM/tillsynsmail/A 60566-2022.docx")</f>
        <v/>
      </c>
    </row>
    <row r="508" ht="15" customHeight="1">
      <c r="A508" t="inlineStr">
        <is>
          <t>A 60670-2022</t>
        </is>
      </c>
      <c r="B508" s="1" t="n">
        <v>44911</v>
      </c>
      <c r="C508" s="1" t="n">
        <v>45182</v>
      </c>
      <c r="D508" t="inlineStr">
        <is>
          <t>JÄMTLANDS LÄN</t>
        </is>
      </c>
      <c r="E508" t="inlineStr">
        <is>
          <t>RAGUNDA</t>
        </is>
      </c>
      <c r="F508" t="inlineStr">
        <is>
          <t>SCA</t>
        </is>
      </c>
      <c r="G508" t="n">
        <v>5.1</v>
      </c>
      <c r="H508" t="n">
        <v>0</v>
      </c>
      <c r="I508" t="n">
        <v>0</v>
      </c>
      <c r="J508" t="n">
        <v>4</v>
      </c>
      <c r="K508" t="n">
        <v>0</v>
      </c>
      <c r="L508" t="n">
        <v>0</v>
      </c>
      <c r="M508" t="n">
        <v>0</v>
      </c>
      <c r="N508" t="n">
        <v>0</v>
      </c>
      <c r="O508" t="n">
        <v>4</v>
      </c>
      <c r="P508" t="n">
        <v>0</v>
      </c>
      <c r="Q508" t="n">
        <v>4</v>
      </c>
      <c r="R508" s="2" t="inlineStr">
        <is>
          <t>Doftskinn
Gammelgransskål
Lunglav
Ullticka</t>
        </is>
      </c>
      <c r="S508">
        <f>HYPERLINK("https://klasma.github.io/Logging_RAGUNDA/artfynd/A 60670-2022.xlsx")</f>
        <v/>
      </c>
      <c r="T508">
        <f>HYPERLINK("https://klasma.github.io/Logging_RAGUNDA/kartor/A 60670-2022.png")</f>
        <v/>
      </c>
      <c r="V508">
        <f>HYPERLINK("https://klasma.github.io/Logging_RAGUNDA/klagomål/A 60670-2022.docx")</f>
        <v/>
      </c>
      <c r="W508">
        <f>HYPERLINK("https://klasma.github.io/Logging_RAGUNDA/klagomålsmail/A 60670-2022.docx")</f>
        <v/>
      </c>
      <c r="X508">
        <f>HYPERLINK("https://klasma.github.io/Logging_RAGUNDA/tillsyn/A 60670-2022.docx")</f>
        <v/>
      </c>
      <c r="Y508">
        <f>HYPERLINK("https://klasma.github.io/Logging_RAGUNDA/tillsynsmail/A 60670-2022.docx")</f>
        <v/>
      </c>
    </row>
    <row r="509" ht="15" customHeight="1">
      <c r="A509" t="inlineStr">
        <is>
          <t>A 2962-2023</t>
        </is>
      </c>
      <c r="B509" s="1" t="n">
        <v>44945</v>
      </c>
      <c r="C509" s="1" t="n">
        <v>45182</v>
      </c>
      <c r="D509" t="inlineStr">
        <is>
          <t>JÄMTLANDS LÄN</t>
        </is>
      </c>
      <c r="E509" t="inlineStr">
        <is>
          <t>ÖSTERSUND</t>
        </is>
      </c>
      <c r="F509" t="inlineStr">
        <is>
          <t>Övriga Aktiebolag</t>
        </is>
      </c>
      <c r="G509" t="n">
        <v>14.4</v>
      </c>
      <c r="H509" t="n">
        <v>2</v>
      </c>
      <c r="I509" t="n">
        <v>0</v>
      </c>
      <c r="J509" t="n">
        <v>3</v>
      </c>
      <c r="K509" t="n">
        <v>0</v>
      </c>
      <c r="L509" t="n">
        <v>0</v>
      </c>
      <c r="M509" t="n">
        <v>0</v>
      </c>
      <c r="N509" t="n">
        <v>0</v>
      </c>
      <c r="O509" t="n">
        <v>3</v>
      </c>
      <c r="P509" t="n">
        <v>0</v>
      </c>
      <c r="Q509" t="n">
        <v>4</v>
      </c>
      <c r="R509" s="2" t="inlineStr">
        <is>
          <t>Garnlav
Lunglav
Tretåig hackspett
Revlummer</t>
        </is>
      </c>
      <c r="S509">
        <f>HYPERLINK("https://klasma.github.io/Logging_OSTERSUND/artfynd/A 2962-2023.xlsx")</f>
        <v/>
      </c>
      <c r="T509">
        <f>HYPERLINK("https://klasma.github.io/Logging_OSTERSUND/kartor/A 2962-2023.png")</f>
        <v/>
      </c>
      <c r="V509">
        <f>HYPERLINK("https://klasma.github.io/Logging_OSTERSUND/klagomål/A 2962-2023.docx")</f>
        <v/>
      </c>
      <c r="W509">
        <f>HYPERLINK("https://klasma.github.io/Logging_OSTERSUND/klagomålsmail/A 2962-2023.docx")</f>
        <v/>
      </c>
      <c r="X509">
        <f>HYPERLINK("https://klasma.github.io/Logging_OSTERSUND/tillsyn/A 2962-2023.docx")</f>
        <v/>
      </c>
      <c r="Y509">
        <f>HYPERLINK("https://klasma.github.io/Logging_OSTERSUND/tillsynsmail/A 2962-2023.docx")</f>
        <v/>
      </c>
    </row>
    <row r="510" ht="15" customHeight="1">
      <c r="A510" t="inlineStr">
        <is>
          <t>A 4716-2023</t>
        </is>
      </c>
      <c r="B510" s="1" t="n">
        <v>44953</v>
      </c>
      <c r="C510" s="1" t="n">
        <v>45182</v>
      </c>
      <c r="D510" t="inlineStr">
        <is>
          <t>JÄMTLANDS LÄN</t>
        </is>
      </c>
      <c r="E510" t="inlineStr">
        <is>
          <t>BERG</t>
        </is>
      </c>
      <c r="G510" t="n">
        <v>9.6</v>
      </c>
      <c r="H510" t="n">
        <v>1</v>
      </c>
      <c r="I510" t="n">
        <v>0</v>
      </c>
      <c r="J510" t="n">
        <v>2</v>
      </c>
      <c r="K510" t="n">
        <v>2</v>
      </c>
      <c r="L510" t="n">
        <v>0</v>
      </c>
      <c r="M510" t="n">
        <v>0</v>
      </c>
      <c r="N510" t="n">
        <v>0</v>
      </c>
      <c r="O510" t="n">
        <v>4</v>
      </c>
      <c r="P510" t="n">
        <v>2</v>
      </c>
      <c r="Q510" t="n">
        <v>4</v>
      </c>
      <c r="R510" s="2" t="inlineStr">
        <is>
          <t>Knärot
Taggfingersvamp
Garnlav
Lunglav</t>
        </is>
      </c>
      <c r="S510">
        <f>HYPERLINK("https://klasma.github.io/Logging_BERG/artfynd/A 4716-2023.xlsx")</f>
        <v/>
      </c>
      <c r="T510">
        <f>HYPERLINK("https://klasma.github.io/Logging_BERG/kartor/A 4716-2023.png")</f>
        <v/>
      </c>
      <c r="U510">
        <f>HYPERLINK("https://klasma.github.io/Logging_BERG/knärot/A 4716-2023.png")</f>
        <v/>
      </c>
      <c r="V510">
        <f>HYPERLINK("https://klasma.github.io/Logging_BERG/klagomål/A 4716-2023.docx")</f>
        <v/>
      </c>
      <c r="W510">
        <f>HYPERLINK("https://klasma.github.io/Logging_BERG/klagomålsmail/A 4716-2023.docx")</f>
        <v/>
      </c>
      <c r="X510">
        <f>HYPERLINK("https://klasma.github.io/Logging_BERG/tillsyn/A 4716-2023.docx")</f>
        <v/>
      </c>
      <c r="Y510">
        <f>HYPERLINK("https://klasma.github.io/Logging_BERG/tillsynsmail/A 4716-2023.docx")</f>
        <v/>
      </c>
    </row>
    <row r="511" ht="15" customHeight="1">
      <c r="A511" t="inlineStr">
        <is>
          <t>A 6682-2023</t>
        </is>
      </c>
      <c r="B511" s="1" t="n">
        <v>44966</v>
      </c>
      <c r="C511" s="1" t="n">
        <v>45182</v>
      </c>
      <c r="D511" t="inlineStr">
        <is>
          <t>JÄMTLANDS LÄN</t>
        </is>
      </c>
      <c r="E511" t="inlineStr">
        <is>
          <t>KROKOM</t>
        </is>
      </c>
      <c r="G511" t="n">
        <v>22.8</v>
      </c>
      <c r="H511" t="n">
        <v>1</v>
      </c>
      <c r="I511" t="n">
        <v>0</v>
      </c>
      <c r="J511" t="n">
        <v>4</v>
      </c>
      <c r="K511" t="n">
        <v>0</v>
      </c>
      <c r="L511" t="n">
        <v>0</v>
      </c>
      <c r="M511" t="n">
        <v>0</v>
      </c>
      <c r="N511" t="n">
        <v>0</v>
      </c>
      <c r="O511" t="n">
        <v>4</v>
      </c>
      <c r="P511" t="n">
        <v>0</v>
      </c>
      <c r="Q511" t="n">
        <v>4</v>
      </c>
      <c r="R511" s="2" t="inlineStr">
        <is>
          <t>Garnlav
Granticka
Lunglav
Tretåig hackspett</t>
        </is>
      </c>
      <c r="S511">
        <f>HYPERLINK("https://klasma.github.io/Logging_KROKOM/artfynd/A 6682-2023.xlsx")</f>
        <v/>
      </c>
      <c r="T511">
        <f>HYPERLINK("https://klasma.github.io/Logging_KROKOM/kartor/A 6682-2023.png")</f>
        <v/>
      </c>
      <c r="V511">
        <f>HYPERLINK("https://klasma.github.io/Logging_KROKOM/klagomål/A 6682-2023.docx")</f>
        <v/>
      </c>
      <c r="W511">
        <f>HYPERLINK("https://klasma.github.io/Logging_KROKOM/klagomålsmail/A 6682-2023.docx")</f>
        <v/>
      </c>
      <c r="X511">
        <f>HYPERLINK("https://klasma.github.io/Logging_KROKOM/tillsyn/A 6682-2023.docx")</f>
        <v/>
      </c>
      <c r="Y511">
        <f>HYPERLINK("https://klasma.github.io/Logging_KROKOM/tillsynsmail/A 6682-2023.docx")</f>
        <v/>
      </c>
    </row>
    <row r="512" ht="15" customHeight="1">
      <c r="A512" t="inlineStr">
        <is>
          <t>A 8587-2023</t>
        </is>
      </c>
      <c r="B512" s="1" t="n">
        <v>44977</v>
      </c>
      <c r="C512" s="1" t="n">
        <v>45182</v>
      </c>
      <c r="D512" t="inlineStr">
        <is>
          <t>JÄMTLANDS LÄN</t>
        </is>
      </c>
      <c r="E512" t="inlineStr">
        <is>
          <t>HÄRJEDALEN</t>
        </is>
      </c>
      <c r="F512" t="inlineStr">
        <is>
          <t>Holmen skog AB</t>
        </is>
      </c>
      <c r="G512" t="n">
        <v>7.4</v>
      </c>
      <c r="H512" t="n">
        <v>2</v>
      </c>
      <c r="I512" t="n">
        <v>0</v>
      </c>
      <c r="J512" t="n">
        <v>2</v>
      </c>
      <c r="K512" t="n">
        <v>1</v>
      </c>
      <c r="L512" t="n">
        <v>0</v>
      </c>
      <c r="M512" t="n">
        <v>0</v>
      </c>
      <c r="N512" t="n">
        <v>0</v>
      </c>
      <c r="O512" t="n">
        <v>3</v>
      </c>
      <c r="P512" t="n">
        <v>1</v>
      </c>
      <c r="Q512" t="n">
        <v>4</v>
      </c>
      <c r="R512" s="2" t="inlineStr">
        <is>
          <t>Knärot
Knottrig blåslav
Violettgrå tagellav
Fläcknycklar</t>
        </is>
      </c>
      <c r="S512">
        <f>HYPERLINK("https://klasma.github.io/Logging_HARJEDALEN/artfynd/A 8587-2023.xlsx")</f>
        <v/>
      </c>
      <c r="T512">
        <f>HYPERLINK("https://klasma.github.io/Logging_HARJEDALEN/kartor/A 8587-2023.png")</f>
        <v/>
      </c>
      <c r="U512">
        <f>HYPERLINK("https://klasma.github.io/Logging_HARJEDALEN/knärot/A 8587-2023.png")</f>
        <v/>
      </c>
      <c r="V512">
        <f>HYPERLINK("https://klasma.github.io/Logging_HARJEDALEN/klagomål/A 8587-2023.docx")</f>
        <v/>
      </c>
      <c r="W512">
        <f>HYPERLINK("https://klasma.github.io/Logging_HARJEDALEN/klagomålsmail/A 8587-2023.docx")</f>
        <v/>
      </c>
      <c r="X512">
        <f>HYPERLINK("https://klasma.github.io/Logging_HARJEDALEN/tillsyn/A 8587-2023.docx")</f>
        <v/>
      </c>
      <c r="Y512">
        <f>HYPERLINK("https://klasma.github.io/Logging_HARJEDALEN/tillsynsmail/A 8587-2023.docx")</f>
        <v/>
      </c>
    </row>
    <row r="513" ht="15" customHeight="1">
      <c r="A513" t="inlineStr">
        <is>
          <t>A 14059-2023</t>
        </is>
      </c>
      <c r="B513" s="1" t="n">
        <v>45007</v>
      </c>
      <c r="C513" s="1" t="n">
        <v>45182</v>
      </c>
      <c r="D513" t="inlineStr">
        <is>
          <t>JÄMTLANDS LÄN</t>
        </is>
      </c>
      <c r="E513" t="inlineStr">
        <is>
          <t>HÄRJEDALEN</t>
        </is>
      </c>
      <c r="F513" t="inlineStr">
        <is>
          <t>Bergvik skog väst AB</t>
        </is>
      </c>
      <c r="G513" t="n">
        <v>21.1</v>
      </c>
      <c r="H513" t="n">
        <v>0</v>
      </c>
      <c r="I513" t="n">
        <v>0</v>
      </c>
      <c r="J513" t="n">
        <v>2</v>
      </c>
      <c r="K513" t="n">
        <v>2</v>
      </c>
      <c r="L513" t="n">
        <v>0</v>
      </c>
      <c r="M513" t="n">
        <v>0</v>
      </c>
      <c r="N513" t="n">
        <v>0</v>
      </c>
      <c r="O513" t="n">
        <v>4</v>
      </c>
      <c r="P513" t="n">
        <v>2</v>
      </c>
      <c r="Q513" t="n">
        <v>4</v>
      </c>
      <c r="R513" s="2" t="inlineStr">
        <is>
          <t>Fläckporing
Gräddporing
Nordtagging
Skrovellav</t>
        </is>
      </c>
      <c r="S513">
        <f>HYPERLINK("https://klasma.github.io/Logging_HARJEDALEN/artfynd/A 14059-2023.xlsx")</f>
        <v/>
      </c>
      <c r="T513">
        <f>HYPERLINK("https://klasma.github.io/Logging_HARJEDALEN/kartor/A 14059-2023.png")</f>
        <v/>
      </c>
      <c r="V513">
        <f>HYPERLINK("https://klasma.github.io/Logging_HARJEDALEN/klagomål/A 14059-2023.docx")</f>
        <v/>
      </c>
      <c r="W513">
        <f>HYPERLINK("https://klasma.github.io/Logging_HARJEDALEN/klagomålsmail/A 14059-2023.docx")</f>
        <v/>
      </c>
      <c r="X513">
        <f>HYPERLINK("https://klasma.github.io/Logging_HARJEDALEN/tillsyn/A 14059-2023.docx")</f>
        <v/>
      </c>
      <c r="Y513">
        <f>HYPERLINK("https://klasma.github.io/Logging_HARJEDALEN/tillsynsmail/A 14059-2023.docx")</f>
        <v/>
      </c>
    </row>
    <row r="514" ht="15" customHeight="1">
      <c r="A514" t="inlineStr">
        <is>
          <t>A 14062-2023</t>
        </is>
      </c>
      <c r="B514" s="1" t="n">
        <v>45007</v>
      </c>
      <c r="C514" s="1" t="n">
        <v>45182</v>
      </c>
      <c r="D514" t="inlineStr">
        <is>
          <t>JÄMTLANDS LÄN</t>
        </is>
      </c>
      <c r="E514" t="inlineStr">
        <is>
          <t>HÄRJEDALEN</t>
        </is>
      </c>
      <c r="F514" t="inlineStr">
        <is>
          <t>Bergvik skog väst AB</t>
        </is>
      </c>
      <c r="G514" t="n">
        <v>12.6</v>
      </c>
      <c r="H514" t="n">
        <v>1</v>
      </c>
      <c r="I514" t="n">
        <v>2</v>
      </c>
      <c r="J514" t="n">
        <v>2</v>
      </c>
      <c r="K514" t="n">
        <v>0</v>
      </c>
      <c r="L514" t="n">
        <v>0</v>
      </c>
      <c r="M514" t="n">
        <v>0</v>
      </c>
      <c r="N514" t="n">
        <v>0</v>
      </c>
      <c r="O514" t="n">
        <v>2</v>
      </c>
      <c r="P514" t="n">
        <v>0</v>
      </c>
      <c r="Q514" t="n">
        <v>4</v>
      </c>
      <c r="R514" s="2" t="inlineStr">
        <is>
          <t>Mörk kolflarnlav
Spillkråka
Korallblylav
Luddlav</t>
        </is>
      </c>
      <c r="S514">
        <f>HYPERLINK("https://klasma.github.io/Logging_HARJEDALEN/artfynd/A 14062-2023.xlsx")</f>
        <v/>
      </c>
      <c r="T514">
        <f>HYPERLINK("https://klasma.github.io/Logging_HARJEDALEN/kartor/A 14062-2023.png")</f>
        <v/>
      </c>
      <c r="V514">
        <f>HYPERLINK("https://klasma.github.io/Logging_HARJEDALEN/klagomål/A 14062-2023.docx")</f>
        <v/>
      </c>
      <c r="W514">
        <f>HYPERLINK("https://klasma.github.io/Logging_HARJEDALEN/klagomålsmail/A 14062-2023.docx")</f>
        <v/>
      </c>
      <c r="X514">
        <f>HYPERLINK("https://klasma.github.io/Logging_HARJEDALEN/tillsyn/A 14062-2023.docx")</f>
        <v/>
      </c>
      <c r="Y514">
        <f>HYPERLINK("https://klasma.github.io/Logging_HARJEDALEN/tillsynsmail/A 14062-2023.docx")</f>
        <v/>
      </c>
    </row>
    <row r="515" ht="15" customHeight="1">
      <c r="A515" t="inlineStr">
        <is>
          <t>A 17221-2023</t>
        </is>
      </c>
      <c r="B515" s="1" t="n">
        <v>45034</v>
      </c>
      <c r="C515" s="1" t="n">
        <v>45182</v>
      </c>
      <c r="D515" t="inlineStr">
        <is>
          <t>JÄMTLANDS LÄN</t>
        </is>
      </c>
      <c r="E515" t="inlineStr">
        <is>
          <t>RAGUNDA</t>
        </is>
      </c>
      <c r="F515" t="inlineStr">
        <is>
          <t>SCA</t>
        </is>
      </c>
      <c r="G515" t="n">
        <v>7.8</v>
      </c>
      <c r="H515" t="n">
        <v>0</v>
      </c>
      <c r="I515" t="n">
        <v>1</v>
      </c>
      <c r="J515" t="n">
        <v>3</v>
      </c>
      <c r="K515" t="n">
        <v>0</v>
      </c>
      <c r="L515" t="n">
        <v>0</v>
      </c>
      <c r="M515" t="n">
        <v>0</v>
      </c>
      <c r="N515" t="n">
        <v>0</v>
      </c>
      <c r="O515" t="n">
        <v>3</v>
      </c>
      <c r="P515" t="n">
        <v>0</v>
      </c>
      <c r="Q515" t="n">
        <v>4</v>
      </c>
      <c r="R515" s="2" t="inlineStr">
        <is>
          <t>Garnlav
Lunglav
Ullticka
Stuplav</t>
        </is>
      </c>
      <c r="S515">
        <f>HYPERLINK("https://klasma.github.io/Logging_RAGUNDA/artfynd/A 17221-2023.xlsx")</f>
        <v/>
      </c>
      <c r="T515">
        <f>HYPERLINK("https://klasma.github.io/Logging_RAGUNDA/kartor/A 17221-2023.png")</f>
        <v/>
      </c>
      <c r="V515">
        <f>HYPERLINK("https://klasma.github.io/Logging_RAGUNDA/klagomål/A 17221-2023.docx")</f>
        <v/>
      </c>
      <c r="W515">
        <f>HYPERLINK("https://klasma.github.io/Logging_RAGUNDA/klagomålsmail/A 17221-2023.docx")</f>
        <v/>
      </c>
      <c r="X515">
        <f>HYPERLINK("https://klasma.github.io/Logging_RAGUNDA/tillsyn/A 17221-2023.docx")</f>
        <v/>
      </c>
      <c r="Y515">
        <f>HYPERLINK("https://klasma.github.io/Logging_RAGUNDA/tillsynsmail/A 17221-2023.docx")</f>
        <v/>
      </c>
    </row>
    <row r="516" ht="15" customHeight="1">
      <c r="A516" t="inlineStr">
        <is>
          <t>A 20874-2023</t>
        </is>
      </c>
      <c r="B516" s="1" t="n">
        <v>45058</v>
      </c>
      <c r="C516" s="1" t="n">
        <v>45182</v>
      </c>
      <c r="D516" t="inlineStr">
        <is>
          <t>JÄMTLANDS LÄN</t>
        </is>
      </c>
      <c r="E516" t="inlineStr">
        <is>
          <t>BERG</t>
        </is>
      </c>
      <c r="F516" t="inlineStr">
        <is>
          <t>SCA</t>
        </is>
      </c>
      <c r="G516" t="n">
        <v>2.6</v>
      </c>
      <c r="H516" t="n">
        <v>0</v>
      </c>
      <c r="I516" t="n">
        <v>1</v>
      </c>
      <c r="J516" t="n">
        <v>3</v>
      </c>
      <c r="K516" t="n">
        <v>0</v>
      </c>
      <c r="L516" t="n">
        <v>0</v>
      </c>
      <c r="M516" t="n">
        <v>0</v>
      </c>
      <c r="N516" t="n">
        <v>0</v>
      </c>
      <c r="O516" t="n">
        <v>3</v>
      </c>
      <c r="P516" t="n">
        <v>0</v>
      </c>
      <c r="Q516" t="n">
        <v>4</v>
      </c>
      <c r="R516" s="2" t="inlineStr">
        <is>
          <t>Kolflarnlav
Mörk kolflarnlav
Vedskivlav
Skinnlav</t>
        </is>
      </c>
      <c r="S516">
        <f>HYPERLINK("https://klasma.github.io/Logging_BERG/artfynd/A 20874-2023.xlsx")</f>
        <v/>
      </c>
      <c r="T516">
        <f>HYPERLINK("https://klasma.github.io/Logging_BERG/kartor/A 20874-2023.png")</f>
        <v/>
      </c>
      <c r="V516">
        <f>HYPERLINK("https://klasma.github.io/Logging_BERG/klagomål/A 20874-2023.docx")</f>
        <v/>
      </c>
      <c r="W516">
        <f>HYPERLINK("https://klasma.github.io/Logging_BERG/klagomålsmail/A 20874-2023.docx")</f>
        <v/>
      </c>
      <c r="X516">
        <f>HYPERLINK("https://klasma.github.io/Logging_BERG/tillsyn/A 20874-2023.docx")</f>
        <v/>
      </c>
      <c r="Y516">
        <f>HYPERLINK("https://klasma.github.io/Logging_BERG/tillsynsmail/A 20874-2023.docx")</f>
        <v/>
      </c>
    </row>
    <row r="517" ht="15" customHeight="1">
      <c r="A517" t="inlineStr">
        <is>
          <t>A 20877-2023</t>
        </is>
      </c>
      <c r="B517" s="1" t="n">
        <v>45058</v>
      </c>
      <c r="C517" s="1" t="n">
        <v>45182</v>
      </c>
      <c r="D517" t="inlineStr">
        <is>
          <t>JÄMTLANDS LÄN</t>
        </is>
      </c>
      <c r="E517" t="inlineStr">
        <is>
          <t>STRÖMSUND</t>
        </is>
      </c>
      <c r="F517" t="inlineStr">
        <is>
          <t>SCA</t>
        </is>
      </c>
      <c r="G517" t="n">
        <v>8.5</v>
      </c>
      <c r="H517" t="n">
        <v>1</v>
      </c>
      <c r="I517" t="n">
        <v>2</v>
      </c>
      <c r="J517" t="n">
        <v>2</v>
      </c>
      <c r="K517" t="n">
        <v>0</v>
      </c>
      <c r="L517" t="n">
        <v>0</v>
      </c>
      <c r="M517" t="n">
        <v>0</v>
      </c>
      <c r="N517" t="n">
        <v>0</v>
      </c>
      <c r="O517" t="n">
        <v>2</v>
      </c>
      <c r="P517" t="n">
        <v>0</v>
      </c>
      <c r="Q517" t="n">
        <v>4</v>
      </c>
      <c r="R517" s="2" t="inlineStr">
        <is>
          <t>Lunglav
Tretåig hackspett
Dropptaggsvamp
Stuplav</t>
        </is>
      </c>
      <c r="S517">
        <f>HYPERLINK("https://klasma.github.io/Logging_STROMSUND/artfynd/A 20877-2023.xlsx")</f>
        <v/>
      </c>
      <c r="T517">
        <f>HYPERLINK("https://klasma.github.io/Logging_STROMSUND/kartor/A 20877-2023.png")</f>
        <v/>
      </c>
      <c r="V517">
        <f>HYPERLINK("https://klasma.github.io/Logging_STROMSUND/klagomål/A 20877-2023.docx")</f>
        <v/>
      </c>
      <c r="W517">
        <f>HYPERLINK("https://klasma.github.io/Logging_STROMSUND/klagomålsmail/A 20877-2023.docx")</f>
        <v/>
      </c>
      <c r="X517">
        <f>HYPERLINK("https://klasma.github.io/Logging_STROMSUND/tillsyn/A 20877-2023.docx")</f>
        <v/>
      </c>
      <c r="Y517">
        <f>HYPERLINK("https://klasma.github.io/Logging_STROMSUND/tillsynsmail/A 20877-2023.docx")</f>
        <v/>
      </c>
    </row>
    <row r="518" ht="15" customHeight="1">
      <c r="A518" t="inlineStr">
        <is>
          <t>A 20886-2023</t>
        </is>
      </c>
      <c r="B518" s="1" t="n">
        <v>45058</v>
      </c>
      <c r="C518" s="1" t="n">
        <v>45182</v>
      </c>
      <c r="D518" t="inlineStr">
        <is>
          <t>JÄMTLANDS LÄN</t>
        </is>
      </c>
      <c r="E518" t="inlineStr">
        <is>
          <t>STRÖMSUND</t>
        </is>
      </c>
      <c r="F518" t="inlineStr">
        <is>
          <t>SCA</t>
        </is>
      </c>
      <c r="G518" t="n">
        <v>23.1</v>
      </c>
      <c r="H518" t="n">
        <v>0</v>
      </c>
      <c r="I518" t="n">
        <v>1</v>
      </c>
      <c r="J518" t="n">
        <v>3</v>
      </c>
      <c r="K518" t="n">
        <v>0</v>
      </c>
      <c r="L518" t="n">
        <v>0</v>
      </c>
      <c r="M518" t="n">
        <v>0</v>
      </c>
      <c r="N518" t="n">
        <v>0</v>
      </c>
      <c r="O518" t="n">
        <v>3</v>
      </c>
      <c r="P518" t="n">
        <v>0</v>
      </c>
      <c r="Q518" t="n">
        <v>4</v>
      </c>
      <c r="R518" s="2" t="inlineStr">
        <is>
          <t>Kolflarnlav
Skrovellav
Vedflamlav
Stuplav</t>
        </is>
      </c>
      <c r="S518">
        <f>HYPERLINK("https://klasma.github.io/Logging_STROMSUND/artfynd/A 20886-2023.xlsx")</f>
        <v/>
      </c>
      <c r="T518">
        <f>HYPERLINK("https://klasma.github.io/Logging_STROMSUND/kartor/A 20886-2023.png")</f>
        <v/>
      </c>
      <c r="V518">
        <f>HYPERLINK("https://klasma.github.io/Logging_STROMSUND/klagomål/A 20886-2023.docx")</f>
        <v/>
      </c>
      <c r="W518">
        <f>HYPERLINK("https://klasma.github.io/Logging_STROMSUND/klagomålsmail/A 20886-2023.docx")</f>
        <v/>
      </c>
      <c r="X518">
        <f>HYPERLINK("https://klasma.github.io/Logging_STROMSUND/tillsyn/A 20886-2023.docx")</f>
        <v/>
      </c>
      <c r="Y518">
        <f>HYPERLINK("https://klasma.github.io/Logging_STROMSUND/tillsynsmail/A 20886-2023.docx")</f>
        <v/>
      </c>
    </row>
    <row r="519" ht="15" customHeight="1">
      <c r="A519" t="inlineStr">
        <is>
          <t>A 23951-2023</t>
        </is>
      </c>
      <c r="B519" s="1" t="n">
        <v>45078</v>
      </c>
      <c r="C519" s="1" t="n">
        <v>45182</v>
      </c>
      <c r="D519" t="inlineStr">
        <is>
          <t>JÄMTLANDS LÄN</t>
        </is>
      </c>
      <c r="E519" t="inlineStr">
        <is>
          <t>BERG</t>
        </is>
      </c>
      <c r="G519" t="n">
        <v>16.4</v>
      </c>
      <c r="H519" t="n">
        <v>1</v>
      </c>
      <c r="I519" t="n">
        <v>1</v>
      </c>
      <c r="J519" t="n">
        <v>2</v>
      </c>
      <c r="K519" t="n">
        <v>1</v>
      </c>
      <c r="L519" t="n">
        <v>0</v>
      </c>
      <c r="M519" t="n">
        <v>0</v>
      </c>
      <c r="N519" t="n">
        <v>0</v>
      </c>
      <c r="O519" t="n">
        <v>3</v>
      </c>
      <c r="P519" t="n">
        <v>1</v>
      </c>
      <c r="Q519" t="n">
        <v>4</v>
      </c>
      <c r="R519" s="2" t="inlineStr">
        <is>
          <t>Doftticka
Kolflarnlav
Lunglav
Stuplav</t>
        </is>
      </c>
      <c r="S519">
        <f>HYPERLINK("https://klasma.github.io/Logging_BERG/artfynd/A 23951-2023.xlsx")</f>
        <v/>
      </c>
      <c r="T519">
        <f>HYPERLINK("https://klasma.github.io/Logging_BERG/kartor/A 23951-2023.png")</f>
        <v/>
      </c>
      <c r="V519">
        <f>HYPERLINK("https://klasma.github.io/Logging_BERG/klagomål/A 23951-2023.docx")</f>
        <v/>
      </c>
      <c r="W519">
        <f>HYPERLINK("https://klasma.github.io/Logging_BERG/klagomålsmail/A 23951-2023.docx")</f>
        <v/>
      </c>
      <c r="X519">
        <f>HYPERLINK("https://klasma.github.io/Logging_BERG/tillsyn/A 23951-2023.docx")</f>
        <v/>
      </c>
      <c r="Y519">
        <f>HYPERLINK("https://klasma.github.io/Logging_BERG/tillsynsmail/A 23951-2023.docx")</f>
        <v/>
      </c>
    </row>
    <row r="520" ht="15" customHeight="1">
      <c r="A520" t="inlineStr">
        <is>
          <t>A 29829-2023</t>
        </is>
      </c>
      <c r="B520" s="1" t="n">
        <v>45107</v>
      </c>
      <c r="C520" s="1" t="n">
        <v>45182</v>
      </c>
      <c r="D520" t="inlineStr">
        <is>
          <t>JÄMTLANDS LÄN</t>
        </is>
      </c>
      <c r="E520" t="inlineStr">
        <is>
          <t>HÄRJEDALEN</t>
        </is>
      </c>
      <c r="G520" t="n">
        <v>29.6</v>
      </c>
      <c r="H520" t="n">
        <v>1</v>
      </c>
      <c r="I520" t="n">
        <v>0</v>
      </c>
      <c r="J520" t="n">
        <v>4</v>
      </c>
      <c r="K520" t="n">
        <v>0</v>
      </c>
      <c r="L520" t="n">
        <v>0</v>
      </c>
      <c r="M520" t="n">
        <v>0</v>
      </c>
      <c r="N520" t="n">
        <v>0</v>
      </c>
      <c r="O520" t="n">
        <v>4</v>
      </c>
      <c r="P520" t="n">
        <v>0</v>
      </c>
      <c r="Q520" t="n">
        <v>4</v>
      </c>
      <c r="R520" s="2" t="inlineStr">
        <is>
          <t>Garnlav
Lunglav
Skrovellav
Tretåig hackspett</t>
        </is>
      </c>
      <c r="S520">
        <f>HYPERLINK("https://klasma.github.io/Logging_HARJEDALEN/artfynd/A 29829-2023.xlsx")</f>
        <v/>
      </c>
      <c r="T520">
        <f>HYPERLINK("https://klasma.github.io/Logging_HARJEDALEN/kartor/A 29829-2023.png")</f>
        <v/>
      </c>
      <c r="V520">
        <f>HYPERLINK("https://klasma.github.io/Logging_HARJEDALEN/klagomål/A 29829-2023.docx")</f>
        <v/>
      </c>
      <c r="W520">
        <f>HYPERLINK("https://klasma.github.io/Logging_HARJEDALEN/klagomålsmail/A 29829-2023.docx")</f>
        <v/>
      </c>
      <c r="X520">
        <f>HYPERLINK("https://klasma.github.io/Logging_HARJEDALEN/tillsyn/A 29829-2023.docx")</f>
        <v/>
      </c>
      <c r="Y520">
        <f>HYPERLINK("https://klasma.github.io/Logging_HARJEDALEN/tillsynsmail/A 29829-2023.docx")</f>
        <v/>
      </c>
    </row>
    <row r="521" ht="15" customHeight="1">
      <c r="A521" t="inlineStr">
        <is>
          <t>A 36208-2023</t>
        </is>
      </c>
      <c r="B521" s="1" t="n">
        <v>45149</v>
      </c>
      <c r="C521" s="1" t="n">
        <v>45182</v>
      </c>
      <c r="D521" t="inlineStr">
        <is>
          <t>JÄMTLANDS LÄN</t>
        </is>
      </c>
      <c r="E521" t="inlineStr">
        <is>
          <t>STRÖMSUND</t>
        </is>
      </c>
      <c r="F521" t="inlineStr">
        <is>
          <t>SCA</t>
        </is>
      </c>
      <c r="G521" t="n">
        <v>1.8</v>
      </c>
      <c r="H521" t="n">
        <v>2</v>
      </c>
      <c r="I521" t="n">
        <v>2</v>
      </c>
      <c r="J521" t="n">
        <v>1</v>
      </c>
      <c r="K521" t="n">
        <v>1</v>
      </c>
      <c r="L521" t="n">
        <v>0</v>
      </c>
      <c r="M521" t="n">
        <v>0</v>
      </c>
      <c r="N521" t="n">
        <v>0</v>
      </c>
      <c r="O521" t="n">
        <v>2</v>
      </c>
      <c r="P521" t="n">
        <v>1</v>
      </c>
      <c r="Q521" t="n">
        <v>4</v>
      </c>
      <c r="R521" s="2" t="inlineStr">
        <is>
          <t>Knärot
Ullticka
Kransrams
Spindelblomster</t>
        </is>
      </c>
      <c r="S521">
        <f>HYPERLINK("https://klasma.github.io/Logging_STROMSUND/artfynd/A 36208-2023.xlsx")</f>
        <v/>
      </c>
      <c r="T521">
        <f>HYPERLINK("https://klasma.github.io/Logging_STROMSUND/kartor/A 36208-2023.png")</f>
        <v/>
      </c>
      <c r="U521">
        <f>HYPERLINK("https://klasma.github.io/Logging_STROMSUND/knärot/A 36208-2023.png")</f>
        <v/>
      </c>
      <c r="V521">
        <f>HYPERLINK("https://klasma.github.io/Logging_STROMSUND/klagomål/A 36208-2023.docx")</f>
        <v/>
      </c>
      <c r="W521">
        <f>HYPERLINK("https://klasma.github.io/Logging_STROMSUND/klagomålsmail/A 36208-2023.docx")</f>
        <v/>
      </c>
      <c r="X521">
        <f>HYPERLINK("https://klasma.github.io/Logging_STROMSUND/tillsyn/A 36208-2023.docx")</f>
        <v/>
      </c>
      <c r="Y521">
        <f>HYPERLINK("https://klasma.github.io/Logging_STROMSUND/tillsynsmail/A 36208-2023.docx")</f>
        <v/>
      </c>
    </row>
    <row r="522" ht="15" customHeight="1">
      <c r="A522" t="inlineStr">
        <is>
          <t>A 40400-2023</t>
        </is>
      </c>
      <c r="B522" s="1" t="n">
        <v>45169</v>
      </c>
      <c r="C522" s="1" t="n">
        <v>45182</v>
      </c>
      <c r="D522" t="inlineStr">
        <is>
          <t>JÄMTLANDS LÄN</t>
        </is>
      </c>
      <c r="E522" t="inlineStr">
        <is>
          <t>BRÄCKE</t>
        </is>
      </c>
      <c r="F522" t="inlineStr">
        <is>
          <t>SCA</t>
        </is>
      </c>
      <c r="G522" t="n">
        <v>4.5</v>
      </c>
      <c r="H522" t="n">
        <v>0</v>
      </c>
      <c r="I522" t="n">
        <v>0</v>
      </c>
      <c r="J522" t="n">
        <v>2</v>
      </c>
      <c r="K522" t="n">
        <v>2</v>
      </c>
      <c r="L522" t="n">
        <v>0</v>
      </c>
      <c r="M522" t="n">
        <v>0</v>
      </c>
      <c r="N522" t="n">
        <v>0</v>
      </c>
      <c r="O522" t="n">
        <v>4</v>
      </c>
      <c r="P522" t="n">
        <v>2</v>
      </c>
      <c r="Q522" t="n">
        <v>4</v>
      </c>
      <c r="R522" s="2" t="inlineStr">
        <is>
          <t>Gräddporing
Ulltickeporing
Kolflarnlav
Ullticka</t>
        </is>
      </c>
      <c r="S522">
        <f>HYPERLINK("https://klasma.github.io/Logging_BRACKE/artfynd/A 40400-2023.xlsx")</f>
        <v/>
      </c>
      <c r="T522">
        <f>HYPERLINK("https://klasma.github.io/Logging_BRACKE/kartor/A 40400-2023.png")</f>
        <v/>
      </c>
      <c r="V522">
        <f>HYPERLINK("https://klasma.github.io/Logging_BRACKE/klagomål/A 40400-2023.docx")</f>
        <v/>
      </c>
      <c r="W522">
        <f>HYPERLINK("https://klasma.github.io/Logging_BRACKE/klagomålsmail/A 40400-2023.docx")</f>
        <v/>
      </c>
      <c r="X522">
        <f>HYPERLINK("https://klasma.github.io/Logging_BRACKE/tillsyn/A 40400-2023.docx")</f>
        <v/>
      </c>
      <c r="Y522">
        <f>HYPERLINK("https://klasma.github.io/Logging_BRACKE/tillsynsmail/A 40400-2023.docx")</f>
        <v/>
      </c>
    </row>
    <row r="523" ht="15" customHeight="1">
      <c r="A523" t="inlineStr">
        <is>
          <t>A 56744-2018</t>
        </is>
      </c>
      <c r="B523" s="1" t="n">
        <v>43402</v>
      </c>
      <c r="C523" s="1" t="n">
        <v>45182</v>
      </c>
      <c r="D523" t="inlineStr">
        <is>
          <t>JÄMTLANDS LÄN</t>
        </is>
      </c>
      <c r="E523" t="inlineStr">
        <is>
          <t>KROKOM</t>
        </is>
      </c>
      <c r="G523" t="n">
        <v>5.9</v>
      </c>
      <c r="H523" t="n">
        <v>1</v>
      </c>
      <c r="I523" t="n">
        <v>1</v>
      </c>
      <c r="J523" t="n">
        <v>1</v>
      </c>
      <c r="K523" t="n">
        <v>0</v>
      </c>
      <c r="L523" t="n">
        <v>0</v>
      </c>
      <c r="M523" t="n">
        <v>0</v>
      </c>
      <c r="N523" t="n">
        <v>0</v>
      </c>
      <c r="O523" t="n">
        <v>1</v>
      </c>
      <c r="P523" t="n">
        <v>0</v>
      </c>
      <c r="Q523" t="n">
        <v>3</v>
      </c>
      <c r="R523" s="2" t="inlineStr">
        <is>
          <t>Garnlav
Luddlav
Revlummer</t>
        </is>
      </c>
      <c r="S523">
        <f>HYPERLINK("https://klasma.github.io/Logging_KROKOM/artfynd/A 56744-2018.xlsx")</f>
        <v/>
      </c>
      <c r="T523">
        <f>HYPERLINK("https://klasma.github.io/Logging_KROKOM/kartor/A 56744-2018.png")</f>
        <v/>
      </c>
      <c r="V523">
        <f>HYPERLINK("https://klasma.github.io/Logging_KROKOM/klagomål/A 56744-2018.docx")</f>
        <v/>
      </c>
      <c r="W523">
        <f>HYPERLINK("https://klasma.github.io/Logging_KROKOM/klagomålsmail/A 56744-2018.docx")</f>
        <v/>
      </c>
      <c r="X523">
        <f>HYPERLINK("https://klasma.github.io/Logging_KROKOM/tillsyn/A 56744-2018.docx")</f>
        <v/>
      </c>
      <c r="Y523">
        <f>HYPERLINK("https://klasma.github.io/Logging_KROKOM/tillsynsmail/A 56744-2018.docx")</f>
        <v/>
      </c>
    </row>
    <row r="524" ht="15" customHeight="1">
      <c r="A524" t="inlineStr">
        <is>
          <t>A 71012-2018</t>
        </is>
      </c>
      <c r="B524" s="1" t="n">
        <v>43452</v>
      </c>
      <c r="C524" s="1" t="n">
        <v>45182</v>
      </c>
      <c r="D524" t="inlineStr">
        <is>
          <t>JÄMTLANDS LÄN</t>
        </is>
      </c>
      <c r="E524" t="inlineStr">
        <is>
          <t>STRÖMSUND</t>
        </is>
      </c>
      <c r="F524" t="inlineStr">
        <is>
          <t>Holmen skog AB</t>
        </is>
      </c>
      <c r="G524" t="n">
        <v>20.3</v>
      </c>
      <c r="H524" t="n">
        <v>0</v>
      </c>
      <c r="I524" t="n">
        <v>1</v>
      </c>
      <c r="J524" t="n">
        <v>2</v>
      </c>
      <c r="K524" t="n">
        <v>0</v>
      </c>
      <c r="L524" t="n">
        <v>0</v>
      </c>
      <c r="M524" t="n">
        <v>0</v>
      </c>
      <c r="N524" t="n">
        <v>0</v>
      </c>
      <c r="O524" t="n">
        <v>2</v>
      </c>
      <c r="P524" t="n">
        <v>0</v>
      </c>
      <c r="Q524" t="n">
        <v>3</v>
      </c>
      <c r="R524" s="2" t="inlineStr">
        <is>
          <t>Lunglav
Skrovellav
Stuplav</t>
        </is>
      </c>
      <c r="S524">
        <f>HYPERLINK("https://klasma.github.io/Logging_STROMSUND/artfynd/A 71012-2018.xlsx")</f>
        <v/>
      </c>
      <c r="T524">
        <f>HYPERLINK("https://klasma.github.io/Logging_STROMSUND/kartor/A 71012-2018.png")</f>
        <v/>
      </c>
      <c r="V524">
        <f>HYPERLINK("https://klasma.github.io/Logging_STROMSUND/klagomål/A 71012-2018.docx")</f>
        <v/>
      </c>
      <c r="W524">
        <f>HYPERLINK("https://klasma.github.io/Logging_STROMSUND/klagomålsmail/A 71012-2018.docx")</f>
        <v/>
      </c>
      <c r="X524">
        <f>HYPERLINK("https://klasma.github.io/Logging_STROMSUND/tillsyn/A 71012-2018.docx")</f>
        <v/>
      </c>
      <c r="Y524">
        <f>HYPERLINK("https://klasma.github.io/Logging_STROMSUND/tillsynsmail/A 71012-2018.docx")</f>
        <v/>
      </c>
    </row>
    <row r="525" ht="15" customHeight="1">
      <c r="A525" t="inlineStr">
        <is>
          <t>A 5935-2019</t>
        </is>
      </c>
      <c r="B525" s="1" t="n">
        <v>43490</v>
      </c>
      <c r="C525" s="1" t="n">
        <v>45182</v>
      </c>
      <c r="D525" t="inlineStr">
        <is>
          <t>JÄMTLANDS LÄN</t>
        </is>
      </c>
      <c r="E525" t="inlineStr">
        <is>
          <t>KROKOM</t>
        </is>
      </c>
      <c r="G525" t="n">
        <v>7</v>
      </c>
      <c r="H525" t="n">
        <v>1</v>
      </c>
      <c r="I525" t="n">
        <v>1</v>
      </c>
      <c r="J525" t="n">
        <v>2</v>
      </c>
      <c r="K525" t="n">
        <v>0</v>
      </c>
      <c r="L525" t="n">
        <v>0</v>
      </c>
      <c r="M525" t="n">
        <v>0</v>
      </c>
      <c r="N525" t="n">
        <v>0</v>
      </c>
      <c r="O525" t="n">
        <v>2</v>
      </c>
      <c r="P525" t="n">
        <v>0</v>
      </c>
      <c r="Q525" t="n">
        <v>3</v>
      </c>
      <c r="R525" s="2" t="inlineStr">
        <is>
          <t>Garnlav
Ullticka
Guckusko</t>
        </is>
      </c>
      <c r="S525">
        <f>HYPERLINK("https://klasma.github.io/Logging_KROKOM/artfynd/A 5935-2019.xlsx")</f>
        <v/>
      </c>
      <c r="T525">
        <f>HYPERLINK("https://klasma.github.io/Logging_KROKOM/kartor/A 5935-2019.png")</f>
        <v/>
      </c>
      <c r="V525">
        <f>HYPERLINK("https://klasma.github.io/Logging_KROKOM/klagomål/A 5935-2019.docx")</f>
        <v/>
      </c>
      <c r="W525">
        <f>HYPERLINK("https://klasma.github.io/Logging_KROKOM/klagomålsmail/A 5935-2019.docx")</f>
        <v/>
      </c>
      <c r="X525">
        <f>HYPERLINK("https://klasma.github.io/Logging_KROKOM/tillsyn/A 5935-2019.docx")</f>
        <v/>
      </c>
      <c r="Y525">
        <f>HYPERLINK("https://klasma.github.io/Logging_KROKOM/tillsynsmail/A 5935-2019.docx")</f>
        <v/>
      </c>
    </row>
    <row r="526" ht="15" customHeight="1">
      <c r="A526" t="inlineStr">
        <is>
          <t>A 8268-2019</t>
        </is>
      </c>
      <c r="B526" s="1" t="n">
        <v>43501</v>
      </c>
      <c r="C526" s="1" t="n">
        <v>45182</v>
      </c>
      <c r="D526" t="inlineStr">
        <is>
          <t>JÄMTLANDS LÄN</t>
        </is>
      </c>
      <c r="E526" t="inlineStr">
        <is>
          <t>STRÖMSUND</t>
        </is>
      </c>
      <c r="G526" t="n">
        <v>6.9</v>
      </c>
      <c r="H526" t="n">
        <v>0</v>
      </c>
      <c r="I526" t="n">
        <v>0</v>
      </c>
      <c r="J526" t="n">
        <v>3</v>
      </c>
      <c r="K526" t="n">
        <v>0</v>
      </c>
      <c r="L526" t="n">
        <v>0</v>
      </c>
      <c r="M526" t="n">
        <v>0</v>
      </c>
      <c r="N526" t="n">
        <v>0</v>
      </c>
      <c r="O526" t="n">
        <v>3</v>
      </c>
      <c r="P526" t="n">
        <v>0</v>
      </c>
      <c r="Q526" t="n">
        <v>3</v>
      </c>
      <c r="R526" s="2" t="inlineStr">
        <is>
          <t>Garnlav
Lunglav
Skrovellav</t>
        </is>
      </c>
      <c r="S526">
        <f>HYPERLINK("https://klasma.github.io/Logging_STROMSUND/artfynd/A 8268-2019.xlsx")</f>
        <v/>
      </c>
      <c r="T526">
        <f>HYPERLINK("https://klasma.github.io/Logging_STROMSUND/kartor/A 8268-2019.png")</f>
        <v/>
      </c>
      <c r="V526">
        <f>HYPERLINK("https://klasma.github.io/Logging_STROMSUND/klagomål/A 8268-2019.docx")</f>
        <v/>
      </c>
      <c r="W526">
        <f>HYPERLINK("https://klasma.github.io/Logging_STROMSUND/klagomålsmail/A 8268-2019.docx")</f>
        <v/>
      </c>
      <c r="X526">
        <f>HYPERLINK("https://klasma.github.io/Logging_STROMSUND/tillsyn/A 8268-2019.docx")</f>
        <v/>
      </c>
      <c r="Y526">
        <f>HYPERLINK("https://klasma.github.io/Logging_STROMSUND/tillsynsmail/A 8268-2019.docx")</f>
        <v/>
      </c>
    </row>
    <row r="527" ht="15" customHeight="1">
      <c r="A527" t="inlineStr">
        <is>
          <t>A 12806-2019</t>
        </is>
      </c>
      <c r="B527" s="1" t="n">
        <v>43525</v>
      </c>
      <c r="C527" s="1" t="n">
        <v>45182</v>
      </c>
      <c r="D527" t="inlineStr">
        <is>
          <t>JÄMTLANDS LÄN</t>
        </is>
      </c>
      <c r="E527" t="inlineStr">
        <is>
          <t>HÄRJEDALEN</t>
        </is>
      </c>
      <c r="G527" t="n">
        <v>18.8</v>
      </c>
      <c r="H527" t="n">
        <v>0</v>
      </c>
      <c r="I527" t="n">
        <v>1</v>
      </c>
      <c r="J527" t="n">
        <v>2</v>
      </c>
      <c r="K527" t="n">
        <v>0</v>
      </c>
      <c r="L527" t="n">
        <v>0</v>
      </c>
      <c r="M527" t="n">
        <v>0</v>
      </c>
      <c r="N527" t="n">
        <v>0</v>
      </c>
      <c r="O527" t="n">
        <v>2</v>
      </c>
      <c r="P527" t="n">
        <v>0</v>
      </c>
      <c r="Q527" t="n">
        <v>3</v>
      </c>
      <c r="R527" s="2" t="inlineStr">
        <is>
          <t>Dvärgbägarlav
Skrovellav
Stuplav</t>
        </is>
      </c>
      <c r="S527">
        <f>HYPERLINK("https://klasma.github.io/Logging_HARJEDALEN/artfynd/A 12806-2019.xlsx")</f>
        <v/>
      </c>
      <c r="T527">
        <f>HYPERLINK("https://klasma.github.io/Logging_HARJEDALEN/kartor/A 12806-2019.png")</f>
        <v/>
      </c>
      <c r="V527">
        <f>HYPERLINK("https://klasma.github.io/Logging_HARJEDALEN/klagomål/A 12806-2019.docx")</f>
        <v/>
      </c>
      <c r="W527">
        <f>HYPERLINK("https://klasma.github.io/Logging_HARJEDALEN/klagomålsmail/A 12806-2019.docx")</f>
        <v/>
      </c>
      <c r="X527">
        <f>HYPERLINK("https://klasma.github.io/Logging_HARJEDALEN/tillsyn/A 12806-2019.docx")</f>
        <v/>
      </c>
      <c r="Y527">
        <f>HYPERLINK("https://klasma.github.io/Logging_HARJEDALEN/tillsynsmail/A 12806-2019.docx")</f>
        <v/>
      </c>
    </row>
    <row r="528" ht="15" customHeight="1">
      <c r="A528" t="inlineStr">
        <is>
          <t>A 23410-2019</t>
        </is>
      </c>
      <c r="B528" s="1" t="n">
        <v>43592</v>
      </c>
      <c r="C528" s="1" t="n">
        <v>45182</v>
      </c>
      <c r="D528" t="inlineStr">
        <is>
          <t>JÄMTLANDS LÄN</t>
        </is>
      </c>
      <c r="E528" t="inlineStr">
        <is>
          <t>ÖSTERSUND</t>
        </is>
      </c>
      <c r="G528" t="n">
        <v>10.6</v>
      </c>
      <c r="H528" t="n">
        <v>3</v>
      </c>
      <c r="I528" t="n">
        <v>2</v>
      </c>
      <c r="J528" t="n">
        <v>0</v>
      </c>
      <c r="K528" t="n">
        <v>0</v>
      </c>
      <c r="L528" t="n">
        <v>0</v>
      </c>
      <c r="M528" t="n">
        <v>0</v>
      </c>
      <c r="N528" t="n">
        <v>0</v>
      </c>
      <c r="O528" t="n">
        <v>0</v>
      </c>
      <c r="P528" t="n">
        <v>0</v>
      </c>
      <c r="Q528" t="n">
        <v>3</v>
      </c>
      <c r="R528" s="2" t="inlineStr">
        <is>
          <t>Guckusko
Tvåblad
Fläcknycklar</t>
        </is>
      </c>
      <c r="S528">
        <f>HYPERLINK("https://klasma.github.io/Logging_OSTERSUND/artfynd/A 23410-2019.xlsx")</f>
        <v/>
      </c>
      <c r="T528">
        <f>HYPERLINK("https://klasma.github.io/Logging_OSTERSUND/kartor/A 23410-2019.png")</f>
        <v/>
      </c>
      <c r="V528">
        <f>HYPERLINK("https://klasma.github.io/Logging_OSTERSUND/klagomål/A 23410-2019.docx")</f>
        <v/>
      </c>
      <c r="W528">
        <f>HYPERLINK("https://klasma.github.io/Logging_OSTERSUND/klagomålsmail/A 23410-2019.docx")</f>
        <v/>
      </c>
      <c r="X528">
        <f>HYPERLINK("https://klasma.github.io/Logging_OSTERSUND/tillsyn/A 23410-2019.docx")</f>
        <v/>
      </c>
      <c r="Y528">
        <f>HYPERLINK("https://klasma.github.io/Logging_OSTERSUND/tillsynsmail/A 23410-2019.docx")</f>
        <v/>
      </c>
    </row>
    <row r="529" ht="15" customHeight="1">
      <c r="A529" t="inlineStr">
        <is>
          <t>A 26741-2019</t>
        </is>
      </c>
      <c r="B529" s="1" t="n">
        <v>43607</v>
      </c>
      <c r="C529" s="1" t="n">
        <v>45182</v>
      </c>
      <c r="D529" t="inlineStr">
        <is>
          <t>JÄMTLANDS LÄN</t>
        </is>
      </c>
      <c r="E529" t="inlineStr">
        <is>
          <t>ÖSTERSUND</t>
        </is>
      </c>
      <c r="F529" t="inlineStr">
        <is>
          <t>Övriga statliga verk och myndigheter</t>
        </is>
      </c>
      <c r="G529" t="n">
        <v>4.5</v>
      </c>
      <c r="H529" t="n">
        <v>0</v>
      </c>
      <c r="I529" t="n">
        <v>1</v>
      </c>
      <c r="J529" t="n">
        <v>1</v>
      </c>
      <c r="K529" t="n">
        <v>0</v>
      </c>
      <c r="L529" t="n">
        <v>1</v>
      </c>
      <c r="M529" t="n">
        <v>0</v>
      </c>
      <c r="N529" t="n">
        <v>0</v>
      </c>
      <c r="O529" t="n">
        <v>2</v>
      </c>
      <c r="P529" t="n">
        <v>1</v>
      </c>
      <c r="Q529" t="n">
        <v>3</v>
      </c>
      <c r="R529" s="2" t="inlineStr">
        <is>
          <t>Trolldruvemätare
Lunglav
Svart trolldruva</t>
        </is>
      </c>
      <c r="S529">
        <f>HYPERLINK("https://klasma.github.io/Logging_OSTERSUND/artfynd/A 26741-2019.xlsx")</f>
        <v/>
      </c>
      <c r="T529">
        <f>HYPERLINK("https://klasma.github.io/Logging_OSTERSUND/kartor/A 26741-2019.png")</f>
        <v/>
      </c>
      <c r="V529">
        <f>HYPERLINK("https://klasma.github.io/Logging_OSTERSUND/klagomål/A 26741-2019.docx")</f>
        <v/>
      </c>
      <c r="W529">
        <f>HYPERLINK("https://klasma.github.io/Logging_OSTERSUND/klagomålsmail/A 26741-2019.docx")</f>
        <v/>
      </c>
      <c r="X529">
        <f>HYPERLINK("https://klasma.github.io/Logging_OSTERSUND/tillsyn/A 26741-2019.docx")</f>
        <v/>
      </c>
      <c r="Y529">
        <f>HYPERLINK("https://klasma.github.io/Logging_OSTERSUND/tillsynsmail/A 26741-2019.docx")</f>
        <v/>
      </c>
    </row>
    <row r="530" ht="15" customHeight="1">
      <c r="A530" t="inlineStr">
        <is>
          <t>A 30381-2019</t>
        </is>
      </c>
      <c r="B530" s="1" t="n">
        <v>43634</v>
      </c>
      <c r="C530" s="1" t="n">
        <v>45182</v>
      </c>
      <c r="D530" t="inlineStr">
        <is>
          <t>JÄMTLANDS LÄN</t>
        </is>
      </c>
      <c r="E530" t="inlineStr">
        <is>
          <t>STRÖMSUND</t>
        </is>
      </c>
      <c r="F530" t="inlineStr">
        <is>
          <t>SCA</t>
        </is>
      </c>
      <c r="G530" t="n">
        <v>1.5</v>
      </c>
      <c r="H530" t="n">
        <v>1</v>
      </c>
      <c r="I530" t="n">
        <v>0</v>
      </c>
      <c r="J530" t="n">
        <v>2</v>
      </c>
      <c r="K530" t="n">
        <v>1</v>
      </c>
      <c r="L530" t="n">
        <v>0</v>
      </c>
      <c r="M530" t="n">
        <v>0</v>
      </c>
      <c r="N530" t="n">
        <v>0</v>
      </c>
      <c r="O530" t="n">
        <v>3</v>
      </c>
      <c r="P530" t="n">
        <v>1</v>
      </c>
      <c r="Q530" t="n">
        <v>3</v>
      </c>
      <c r="R530" s="2" t="inlineStr">
        <is>
          <t>Knärot
Granticka
Harticka</t>
        </is>
      </c>
      <c r="S530">
        <f>HYPERLINK("https://klasma.github.io/Logging_STROMSUND/artfynd/A 30381-2019.xlsx")</f>
        <v/>
      </c>
      <c r="T530">
        <f>HYPERLINK("https://klasma.github.io/Logging_STROMSUND/kartor/A 30381-2019.png")</f>
        <v/>
      </c>
      <c r="U530">
        <f>HYPERLINK("https://klasma.github.io/Logging_STROMSUND/knärot/A 30381-2019.png")</f>
        <v/>
      </c>
      <c r="V530">
        <f>HYPERLINK("https://klasma.github.io/Logging_STROMSUND/klagomål/A 30381-2019.docx")</f>
        <v/>
      </c>
      <c r="W530">
        <f>HYPERLINK("https://klasma.github.io/Logging_STROMSUND/klagomålsmail/A 30381-2019.docx")</f>
        <v/>
      </c>
      <c r="X530">
        <f>HYPERLINK("https://klasma.github.io/Logging_STROMSUND/tillsyn/A 30381-2019.docx")</f>
        <v/>
      </c>
      <c r="Y530">
        <f>HYPERLINK("https://klasma.github.io/Logging_STROMSUND/tillsynsmail/A 30381-2019.docx")</f>
        <v/>
      </c>
    </row>
    <row r="531" ht="15" customHeight="1">
      <c r="A531" t="inlineStr">
        <is>
          <t>A 33687-2019</t>
        </is>
      </c>
      <c r="B531" s="1" t="n">
        <v>43651</v>
      </c>
      <c r="C531" s="1" t="n">
        <v>45182</v>
      </c>
      <c r="D531" t="inlineStr">
        <is>
          <t>JÄMTLANDS LÄN</t>
        </is>
      </c>
      <c r="E531" t="inlineStr">
        <is>
          <t>STRÖMSUND</t>
        </is>
      </c>
      <c r="F531" t="inlineStr">
        <is>
          <t>Holmen skog AB</t>
        </is>
      </c>
      <c r="G531" t="n">
        <v>14.1</v>
      </c>
      <c r="H531" t="n">
        <v>0</v>
      </c>
      <c r="I531" t="n">
        <v>1</v>
      </c>
      <c r="J531" t="n">
        <v>2</v>
      </c>
      <c r="K531" t="n">
        <v>0</v>
      </c>
      <c r="L531" t="n">
        <v>0</v>
      </c>
      <c r="M531" t="n">
        <v>0</v>
      </c>
      <c r="N531" t="n">
        <v>0</v>
      </c>
      <c r="O531" t="n">
        <v>2</v>
      </c>
      <c r="P531" t="n">
        <v>0</v>
      </c>
      <c r="Q531" t="n">
        <v>3</v>
      </c>
      <c r="R531" s="2" t="inlineStr">
        <is>
          <t>Granticka
Harticka
Stuplav</t>
        </is>
      </c>
      <c r="S531">
        <f>HYPERLINK("https://klasma.github.io/Logging_STROMSUND/artfynd/A 33687-2019.xlsx")</f>
        <v/>
      </c>
      <c r="T531">
        <f>HYPERLINK("https://klasma.github.io/Logging_STROMSUND/kartor/A 33687-2019.png")</f>
        <v/>
      </c>
      <c r="V531">
        <f>HYPERLINK("https://klasma.github.io/Logging_STROMSUND/klagomål/A 33687-2019.docx")</f>
        <v/>
      </c>
      <c r="W531">
        <f>HYPERLINK("https://klasma.github.io/Logging_STROMSUND/klagomålsmail/A 33687-2019.docx")</f>
        <v/>
      </c>
      <c r="X531">
        <f>HYPERLINK("https://klasma.github.io/Logging_STROMSUND/tillsyn/A 33687-2019.docx")</f>
        <v/>
      </c>
      <c r="Y531">
        <f>HYPERLINK("https://klasma.github.io/Logging_STROMSUND/tillsynsmail/A 33687-2019.docx")</f>
        <v/>
      </c>
    </row>
    <row r="532" ht="15" customHeight="1">
      <c r="A532" t="inlineStr">
        <is>
          <t>A 35719-2019</t>
        </is>
      </c>
      <c r="B532" s="1" t="n">
        <v>43664</v>
      </c>
      <c r="C532" s="1" t="n">
        <v>45182</v>
      </c>
      <c r="D532" t="inlineStr">
        <is>
          <t>JÄMTLANDS LÄN</t>
        </is>
      </c>
      <c r="E532" t="inlineStr">
        <is>
          <t>HÄRJEDALEN</t>
        </is>
      </c>
      <c r="F532" t="inlineStr">
        <is>
          <t>SCA</t>
        </is>
      </c>
      <c r="G532" t="n">
        <v>17.7</v>
      </c>
      <c r="H532" t="n">
        <v>0</v>
      </c>
      <c r="I532" t="n">
        <v>1</v>
      </c>
      <c r="J532" t="n">
        <v>2</v>
      </c>
      <c r="K532" t="n">
        <v>0</v>
      </c>
      <c r="L532" t="n">
        <v>0</v>
      </c>
      <c r="M532" t="n">
        <v>0</v>
      </c>
      <c r="N532" t="n">
        <v>0</v>
      </c>
      <c r="O532" t="n">
        <v>2</v>
      </c>
      <c r="P532" t="n">
        <v>0</v>
      </c>
      <c r="Q532" t="n">
        <v>3</v>
      </c>
      <c r="R532" s="2" t="inlineStr">
        <is>
          <t>Kolflarnlav
Tallticka
Dropptaggsvamp</t>
        </is>
      </c>
      <c r="S532">
        <f>HYPERLINK("https://klasma.github.io/Logging_HARJEDALEN/artfynd/A 35719-2019.xlsx")</f>
        <v/>
      </c>
      <c r="T532">
        <f>HYPERLINK("https://klasma.github.io/Logging_HARJEDALEN/kartor/A 35719-2019.png")</f>
        <v/>
      </c>
      <c r="V532">
        <f>HYPERLINK("https://klasma.github.io/Logging_HARJEDALEN/klagomål/A 35719-2019.docx")</f>
        <v/>
      </c>
      <c r="W532">
        <f>HYPERLINK("https://klasma.github.io/Logging_HARJEDALEN/klagomålsmail/A 35719-2019.docx")</f>
        <v/>
      </c>
      <c r="X532">
        <f>HYPERLINK("https://klasma.github.io/Logging_HARJEDALEN/tillsyn/A 35719-2019.docx")</f>
        <v/>
      </c>
      <c r="Y532">
        <f>HYPERLINK("https://klasma.github.io/Logging_HARJEDALEN/tillsynsmail/A 35719-2019.docx")</f>
        <v/>
      </c>
    </row>
    <row r="533" ht="15" customHeight="1">
      <c r="A533" t="inlineStr">
        <is>
          <t>A 35778-2019</t>
        </is>
      </c>
      <c r="B533" s="1" t="n">
        <v>43665</v>
      </c>
      <c r="C533" s="1" t="n">
        <v>45182</v>
      </c>
      <c r="D533" t="inlineStr">
        <is>
          <t>JÄMTLANDS LÄN</t>
        </is>
      </c>
      <c r="E533" t="inlineStr">
        <is>
          <t>STRÖMSUND</t>
        </is>
      </c>
      <c r="G533" t="n">
        <v>33.5</v>
      </c>
      <c r="H533" t="n">
        <v>1</v>
      </c>
      <c r="I533" t="n">
        <v>0</v>
      </c>
      <c r="J533" t="n">
        <v>2</v>
      </c>
      <c r="K533" t="n">
        <v>0</v>
      </c>
      <c r="L533" t="n">
        <v>0</v>
      </c>
      <c r="M533" t="n">
        <v>0</v>
      </c>
      <c r="N533" t="n">
        <v>0</v>
      </c>
      <c r="O533" t="n">
        <v>2</v>
      </c>
      <c r="P533" t="n">
        <v>0</v>
      </c>
      <c r="Q533" t="n">
        <v>3</v>
      </c>
      <c r="R533" s="2" t="inlineStr">
        <is>
          <t>Garnlav
Granticka
Revlummer</t>
        </is>
      </c>
      <c r="S533">
        <f>HYPERLINK("https://klasma.github.io/Logging_STROMSUND/artfynd/A 35778-2019.xlsx")</f>
        <v/>
      </c>
      <c r="T533">
        <f>HYPERLINK("https://klasma.github.io/Logging_STROMSUND/kartor/A 35778-2019.png")</f>
        <v/>
      </c>
      <c r="V533">
        <f>HYPERLINK("https://klasma.github.io/Logging_STROMSUND/klagomål/A 35778-2019.docx")</f>
        <v/>
      </c>
      <c r="W533">
        <f>HYPERLINK("https://klasma.github.io/Logging_STROMSUND/klagomålsmail/A 35778-2019.docx")</f>
        <v/>
      </c>
      <c r="X533">
        <f>HYPERLINK("https://klasma.github.io/Logging_STROMSUND/tillsyn/A 35778-2019.docx")</f>
        <v/>
      </c>
      <c r="Y533">
        <f>HYPERLINK("https://klasma.github.io/Logging_STROMSUND/tillsynsmail/A 35778-2019.docx")</f>
        <v/>
      </c>
    </row>
    <row r="534" ht="15" customHeight="1">
      <c r="A534" t="inlineStr">
        <is>
          <t>A 36815-2019</t>
        </is>
      </c>
      <c r="B534" s="1" t="n">
        <v>43672</v>
      </c>
      <c r="C534" s="1" t="n">
        <v>45182</v>
      </c>
      <c r="D534" t="inlineStr">
        <is>
          <t>JÄMTLANDS LÄN</t>
        </is>
      </c>
      <c r="E534" t="inlineStr">
        <is>
          <t>ÖSTERSUND</t>
        </is>
      </c>
      <c r="F534" t="inlineStr">
        <is>
          <t>SCA</t>
        </is>
      </c>
      <c r="G534" t="n">
        <v>7.4</v>
      </c>
      <c r="H534" t="n">
        <v>1</v>
      </c>
      <c r="I534" t="n">
        <v>0</v>
      </c>
      <c r="J534" t="n">
        <v>2</v>
      </c>
      <c r="K534" t="n">
        <v>0</v>
      </c>
      <c r="L534" t="n">
        <v>0</v>
      </c>
      <c r="M534" t="n">
        <v>0</v>
      </c>
      <c r="N534" t="n">
        <v>0</v>
      </c>
      <c r="O534" t="n">
        <v>2</v>
      </c>
      <c r="P534" t="n">
        <v>0</v>
      </c>
      <c r="Q534" t="n">
        <v>3</v>
      </c>
      <c r="R534" s="2" t="inlineStr">
        <is>
          <t>Lunglav
Skrovellav
Blåsippa</t>
        </is>
      </c>
      <c r="S534">
        <f>HYPERLINK("https://klasma.github.io/Logging_OSTERSUND/artfynd/A 36815-2019.xlsx")</f>
        <v/>
      </c>
      <c r="T534">
        <f>HYPERLINK("https://klasma.github.io/Logging_OSTERSUND/kartor/A 36815-2019.png")</f>
        <v/>
      </c>
      <c r="V534">
        <f>HYPERLINK("https://klasma.github.io/Logging_OSTERSUND/klagomål/A 36815-2019.docx")</f>
        <v/>
      </c>
      <c r="W534">
        <f>HYPERLINK("https://klasma.github.io/Logging_OSTERSUND/klagomålsmail/A 36815-2019.docx")</f>
        <v/>
      </c>
      <c r="X534">
        <f>HYPERLINK("https://klasma.github.io/Logging_OSTERSUND/tillsyn/A 36815-2019.docx")</f>
        <v/>
      </c>
      <c r="Y534">
        <f>HYPERLINK("https://klasma.github.io/Logging_OSTERSUND/tillsynsmail/A 36815-2019.docx")</f>
        <v/>
      </c>
    </row>
    <row r="535" ht="15" customHeight="1">
      <c r="A535" t="inlineStr">
        <is>
          <t>A 39265-2019</t>
        </is>
      </c>
      <c r="B535" s="1" t="n">
        <v>43690</v>
      </c>
      <c r="C535" s="1" t="n">
        <v>45182</v>
      </c>
      <c r="D535" t="inlineStr">
        <is>
          <t>JÄMTLANDS LÄN</t>
        </is>
      </c>
      <c r="E535" t="inlineStr">
        <is>
          <t>STRÖMSUND</t>
        </is>
      </c>
      <c r="F535" t="inlineStr">
        <is>
          <t>Holmen skog AB</t>
        </is>
      </c>
      <c r="G535" t="n">
        <v>16.9</v>
      </c>
      <c r="H535" t="n">
        <v>0</v>
      </c>
      <c r="I535" t="n">
        <v>1</v>
      </c>
      <c r="J535" t="n">
        <v>2</v>
      </c>
      <c r="K535" t="n">
        <v>0</v>
      </c>
      <c r="L535" t="n">
        <v>0</v>
      </c>
      <c r="M535" t="n">
        <v>0</v>
      </c>
      <c r="N535" t="n">
        <v>0</v>
      </c>
      <c r="O535" t="n">
        <v>2</v>
      </c>
      <c r="P535" t="n">
        <v>0</v>
      </c>
      <c r="Q535" t="n">
        <v>3</v>
      </c>
      <c r="R535" s="2" t="inlineStr">
        <is>
          <t>Gränsticka
Ullticka
Stuplav</t>
        </is>
      </c>
      <c r="S535">
        <f>HYPERLINK("https://klasma.github.io/Logging_STROMSUND/artfynd/A 39265-2019.xlsx")</f>
        <v/>
      </c>
      <c r="T535">
        <f>HYPERLINK("https://klasma.github.io/Logging_STROMSUND/kartor/A 39265-2019.png")</f>
        <v/>
      </c>
      <c r="V535">
        <f>HYPERLINK("https://klasma.github.io/Logging_STROMSUND/klagomål/A 39265-2019.docx")</f>
        <v/>
      </c>
      <c r="W535">
        <f>HYPERLINK("https://klasma.github.io/Logging_STROMSUND/klagomålsmail/A 39265-2019.docx")</f>
        <v/>
      </c>
      <c r="X535">
        <f>HYPERLINK("https://klasma.github.io/Logging_STROMSUND/tillsyn/A 39265-2019.docx")</f>
        <v/>
      </c>
      <c r="Y535">
        <f>HYPERLINK("https://klasma.github.io/Logging_STROMSUND/tillsynsmail/A 39265-2019.docx")</f>
        <v/>
      </c>
    </row>
    <row r="536" ht="15" customHeight="1">
      <c r="A536" t="inlineStr">
        <is>
          <t>A 42078-2019</t>
        </is>
      </c>
      <c r="B536" s="1" t="n">
        <v>43700</v>
      </c>
      <c r="C536" s="1" t="n">
        <v>45182</v>
      </c>
      <c r="D536" t="inlineStr">
        <is>
          <t>JÄMTLANDS LÄN</t>
        </is>
      </c>
      <c r="E536" t="inlineStr">
        <is>
          <t>BRÄCKE</t>
        </is>
      </c>
      <c r="F536" t="inlineStr">
        <is>
          <t>SCA</t>
        </is>
      </c>
      <c r="G536" t="n">
        <v>10.4</v>
      </c>
      <c r="H536" t="n">
        <v>1</v>
      </c>
      <c r="I536" t="n">
        <v>1</v>
      </c>
      <c r="J536" t="n">
        <v>1</v>
      </c>
      <c r="K536" t="n">
        <v>1</v>
      </c>
      <c r="L536" t="n">
        <v>0</v>
      </c>
      <c r="M536" t="n">
        <v>0</v>
      </c>
      <c r="N536" t="n">
        <v>0</v>
      </c>
      <c r="O536" t="n">
        <v>2</v>
      </c>
      <c r="P536" t="n">
        <v>1</v>
      </c>
      <c r="Q536" t="n">
        <v>3</v>
      </c>
      <c r="R536" s="2" t="inlineStr">
        <is>
          <t>Knärot
Stjärntagging
Vedticka</t>
        </is>
      </c>
      <c r="S536">
        <f>HYPERLINK("https://klasma.github.io/Logging_BRACKE/artfynd/A 42078-2019.xlsx")</f>
        <v/>
      </c>
      <c r="T536">
        <f>HYPERLINK("https://klasma.github.io/Logging_BRACKE/kartor/A 42078-2019.png")</f>
        <v/>
      </c>
      <c r="U536">
        <f>HYPERLINK("https://klasma.github.io/Logging_BRACKE/knärot/A 42078-2019.png")</f>
        <v/>
      </c>
      <c r="V536">
        <f>HYPERLINK("https://klasma.github.io/Logging_BRACKE/klagomål/A 42078-2019.docx")</f>
        <v/>
      </c>
      <c r="W536">
        <f>HYPERLINK("https://klasma.github.io/Logging_BRACKE/klagomålsmail/A 42078-2019.docx")</f>
        <v/>
      </c>
      <c r="X536">
        <f>HYPERLINK("https://klasma.github.io/Logging_BRACKE/tillsyn/A 42078-2019.docx")</f>
        <v/>
      </c>
      <c r="Y536">
        <f>HYPERLINK("https://klasma.github.io/Logging_BRACKE/tillsynsmail/A 42078-2019.docx")</f>
        <v/>
      </c>
    </row>
    <row r="537" ht="15" customHeight="1">
      <c r="A537" t="inlineStr">
        <is>
          <t>A 45683-2019</t>
        </is>
      </c>
      <c r="B537" s="1" t="n">
        <v>43717</v>
      </c>
      <c r="C537" s="1" t="n">
        <v>45182</v>
      </c>
      <c r="D537" t="inlineStr">
        <is>
          <t>JÄMTLANDS LÄN</t>
        </is>
      </c>
      <c r="E537" t="inlineStr">
        <is>
          <t>KROKOM</t>
        </is>
      </c>
      <c r="G537" t="n">
        <v>4.6</v>
      </c>
      <c r="H537" t="n">
        <v>2</v>
      </c>
      <c r="I537" t="n">
        <v>0</v>
      </c>
      <c r="J537" t="n">
        <v>2</v>
      </c>
      <c r="K537" t="n">
        <v>1</v>
      </c>
      <c r="L537" t="n">
        <v>0</v>
      </c>
      <c r="M537" t="n">
        <v>0</v>
      </c>
      <c r="N537" t="n">
        <v>0</v>
      </c>
      <c r="O537" t="n">
        <v>3</v>
      </c>
      <c r="P537" t="n">
        <v>1</v>
      </c>
      <c r="Q537" t="n">
        <v>3</v>
      </c>
      <c r="R537" s="2" t="inlineStr">
        <is>
          <t>Knärot
Gränsticka
Tretåig hackspett</t>
        </is>
      </c>
      <c r="S537">
        <f>HYPERLINK("https://klasma.github.io/Logging_KROKOM/artfynd/A 45683-2019.xlsx")</f>
        <v/>
      </c>
      <c r="T537">
        <f>HYPERLINK("https://klasma.github.io/Logging_KROKOM/kartor/A 45683-2019.png")</f>
        <v/>
      </c>
      <c r="U537">
        <f>HYPERLINK("https://klasma.github.io/Logging_KROKOM/knärot/A 45683-2019.png")</f>
        <v/>
      </c>
      <c r="V537">
        <f>HYPERLINK("https://klasma.github.io/Logging_KROKOM/klagomål/A 45683-2019.docx")</f>
        <v/>
      </c>
      <c r="W537">
        <f>HYPERLINK("https://klasma.github.io/Logging_KROKOM/klagomålsmail/A 45683-2019.docx")</f>
        <v/>
      </c>
      <c r="X537">
        <f>HYPERLINK("https://klasma.github.io/Logging_KROKOM/tillsyn/A 45683-2019.docx")</f>
        <v/>
      </c>
      <c r="Y537">
        <f>HYPERLINK("https://klasma.github.io/Logging_KROKOM/tillsynsmail/A 45683-2019.docx")</f>
        <v/>
      </c>
    </row>
    <row r="538" ht="15" customHeight="1">
      <c r="A538" t="inlineStr">
        <is>
          <t>A 57028-2019</t>
        </is>
      </c>
      <c r="B538" s="1" t="n">
        <v>43766</v>
      </c>
      <c r="C538" s="1" t="n">
        <v>45182</v>
      </c>
      <c r="D538" t="inlineStr">
        <is>
          <t>JÄMTLANDS LÄN</t>
        </is>
      </c>
      <c r="E538" t="inlineStr">
        <is>
          <t>KROKOM</t>
        </is>
      </c>
      <c r="G538" t="n">
        <v>13.6</v>
      </c>
      <c r="H538" t="n">
        <v>0</v>
      </c>
      <c r="I538" t="n">
        <v>1</v>
      </c>
      <c r="J538" t="n">
        <v>1</v>
      </c>
      <c r="K538" t="n">
        <v>1</v>
      </c>
      <c r="L538" t="n">
        <v>0</v>
      </c>
      <c r="M538" t="n">
        <v>0</v>
      </c>
      <c r="N538" t="n">
        <v>0</v>
      </c>
      <c r="O538" t="n">
        <v>2</v>
      </c>
      <c r="P538" t="n">
        <v>1</v>
      </c>
      <c r="Q538" t="n">
        <v>3</v>
      </c>
      <c r="R538" s="2" t="inlineStr">
        <is>
          <t>Liten sotlav
Rödbrun blekspik
Rostfläck</t>
        </is>
      </c>
      <c r="S538">
        <f>HYPERLINK("https://klasma.github.io/Logging_KROKOM/artfynd/A 57028-2019.xlsx")</f>
        <v/>
      </c>
      <c r="T538">
        <f>HYPERLINK("https://klasma.github.io/Logging_KROKOM/kartor/A 57028-2019.png")</f>
        <v/>
      </c>
      <c r="V538">
        <f>HYPERLINK("https://klasma.github.io/Logging_KROKOM/klagomål/A 57028-2019.docx")</f>
        <v/>
      </c>
      <c r="W538">
        <f>HYPERLINK("https://klasma.github.io/Logging_KROKOM/klagomålsmail/A 57028-2019.docx")</f>
        <v/>
      </c>
      <c r="X538">
        <f>HYPERLINK("https://klasma.github.io/Logging_KROKOM/tillsyn/A 57028-2019.docx")</f>
        <v/>
      </c>
      <c r="Y538">
        <f>HYPERLINK("https://klasma.github.io/Logging_KROKOM/tillsynsmail/A 57028-2019.docx")</f>
        <v/>
      </c>
    </row>
    <row r="539" ht="15" customHeight="1">
      <c r="A539" t="inlineStr">
        <is>
          <t>A 62240-2019</t>
        </is>
      </c>
      <c r="B539" s="1" t="n">
        <v>43784</v>
      </c>
      <c r="C539" s="1" t="n">
        <v>45182</v>
      </c>
      <c r="D539" t="inlineStr">
        <is>
          <t>JÄMTLANDS LÄN</t>
        </is>
      </c>
      <c r="E539" t="inlineStr">
        <is>
          <t>ÖSTERSUND</t>
        </is>
      </c>
      <c r="G539" t="n">
        <v>2</v>
      </c>
      <c r="H539" t="n">
        <v>1</v>
      </c>
      <c r="I539" t="n">
        <v>2</v>
      </c>
      <c r="J539" t="n">
        <v>0</v>
      </c>
      <c r="K539" t="n">
        <v>0</v>
      </c>
      <c r="L539" t="n">
        <v>0</v>
      </c>
      <c r="M539" t="n">
        <v>0</v>
      </c>
      <c r="N539" t="n">
        <v>0</v>
      </c>
      <c r="O539" t="n">
        <v>0</v>
      </c>
      <c r="P539" t="n">
        <v>0</v>
      </c>
      <c r="Q539" t="n">
        <v>3</v>
      </c>
      <c r="R539" s="2" t="inlineStr">
        <is>
          <t>Tibast
Ögonpyrola
Blåsippa</t>
        </is>
      </c>
      <c r="S539">
        <f>HYPERLINK("https://klasma.github.io/Logging_OSTERSUND/artfynd/A 62240-2019.xlsx")</f>
        <v/>
      </c>
      <c r="T539">
        <f>HYPERLINK("https://klasma.github.io/Logging_OSTERSUND/kartor/A 62240-2019.png")</f>
        <v/>
      </c>
      <c r="V539">
        <f>HYPERLINK("https://klasma.github.io/Logging_OSTERSUND/klagomål/A 62240-2019.docx")</f>
        <v/>
      </c>
      <c r="W539">
        <f>HYPERLINK("https://klasma.github.io/Logging_OSTERSUND/klagomålsmail/A 62240-2019.docx")</f>
        <v/>
      </c>
      <c r="X539">
        <f>HYPERLINK("https://klasma.github.io/Logging_OSTERSUND/tillsyn/A 62240-2019.docx")</f>
        <v/>
      </c>
      <c r="Y539">
        <f>HYPERLINK("https://klasma.github.io/Logging_OSTERSUND/tillsynsmail/A 62240-2019.docx")</f>
        <v/>
      </c>
    </row>
    <row r="540" ht="15" customHeight="1">
      <c r="A540" t="inlineStr">
        <is>
          <t>A 68248-2019</t>
        </is>
      </c>
      <c r="B540" s="1" t="n">
        <v>43817</v>
      </c>
      <c r="C540" s="1" t="n">
        <v>45182</v>
      </c>
      <c r="D540" t="inlineStr">
        <is>
          <t>JÄMTLANDS LÄN</t>
        </is>
      </c>
      <c r="E540" t="inlineStr">
        <is>
          <t>RAGUNDA</t>
        </is>
      </c>
      <c r="G540" t="n">
        <v>9</v>
      </c>
      <c r="H540" t="n">
        <v>0</v>
      </c>
      <c r="I540" t="n">
        <v>0</v>
      </c>
      <c r="J540" t="n">
        <v>3</v>
      </c>
      <c r="K540" t="n">
        <v>0</v>
      </c>
      <c r="L540" t="n">
        <v>0</v>
      </c>
      <c r="M540" t="n">
        <v>0</v>
      </c>
      <c r="N540" t="n">
        <v>0</v>
      </c>
      <c r="O540" t="n">
        <v>3</v>
      </c>
      <c r="P540" t="n">
        <v>0</v>
      </c>
      <c r="Q540" t="n">
        <v>3</v>
      </c>
      <c r="R540" s="2" t="inlineStr">
        <is>
          <t>Garnlav
Mörk kolflarnlav
Vedskivlav</t>
        </is>
      </c>
      <c r="S540">
        <f>HYPERLINK("https://klasma.github.io/Logging_RAGUNDA/artfynd/A 68248-2019.xlsx")</f>
        <v/>
      </c>
      <c r="T540">
        <f>HYPERLINK("https://klasma.github.io/Logging_RAGUNDA/kartor/A 68248-2019.png")</f>
        <v/>
      </c>
      <c r="U540">
        <f>HYPERLINK("https://klasma.github.io/Logging_RAGUNDA/knärot/A 68248-2019.png")</f>
        <v/>
      </c>
      <c r="V540">
        <f>HYPERLINK("https://klasma.github.io/Logging_RAGUNDA/klagomål/A 68248-2019.docx")</f>
        <v/>
      </c>
      <c r="W540">
        <f>HYPERLINK("https://klasma.github.io/Logging_RAGUNDA/klagomålsmail/A 68248-2019.docx")</f>
        <v/>
      </c>
      <c r="X540">
        <f>HYPERLINK("https://klasma.github.io/Logging_RAGUNDA/tillsyn/A 68248-2019.docx")</f>
        <v/>
      </c>
      <c r="Y540">
        <f>HYPERLINK("https://klasma.github.io/Logging_RAGUNDA/tillsynsmail/A 68248-2019.docx")</f>
        <v/>
      </c>
    </row>
    <row r="541" ht="15" customHeight="1">
      <c r="A541" t="inlineStr">
        <is>
          <t>A 6887-2020</t>
        </is>
      </c>
      <c r="B541" s="1" t="n">
        <v>43867</v>
      </c>
      <c r="C541" s="1" t="n">
        <v>45182</v>
      </c>
      <c r="D541" t="inlineStr">
        <is>
          <t>JÄMTLANDS LÄN</t>
        </is>
      </c>
      <c r="E541" t="inlineStr">
        <is>
          <t>STRÖMSUND</t>
        </is>
      </c>
      <c r="F541" t="inlineStr">
        <is>
          <t>SCA</t>
        </is>
      </c>
      <c r="G541" t="n">
        <v>43.1</v>
      </c>
      <c r="H541" t="n">
        <v>0</v>
      </c>
      <c r="I541" t="n">
        <v>0</v>
      </c>
      <c r="J541" t="n">
        <v>3</v>
      </c>
      <c r="K541" t="n">
        <v>0</v>
      </c>
      <c r="L541" t="n">
        <v>0</v>
      </c>
      <c r="M541" t="n">
        <v>0</v>
      </c>
      <c r="N541" t="n">
        <v>0</v>
      </c>
      <c r="O541" t="n">
        <v>3</v>
      </c>
      <c r="P541" t="n">
        <v>0</v>
      </c>
      <c r="Q541" t="n">
        <v>3</v>
      </c>
      <c r="R541" s="2" t="inlineStr">
        <is>
          <t>Gränsticka
Rosenticka
Ullticka</t>
        </is>
      </c>
      <c r="S541">
        <f>HYPERLINK("https://klasma.github.io/Logging_STROMSUND/artfynd/A 6887-2020.xlsx")</f>
        <v/>
      </c>
      <c r="T541">
        <f>HYPERLINK("https://klasma.github.io/Logging_STROMSUND/kartor/A 6887-2020.png")</f>
        <v/>
      </c>
      <c r="V541">
        <f>HYPERLINK("https://klasma.github.io/Logging_STROMSUND/klagomål/A 6887-2020.docx")</f>
        <v/>
      </c>
      <c r="W541">
        <f>HYPERLINK("https://klasma.github.io/Logging_STROMSUND/klagomålsmail/A 6887-2020.docx")</f>
        <v/>
      </c>
      <c r="X541">
        <f>HYPERLINK("https://klasma.github.io/Logging_STROMSUND/tillsyn/A 6887-2020.docx")</f>
        <v/>
      </c>
      <c r="Y541">
        <f>HYPERLINK("https://klasma.github.io/Logging_STROMSUND/tillsynsmail/A 6887-2020.docx")</f>
        <v/>
      </c>
    </row>
    <row r="542" ht="15" customHeight="1">
      <c r="A542" t="inlineStr">
        <is>
          <t>A 14936-2020</t>
        </is>
      </c>
      <c r="B542" s="1" t="n">
        <v>43906</v>
      </c>
      <c r="C542" s="1" t="n">
        <v>45182</v>
      </c>
      <c r="D542" t="inlineStr">
        <is>
          <t>JÄMTLANDS LÄN</t>
        </is>
      </c>
      <c r="E542" t="inlineStr">
        <is>
          <t>STRÖMSUND</t>
        </is>
      </c>
      <c r="G542" t="n">
        <v>21.4</v>
      </c>
      <c r="H542" t="n">
        <v>1</v>
      </c>
      <c r="I542" t="n">
        <v>1</v>
      </c>
      <c r="J542" t="n">
        <v>1</v>
      </c>
      <c r="K542" t="n">
        <v>0</v>
      </c>
      <c r="L542" t="n">
        <v>0</v>
      </c>
      <c r="M542" t="n">
        <v>0</v>
      </c>
      <c r="N542" t="n">
        <v>0</v>
      </c>
      <c r="O542" t="n">
        <v>1</v>
      </c>
      <c r="P542" t="n">
        <v>0</v>
      </c>
      <c r="Q542" t="n">
        <v>3</v>
      </c>
      <c r="R542" s="2" t="inlineStr">
        <is>
          <t>Granticka
Finbräken
Blåsippa</t>
        </is>
      </c>
      <c r="S542">
        <f>HYPERLINK("https://klasma.github.io/Logging_STROMSUND/artfynd/A 14936-2020.xlsx")</f>
        <v/>
      </c>
      <c r="T542">
        <f>HYPERLINK("https://klasma.github.io/Logging_STROMSUND/kartor/A 14936-2020.png")</f>
        <v/>
      </c>
      <c r="V542">
        <f>HYPERLINK("https://klasma.github.io/Logging_STROMSUND/klagomål/A 14936-2020.docx")</f>
        <v/>
      </c>
      <c r="W542">
        <f>HYPERLINK("https://klasma.github.io/Logging_STROMSUND/klagomålsmail/A 14936-2020.docx")</f>
        <v/>
      </c>
      <c r="X542">
        <f>HYPERLINK("https://klasma.github.io/Logging_STROMSUND/tillsyn/A 14936-2020.docx")</f>
        <v/>
      </c>
      <c r="Y542">
        <f>HYPERLINK("https://klasma.github.io/Logging_STROMSUND/tillsynsmail/A 14936-2020.docx")</f>
        <v/>
      </c>
    </row>
    <row r="543" ht="15" customHeight="1">
      <c r="A543" t="inlineStr">
        <is>
          <t>A 17685-2020</t>
        </is>
      </c>
      <c r="B543" s="1" t="n">
        <v>43923</v>
      </c>
      <c r="C543" s="1" t="n">
        <v>45182</v>
      </c>
      <c r="D543" t="inlineStr">
        <is>
          <t>JÄMTLANDS LÄN</t>
        </is>
      </c>
      <c r="E543" t="inlineStr">
        <is>
          <t>STRÖMSUND</t>
        </is>
      </c>
      <c r="G543" t="n">
        <v>2.8</v>
      </c>
      <c r="H543" t="n">
        <v>0</v>
      </c>
      <c r="I543" t="n">
        <v>0</v>
      </c>
      <c r="J543" t="n">
        <v>3</v>
      </c>
      <c r="K543" t="n">
        <v>0</v>
      </c>
      <c r="L543" t="n">
        <v>0</v>
      </c>
      <c r="M543" t="n">
        <v>0</v>
      </c>
      <c r="N543" t="n">
        <v>0</v>
      </c>
      <c r="O543" t="n">
        <v>3</v>
      </c>
      <c r="P543" t="n">
        <v>0</v>
      </c>
      <c r="Q543" t="n">
        <v>3</v>
      </c>
      <c r="R543" s="2" t="inlineStr">
        <is>
          <t>Garnlav
Lunglav
Skrovellav</t>
        </is>
      </c>
      <c r="S543">
        <f>HYPERLINK("https://klasma.github.io/Logging_STROMSUND/artfynd/A 17685-2020.xlsx")</f>
        <v/>
      </c>
      <c r="T543">
        <f>HYPERLINK("https://klasma.github.io/Logging_STROMSUND/kartor/A 17685-2020.png")</f>
        <v/>
      </c>
      <c r="V543">
        <f>HYPERLINK("https://klasma.github.io/Logging_STROMSUND/klagomål/A 17685-2020.docx")</f>
        <v/>
      </c>
      <c r="W543">
        <f>HYPERLINK("https://klasma.github.io/Logging_STROMSUND/klagomålsmail/A 17685-2020.docx")</f>
        <v/>
      </c>
      <c r="X543">
        <f>HYPERLINK("https://klasma.github.io/Logging_STROMSUND/tillsyn/A 17685-2020.docx")</f>
        <v/>
      </c>
      <c r="Y543">
        <f>HYPERLINK("https://klasma.github.io/Logging_STROMSUND/tillsynsmail/A 17685-2020.docx")</f>
        <v/>
      </c>
    </row>
    <row r="544" ht="15" customHeight="1">
      <c r="A544" t="inlineStr">
        <is>
          <t>A 21223-2020</t>
        </is>
      </c>
      <c r="B544" s="1" t="n">
        <v>43951</v>
      </c>
      <c r="C544" s="1" t="n">
        <v>45182</v>
      </c>
      <c r="D544" t="inlineStr">
        <is>
          <t>JÄMTLANDS LÄN</t>
        </is>
      </c>
      <c r="E544" t="inlineStr">
        <is>
          <t>BRÄCKE</t>
        </is>
      </c>
      <c r="F544" t="inlineStr">
        <is>
          <t>SCA</t>
        </is>
      </c>
      <c r="G544" t="n">
        <v>1.2</v>
      </c>
      <c r="H544" t="n">
        <v>0</v>
      </c>
      <c r="I544" t="n">
        <v>1</v>
      </c>
      <c r="J544" t="n">
        <v>2</v>
      </c>
      <c r="K544" t="n">
        <v>0</v>
      </c>
      <c r="L544" t="n">
        <v>0</v>
      </c>
      <c r="M544" t="n">
        <v>0</v>
      </c>
      <c r="N544" t="n">
        <v>0</v>
      </c>
      <c r="O544" t="n">
        <v>2</v>
      </c>
      <c r="P544" t="n">
        <v>0</v>
      </c>
      <c r="Q544" t="n">
        <v>3</v>
      </c>
      <c r="R544" s="2" t="inlineStr">
        <is>
          <t>Garnlav
Lunglav
Skinnlav</t>
        </is>
      </c>
      <c r="S544">
        <f>HYPERLINK("https://klasma.github.io/Logging_BRACKE/artfynd/A 21223-2020.xlsx")</f>
        <v/>
      </c>
      <c r="T544">
        <f>HYPERLINK("https://klasma.github.io/Logging_BRACKE/kartor/A 21223-2020.png")</f>
        <v/>
      </c>
      <c r="V544">
        <f>HYPERLINK("https://klasma.github.io/Logging_BRACKE/klagomål/A 21223-2020.docx")</f>
        <v/>
      </c>
      <c r="W544">
        <f>HYPERLINK("https://klasma.github.io/Logging_BRACKE/klagomålsmail/A 21223-2020.docx")</f>
        <v/>
      </c>
      <c r="X544">
        <f>HYPERLINK("https://klasma.github.io/Logging_BRACKE/tillsyn/A 21223-2020.docx")</f>
        <v/>
      </c>
      <c r="Y544">
        <f>HYPERLINK("https://klasma.github.io/Logging_BRACKE/tillsynsmail/A 21223-2020.docx")</f>
        <v/>
      </c>
    </row>
    <row r="545" ht="15" customHeight="1">
      <c r="A545" t="inlineStr">
        <is>
          <t>A 24145-2020</t>
        </is>
      </c>
      <c r="B545" s="1" t="n">
        <v>43973</v>
      </c>
      <c r="C545" s="1" t="n">
        <v>45182</v>
      </c>
      <c r="D545" t="inlineStr">
        <is>
          <t>JÄMTLANDS LÄN</t>
        </is>
      </c>
      <c r="E545" t="inlineStr">
        <is>
          <t>STRÖMSUND</t>
        </is>
      </c>
      <c r="F545" t="inlineStr">
        <is>
          <t>SCA</t>
        </is>
      </c>
      <c r="G545" t="n">
        <v>4.3</v>
      </c>
      <c r="H545" t="n">
        <v>0</v>
      </c>
      <c r="I545" t="n">
        <v>0</v>
      </c>
      <c r="J545" t="n">
        <v>3</v>
      </c>
      <c r="K545" t="n">
        <v>0</v>
      </c>
      <c r="L545" t="n">
        <v>0</v>
      </c>
      <c r="M545" t="n">
        <v>0</v>
      </c>
      <c r="N545" t="n">
        <v>0</v>
      </c>
      <c r="O545" t="n">
        <v>3</v>
      </c>
      <c r="P545" t="n">
        <v>0</v>
      </c>
      <c r="Q545" t="n">
        <v>3</v>
      </c>
      <c r="R545" s="2" t="inlineStr">
        <is>
          <t>Gammelgransskål
Kolflarnlav
Lunglav</t>
        </is>
      </c>
      <c r="S545">
        <f>HYPERLINK("https://klasma.github.io/Logging_STROMSUND/artfynd/A 24145-2020.xlsx")</f>
        <v/>
      </c>
      <c r="T545">
        <f>HYPERLINK("https://klasma.github.io/Logging_STROMSUND/kartor/A 24145-2020.png")</f>
        <v/>
      </c>
      <c r="V545">
        <f>HYPERLINK("https://klasma.github.io/Logging_STROMSUND/klagomål/A 24145-2020.docx")</f>
        <v/>
      </c>
      <c r="W545">
        <f>HYPERLINK("https://klasma.github.io/Logging_STROMSUND/klagomålsmail/A 24145-2020.docx")</f>
        <v/>
      </c>
      <c r="X545">
        <f>HYPERLINK("https://klasma.github.io/Logging_STROMSUND/tillsyn/A 24145-2020.docx")</f>
        <v/>
      </c>
      <c r="Y545">
        <f>HYPERLINK("https://klasma.github.io/Logging_STROMSUND/tillsynsmail/A 24145-2020.docx")</f>
        <v/>
      </c>
    </row>
    <row r="546" ht="15" customHeight="1">
      <c r="A546" t="inlineStr">
        <is>
          <t>A 29082-2020</t>
        </is>
      </c>
      <c r="B546" s="1" t="n">
        <v>44002</v>
      </c>
      <c r="C546" s="1" t="n">
        <v>45182</v>
      </c>
      <c r="D546" t="inlineStr">
        <is>
          <t>JÄMTLANDS LÄN</t>
        </is>
      </c>
      <c r="E546" t="inlineStr">
        <is>
          <t>ÅRE</t>
        </is>
      </c>
      <c r="G546" t="n">
        <v>3.1</v>
      </c>
      <c r="H546" t="n">
        <v>1</v>
      </c>
      <c r="I546" t="n">
        <v>0</v>
      </c>
      <c r="J546" t="n">
        <v>2</v>
      </c>
      <c r="K546" t="n">
        <v>0</v>
      </c>
      <c r="L546" t="n">
        <v>0</v>
      </c>
      <c r="M546" t="n">
        <v>0</v>
      </c>
      <c r="N546" t="n">
        <v>0</v>
      </c>
      <c r="O546" t="n">
        <v>2</v>
      </c>
      <c r="P546" t="n">
        <v>0</v>
      </c>
      <c r="Q546" t="n">
        <v>3</v>
      </c>
      <c r="R546" s="2" t="inlineStr">
        <is>
          <t>Garnlav
Granticka
Fläcknycklar</t>
        </is>
      </c>
      <c r="S546">
        <f>HYPERLINK("https://klasma.github.io/Logging_ARE/artfynd/A 29082-2020.xlsx")</f>
        <v/>
      </c>
      <c r="T546">
        <f>HYPERLINK("https://klasma.github.io/Logging_ARE/kartor/A 29082-2020.png")</f>
        <v/>
      </c>
      <c r="V546">
        <f>HYPERLINK("https://klasma.github.io/Logging_ARE/klagomål/A 29082-2020.docx")</f>
        <v/>
      </c>
      <c r="W546">
        <f>HYPERLINK("https://klasma.github.io/Logging_ARE/klagomålsmail/A 29082-2020.docx")</f>
        <v/>
      </c>
      <c r="X546">
        <f>HYPERLINK("https://klasma.github.io/Logging_ARE/tillsyn/A 29082-2020.docx")</f>
        <v/>
      </c>
      <c r="Y546">
        <f>HYPERLINK("https://klasma.github.io/Logging_ARE/tillsynsmail/A 29082-2020.docx")</f>
        <v/>
      </c>
    </row>
    <row r="547" ht="15" customHeight="1">
      <c r="A547" t="inlineStr">
        <is>
          <t>A 30763-2020</t>
        </is>
      </c>
      <c r="B547" s="1" t="n">
        <v>44008</v>
      </c>
      <c r="C547" s="1" t="n">
        <v>45182</v>
      </c>
      <c r="D547" t="inlineStr">
        <is>
          <t>JÄMTLANDS LÄN</t>
        </is>
      </c>
      <c r="E547" t="inlineStr">
        <is>
          <t>STRÖMSUND</t>
        </is>
      </c>
      <c r="F547" t="inlineStr">
        <is>
          <t>SCA</t>
        </is>
      </c>
      <c r="G547" t="n">
        <v>20.8</v>
      </c>
      <c r="H547" t="n">
        <v>2</v>
      </c>
      <c r="I547" t="n">
        <v>1</v>
      </c>
      <c r="J547" t="n">
        <v>2</v>
      </c>
      <c r="K547" t="n">
        <v>0</v>
      </c>
      <c r="L547" t="n">
        <v>0</v>
      </c>
      <c r="M547" t="n">
        <v>0</v>
      </c>
      <c r="N547" t="n">
        <v>0</v>
      </c>
      <c r="O547" t="n">
        <v>2</v>
      </c>
      <c r="P547" t="n">
        <v>0</v>
      </c>
      <c r="Q547" t="n">
        <v>3</v>
      </c>
      <c r="R547" s="2" t="inlineStr">
        <is>
          <t>Brunklöver
Skogsfru
Guckusko</t>
        </is>
      </c>
      <c r="S547">
        <f>HYPERLINK("https://klasma.github.io/Logging_STROMSUND/artfynd/A 30763-2020.xlsx")</f>
        <v/>
      </c>
      <c r="T547">
        <f>HYPERLINK("https://klasma.github.io/Logging_STROMSUND/kartor/A 30763-2020.png")</f>
        <v/>
      </c>
      <c r="V547">
        <f>HYPERLINK("https://klasma.github.io/Logging_STROMSUND/klagomål/A 30763-2020.docx")</f>
        <v/>
      </c>
      <c r="W547">
        <f>HYPERLINK("https://klasma.github.io/Logging_STROMSUND/klagomålsmail/A 30763-2020.docx")</f>
        <v/>
      </c>
      <c r="X547">
        <f>HYPERLINK("https://klasma.github.io/Logging_STROMSUND/tillsyn/A 30763-2020.docx")</f>
        <v/>
      </c>
      <c r="Y547">
        <f>HYPERLINK("https://klasma.github.io/Logging_STROMSUND/tillsynsmail/A 30763-2020.docx")</f>
        <v/>
      </c>
    </row>
    <row r="548" ht="15" customHeight="1">
      <c r="A548" t="inlineStr">
        <is>
          <t>A 40405-2020</t>
        </is>
      </c>
      <c r="B548" s="1" t="n">
        <v>44068</v>
      </c>
      <c r="C548" s="1" t="n">
        <v>45182</v>
      </c>
      <c r="D548" t="inlineStr">
        <is>
          <t>JÄMTLANDS LÄN</t>
        </is>
      </c>
      <c r="E548" t="inlineStr">
        <is>
          <t>BRÄCKE</t>
        </is>
      </c>
      <c r="F548" t="inlineStr">
        <is>
          <t>SCA</t>
        </is>
      </c>
      <c r="G548" t="n">
        <v>1</v>
      </c>
      <c r="H548" t="n">
        <v>0</v>
      </c>
      <c r="I548" t="n">
        <v>0</v>
      </c>
      <c r="J548" t="n">
        <v>2</v>
      </c>
      <c r="K548" t="n">
        <v>1</v>
      </c>
      <c r="L548" t="n">
        <v>0</v>
      </c>
      <c r="M548" t="n">
        <v>0</v>
      </c>
      <c r="N548" t="n">
        <v>0</v>
      </c>
      <c r="O548" t="n">
        <v>3</v>
      </c>
      <c r="P548" t="n">
        <v>1</v>
      </c>
      <c r="Q548" t="n">
        <v>3</v>
      </c>
      <c r="R548" s="2" t="inlineStr">
        <is>
          <t>Tvillingspindling
Flattoppad klubbsvamp
Persiljespindling</t>
        </is>
      </c>
      <c r="S548">
        <f>HYPERLINK("https://klasma.github.io/Logging_BRACKE/artfynd/A 40405-2020.xlsx")</f>
        <v/>
      </c>
      <c r="T548">
        <f>HYPERLINK("https://klasma.github.io/Logging_BRACKE/kartor/A 40405-2020.png")</f>
        <v/>
      </c>
      <c r="V548">
        <f>HYPERLINK("https://klasma.github.io/Logging_BRACKE/klagomål/A 40405-2020.docx")</f>
        <v/>
      </c>
      <c r="W548">
        <f>HYPERLINK("https://klasma.github.io/Logging_BRACKE/klagomålsmail/A 40405-2020.docx")</f>
        <v/>
      </c>
      <c r="X548">
        <f>HYPERLINK("https://klasma.github.io/Logging_BRACKE/tillsyn/A 40405-2020.docx")</f>
        <v/>
      </c>
      <c r="Y548">
        <f>HYPERLINK("https://klasma.github.io/Logging_BRACKE/tillsynsmail/A 40405-2020.docx")</f>
        <v/>
      </c>
    </row>
    <row r="549" ht="15" customHeight="1">
      <c r="A549" t="inlineStr">
        <is>
          <t>A 41873-2020</t>
        </is>
      </c>
      <c r="B549" s="1" t="n">
        <v>44074</v>
      </c>
      <c r="C549" s="1" t="n">
        <v>45182</v>
      </c>
      <c r="D549" t="inlineStr">
        <is>
          <t>JÄMTLANDS LÄN</t>
        </is>
      </c>
      <c r="E549" t="inlineStr">
        <is>
          <t>HÄRJEDALEN</t>
        </is>
      </c>
      <c r="F549" t="inlineStr">
        <is>
          <t>SCA</t>
        </is>
      </c>
      <c r="G549" t="n">
        <v>2.4</v>
      </c>
      <c r="H549" t="n">
        <v>2</v>
      </c>
      <c r="I549" t="n">
        <v>1</v>
      </c>
      <c r="J549" t="n">
        <v>1</v>
      </c>
      <c r="K549" t="n">
        <v>1</v>
      </c>
      <c r="L549" t="n">
        <v>0</v>
      </c>
      <c r="M549" t="n">
        <v>0</v>
      </c>
      <c r="N549" t="n">
        <v>0</v>
      </c>
      <c r="O549" t="n">
        <v>2</v>
      </c>
      <c r="P549" t="n">
        <v>1</v>
      </c>
      <c r="Q549" t="n">
        <v>3</v>
      </c>
      <c r="R549" s="2" t="inlineStr">
        <is>
          <t>Knärot
Garnlav
Korallrot</t>
        </is>
      </c>
      <c r="S549">
        <f>HYPERLINK("https://klasma.github.io/Logging_HARJEDALEN/artfynd/A 41873-2020.xlsx")</f>
        <v/>
      </c>
      <c r="T549">
        <f>HYPERLINK("https://klasma.github.io/Logging_HARJEDALEN/kartor/A 41873-2020.png")</f>
        <v/>
      </c>
      <c r="U549">
        <f>HYPERLINK("https://klasma.github.io/Logging_HARJEDALEN/knärot/A 41873-2020.png")</f>
        <v/>
      </c>
      <c r="V549">
        <f>HYPERLINK("https://klasma.github.io/Logging_HARJEDALEN/klagomål/A 41873-2020.docx")</f>
        <v/>
      </c>
      <c r="W549">
        <f>HYPERLINK("https://klasma.github.io/Logging_HARJEDALEN/klagomålsmail/A 41873-2020.docx")</f>
        <v/>
      </c>
      <c r="X549">
        <f>HYPERLINK("https://klasma.github.io/Logging_HARJEDALEN/tillsyn/A 41873-2020.docx")</f>
        <v/>
      </c>
      <c r="Y549">
        <f>HYPERLINK("https://klasma.github.io/Logging_HARJEDALEN/tillsynsmail/A 41873-2020.docx")</f>
        <v/>
      </c>
    </row>
    <row r="550" ht="15" customHeight="1">
      <c r="A550" t="inlineStr">
        <is>
          <t>A 44946-2020</t>
        </is>
      </c>
      <c r="B550" s="1" t="n">
        <v>44083</v>
      </c>
      <c r="C550" s="1" t="n">
        <v>45182</v>
      </c>
      <c r="D550" t="inlineStr">
        <is>
          <t>JÄMTLANDS LÄN</t>
        </is>
      </c>
      <c r="E550" t="inlineStr">
        <is>
          <t>STRÖMSUND</t>
        </is>
      </c>
      <c r="G550" t="n">
        <v>9</v>
      </c>
      <c r="H550" t="n">
        <v>1</v>
      </c>
      <c r="I550" t="n">
        <v>0</v>
      </c>
      <c r="J550" t="n">
        <v>1</v>
      </c>
      <c r="K550" t="n">
        <v>1</v>
      </c>
      <c r="L550" t="n">
        <v>0</v>
      </c>
      <c r="M550" t="n">
        <v>0</v>
      </c>
      <c r="N550" t="n">
        <v>0</v>
      </c>
      <c r="O550" t="n">
        <v>2</v>
      </c>
      <c r="P550" t="n">
        <v>1</v>
      </c>
      <c r="Q550" t="n">
        <v>3</v>
      </c>
      <c r="R550" s="2" t="inlineStr">
        <is>
          <t>Norsk näverlav
Garnlav
Revlummer</t>
        </is>
      </c>
      <c r="S550">
        <f>HYPERLINK("https://klasma.github.io/Logging_STROMSUND/artfynd/A 44946-2020.xlsx")</f>
        <v/>
      </c>
      <c r="T550">
        <f>HYPERLINK("https://klasma.github.io/Logging_STROMSUND/kartor/A 44946-2020.png")</f>
        <v/>
      </c>
      <c r="V550">
        <f>HYPERLINK("https://klasma.github.io/Logging_STROMSUND/klagomål/A 44946-2020.docx")</f>
        <v/>
      </c>
      <c r="W550">
        <f>HYPERLINK("https://klasma.github.io/Logging_STROMSUND/klagomålsmail/A 44946-2020.docx")</f>
        <v/>
      </c>
      <c r="X550">
        <f>HYPERLINK("https://klasma.github.io/Logging_STROMSUND/tillsyn/A 44946-2020.docx")</f>
        <v/>
      </c>
      <c r="Y550">
        <f>HYPERLINK("https://klasma.github.io/Logging_STROMSUND/tillsynsmail/A 44946-2020.docx")</f>
        <v/>
      </c>
    </row>
    <row r="551" ht="15" customHeight="1">
      <c r="A551" t="inlineStr">
        <is>
          <t>A 51010-2020</t>
        </is>
      </c>
      <c r="B551" s="1" t="n">
        <v>44111</v>
      </c>
      <c r="C551" s="1" t="n">
        <v>45182</v>
      </c>
      <c r="D551" t="inlineStr">
        <is>
          <t>JÄMTLANDS LÄN</t>
        </is>
      </c>
      <c r="E551" t="inlineStr">
        <is>
          <t>RAGUNDA</t>
        </is>
      </c>
      <c r="F551" t="inlineStr">
        <is>
          <t>SCA</t>
        </is>
      </c>
      <c r="G551" t="n">
        <v>4.1</v>
      </c>
      <c r="H551" t="n">
        <v>0</v>
      </c>
      <c r="I551" t="n">
        <v>0</v>
      </c>
      <c r="J551" t="n">
        <v>3</v>
      </c>
      <c r="K551" t="n">
        <v>0</v>
      </c>
      <c r="L551" t="n">
        <v>0</v>
      </c>
      <c r="M551" t="n">
        <v>0</v>
      </c>
      <c r="N551" t="n">
        <v>0</v>
      </c>
      <c r="O551" t="n">
        <v>3</v>
      </c>
      <c r="P551" t="n">
        <v>0</v>
      </c>
      <c r="Q551" t="n">
        <v>3</v>
      </c>
      <c r="R551" s="2" t="inlineStr">
        <is>
          <t>Garnlav
Lunglav
Ullticka</t>
        </is>
      </c>
      <c r="S551">
        <f>HYPERLINK("https://klasma.github.io/Logging_RAGUNDA/artfynd/A 51010-2020.xlsx")</f>
        <v/>
      </c>
      <c r="T551">
        <f>HYPERLINK("https://klasma.github.io/Logging_RAGUNDA/kartor/A 51010-2020.png")</f>
        <v/>
      </c>
      <c r="V551">
        <f>HYPERLINK("https://klasma.github.io/Logging_RAGUNDA/klagomål/A 51010-2020.docx")</f>
        <v/>
      </c>
      <c r="W551">
        <f>HYPERLINK("https://klasma.github.io/Logging_RAGUNDA/klagomålsmail/A 51010-2020.docx")</f>
        <v/>
      </c>
      <c r="X551">
        <f>HYPERLINK("https://klasma.github.io/Logging_RAGUNDA/tillsyn/A 51010-2020.docx")</f>
        <v/>
      </c>
      <c r="Y551">
        <f>HYPERLINK("https://klasma.github.io/Logging_RAGUNDA/tillsynsmail/A 51010-2020.docx")</f>
        <v/>
      </c>
    </row>
    <row r="552" ht="15" customHeight="1">
      <c r="A552" t="inlineStr">
        <is>
          <t>A 52190-2020</t>
        </is>
      </c>
      <c r="B552" s="1" t="n">
        <v>44111</v>
      </c>
      <c r="C552" s="1" t="n">
        <v>45182</v>
      </c>
      <c r="D552" t="inlineStr">
        <is>
          <t>JÄMTLANDS LÄN</t>
        </is>
      </c>
      <c r="E552" t="inlineStr">
        <is>
          <t>BERG</t>
        </is>
      </c>
      <c r="G552" t="n">
        <v>23.3</v>
      </c>
      <c r="H552" t="n">
        <v>0</v>
      </c>
      <c r="I552" t="n">
        <v>1</v>
      </c>
      <c r="J552" t="n">
        <v>2</v>
      </c>
      <c r="K552" t="n">
        <v>0</v>
      </c>
      <c r="L552" t="n">
        <v>0</v>
      </c>
      <c r="M552" t="n">
        <v>0</v>
      </c>
      <c r="N552" t="n">
        <v>0</v>
      </c>
      <c r="O552" t="n">
        <v>2</v>
      </c>
      <c r="P552" t="n">
        <v>0</v>
      </c>
      <c r="Q552" t="n">
        <v>3</v>
      </c>
      <c r="R552" s="2" t="inlineStr">
        <is>
          <t>Garnlav
Granticka
Ögonpyrola</t>
        </is>
      </c>
      <c r="S552">
        <f>HYPERLINK("https://klasma.github.io/Logging_BERG/artfynd/A 52190-2020.xlsx")</f>
        <v/>
      </c>
      <c r="T552">
        <f>HYPERLINK("https://klasma.github.io/Logging_BERG/kartor/A 52190-2020.png")</f>
        <v/>
      </c>
      <c r="V552">
        <f>HYPERLINK("https://klasma.github.io/Logging_BERG/klagomål/A 52190-2020.docx")</f>
        <v/>
      </c>
      <c r="W552">
        <f>HYPERLINK("https://klasma.github.io/Logging_BERG/klagomålsmail/A 52190-2020.docx")</f>
        <v/>
      </c>
      <c r="X552">
        <f>HYPERLINK("https://klasma.github.io/Logging_BERG/tillsyn/A 52190-2020.docx")</f>
        <v/>
      </c>
      <c r="Y552">
        <f>HYPERLINK("https://klasma.github.io/Logging_BERG/tillsynsmail/A 52190-2020.docx")</f>
        <v/>
      </c>
    </row>
    <row r="553" ht="15" customHeight="1">
      <c r="A553" t="inlineStr">
        <is>
          <t>A 54743-2020</t>
        </is>
      </c>
      <c r="B553" s="1" t="n">
        <v>44127</v>
      </c>
      <c r="C553" s="1" t="n">
        <v>45182</v>
      </c>
      <c r="D553" t="inlineStr">
        <is>
          <t>JÄMTLANDS LÄN</t>
        </is>
      </c>
      <c r="E553" t="inlineStr">
        <is>
          <t>ÅRE</t>
        </is>
      </c>
      <c r="G553" t="n">
        <v>3.4</v>
      </c>
      <c r="H553" t="n">
        <v>0</v>
      </c>
      <c r="I553" t="n">
        <v>2</v>
      </c>
      <c r="J553" t="n">
        <v>1</v>
      </c>
      <c r="K553" t="n">
        <v>0</v>
      </c>
      <c r="L553" t="n">
        <v>0</v>
      </c>
      <c r="M553" t="n">
        <v>0</v>
      </c>
      <c r="N553" t="n">
        <v>0</v>
      </c>
      <c r="O553" t="n">
        <v>1</v>
      </c>
      <c r="P553" t="n">
        <v>0</v>
      </c>
      <c r="Q553" t="n">
        <v>3</v>
      </c>
      <c r="R553" s="2" t="inlineStr">
        <is>
          <t>Dofttaggsvamp
Kryddspindling
Svavelriska</t>
        </is>
      </c>
      <c r="S553">
        <f>HYPERLINK("https://klasma.github.io/Logging_ARE/artfynd/A 54743-2020.xlsx")</f>
        <v/>
      </c>
      <c r="T553">
        <f>HYPERLINK("https://klasma.github.io/Logging_ARE/kartor/A 54743-2020.png")</f>
        <v/>
      </c>
      <c r="V553">
        <f>HYPERLINK("https://klasma.github.io/Logging_ARE/klagomål/A 54743-2020.docx")</f>
        <v/>
      </c>
      <c r="W553">
        <f>HYPERLINK("https://klasma.github.io/Logging_ARE/klagomålsmail/A 54743-2020.docx")</f>
        <v/>
      </c>
      <c r="X553">
        <f>HYPERLINK("https://klasma.github.io/Logging_ARE/tillsyn/A 54743-2020.docx")</f>
        <v/>
      </c>
      <c r="Y553">
        <f>HYPERLINK("https://klasma.github.io/Logging_ARE/tillsynsmail/A 54743-2020.docx")</f>
        <v/>
      </c>
    </row>
    <row r="554" ht="15" customHeight="1">
      <c r="A554" t="inlineStr">
        <is>
          <t>A 54988-2020</t>
        </is>
      </c>
      <c r="B554" s="1" t="n">
        <v>44130</v>
      </c>
      <c r="C554" s="1" t="n">
        <v>45182</v>
      </c>
      <c r="D554" t="inlineStr">
        <is>
          <t>JÄMTLANDS LÄN</t>
        </is>
      </c>
      <c r="E554" t="inlineStr">
        <is>
          <t>ÅRE</t>
        </is>
      </c>
      <c r="G554" t="n">
        <v>13.2</v>
      </c>
      <c r="H554" t="n">
        <v>1</v>
      </c>
      <c r="I554" t="n">
        <v>0</v>
      </c>
      <c r="J554" t="n">
        <v>3</v>
      </c>
      <c r="K554" t="n">
        <v>0</v>
      </c>
      <c r="L554" t="n">
        <v>0</v>
      </c>
      <c r="M554" t="n">
        <v>0</v>
      </c>
      <c r="N554" t="n">
        <v>0</v>
      </c>
      <c r="O554" t="n">
        <v>3</v>
      </c>
      <c r="P554" t="n">
        <v>0</v>
      </c>
      <c r="Q554" t="n">
        <v>3</v>
      </c>
      <c r="R554" s="2" t="inlineStr">
        <is>
          <t>Garnlav
Granticka
Tretåig hackspett</t>
        </is>
      </c>
      <c r="S554">
        <f>HYPERLINK("https://klasma.github.io/Logging_ARE/artfynd/A 54988-2020.xlsx")</f>
        <v/>
      </c>
      <c r="T554">
        <f>HYPERLINK("https://klasma.github.io/Logging_ARE/kartor/A 54988-2020.png")</f>
        <v/>
      </c>
      <c r="V554">
        <f>HYPERLINK("https://klasma.github.io/Logging_ARE/klagomål/A 54988-2020.docx")</f>
        <v/>
      </c>
      <c r="W554">
        <f>HYPERLINK("https://klasma.github.io/Logging_ARE/klagomålsmail/A 54988-2020.docx")</f>
        <v/>
      </c>
      <c r="X554">
        <f>HYPERLINK("https://klasma.github.io/Logging_ARE/tillsyn/A 54988-2020.docx")</f>
        <v/>
      </c>
      <c r="Y554">
        <f>HYPERLINK("https://klasma.github.io/Logging_ARE/tillsynsmail/A 54988-2020.docx")</f>
        <v/>
      </c>
    </row>
    <row r="555" ht="15" customHeight="1">
      <c r="A555" t="inlineStr">
        <is>
          <t>A 55612-2020</t>
        </is>
      </c>
      <c r="B555" s="1" t="n">
        <v>44131</v>
      </c>
      <c r="C555" s="1" t="n">
        <v>45182</v>
      </c>
      <c r="D555" t="inlineStr">
        <is>
          <t>JÄMTLANDS LÄN</t>
        </is>
      </c>
      <c r="E555" t="inlineStr">
        <is>
          <t>STRÖMSUND</t>
        </is>
      </c>
      <c r="F555" t="inlineStr">
        <is>
          <t>Holmen skog AB</t>
        </is>
      </c>
      <c r="G555" t="n">
        <v>24.2</v>
      </c>
      <c r="H555" t="n">
        <v>0</v>
      </c>
      <c r="I555" t="n">
        <v>0</v>
      </c>
      <c r="J555" t="n">
        <v>3</v>
      </c>
      <c r="K555" t="n">
        <v>0</v>
      </c>
      <c r="L555" t="n">
        <v>0</v>
      </c>
      <c r="M555" t="n">
        <v>0</v>
      </c>
      <c r="N555" t="n">
        <v>0</v>
      </c>
      <c r="O555" t="n">
        <v>3</v>
      </c>
      <c r="P555" t="n">
        <v>0</v>
      </c>
      <c r="Q555" t="n">
        <v>3</v>
      </c>
      <c r="R555" s="2" t="inlineStr">
        <is>
          <t>Doftskinn
Harticka
Koralltaggsvamp</t>
        </is>
      </c>
      <c r="S555">
        <f>HYPERLINK("https://klasma.github.io/Logging_STROMSUND/artfynd/A 55612-2020.xlsx")</f>
        <v/>
      </c>
      <c r="T555">
        <f>HYPERLINK("https://klasma.github.io/Logging_STROMSUND/kartor/A 55612-2020.png")</f>
        <v/>
      </c>
      <c r="V555">
        <f>HYPERLINK("https://klasma.github.io/Logging_STROMSUND/klagomål/A 55612-2020.docx")</f>
        <v/>
      </c>
      <c r="W555">
        <f>HYPERLINK("https://klasma.github.io/Logging_STROMSUND/klagomålsmail/A 55612-2020.docx")</f>
        <v/>
      </c>
      <c r="X555">
        <f>HYPERLINK("https://klasma.github.io/Logging_STROMSUND/tillsyn/A 55612-2020.docx")</f>
        <v/>
      </c>
      <c r="Y555">
        <f>HYPERLINK("https://klasma.github.io/Logging_STROMSUND/tillsynsmail/A 55612-2020.docx")</f>
        <v/>
      </c>
    </row>
    <row r="556" ht="15" customHeight="1">
      <c r="A556" t="inlineStr">
        <is>
          <t>A 61189-2020</t>
        </is>
      </c>
      <c r="B556" s="1" t="n">
        <v>44155</v>
      </c>
      <c r="C556" s="1" t="n">
        <v>45182</v>
      </c>
      <c r="D556" t="inlineStr">
        <is>
          <t>JÄMTLANDS LÄN</t>
        </is>
      </c>
      <c r="E556" t="inlineStr">
        <is>
          <t>ÅRE</t>
        </is>
      </c>
      <c r="F556" t="inlineStr">
        <is>
          <t>Övriga Aktiebolag</t>
        </is>
      </c>
      <c r="G556" t="n">
        <v>26.5</v>
      </c>
      <c r="H556" t="n">
        <v>0</v>
      </c>
      <c r="I556" t="n">
        <v>0</v>
      </c>
      <c r="J556" t="n">
        <v>3</v>
      </c>
      <c r="K556" t="n">
        <v>0</v>
      </c>
      <c r="L556" t="n">
        <v>0</v>
      </c>
      <c r="M556" t="n">
        <v>0</v>
      </c>
      <c r="N556" t="n">
        <v>0</v>
      </c>
      <c r="O556" t="n">
        <v>3</v>
      </c>
      <c r="P556" t="n">
        <v>0</v>
      </c>
      <c r="Q556" t="n">
        <v>3</v>
      </c>
      <c r="R556" s="2" t="inlineStr">
        <is>
          <t>Gammelgransskål
Garnlav
Gränsticka</t>
        </is>
      </c>
      <c r="S556">
        <f>HYPERLINK("https://klasma.github.io/Logging_ARE/artfynd/A 61189-2020.xlsx")</f>
        <v/>
      </c>
      <c r="T556">
        <f>HYPERLINK("https://klasma.github.io/Logging_ARE/kartor/A 61189-2020.png")</f>
        <v/>
      </c>
      <c r="V556">
        <f>HYPERLINK("https://klasma.github.io/Logging_ARE/klagomål/A 61189-2020.docx")</f>
        <v/>
      </c>
      <c r="W556">
        <f>HYPERLINK("https://klasma.github.io/Logging_ARE/klagomålsmail/A 61189-2020.docx")</f>
        <v/>
      </c>
      <c r="X556">
        <f>HYPERLINK("https://klasma.github.io/Logging_ARE/tillsyn/A 61189-2020.docx")</f>
        <v/>
      </c>
      <c r="Y556">
        <f>HYPERLINK("https://klasma.github.io/Logging_ARE/tillsynsmail/A 61189-2020.docx")</f>
        <v/>
      </c>
    </row>
    <row r="557" ht="15" customHeight="1">
      <c r="A557" t="inlineStr">
        <is>
          <t>A 65147-2020</t>
        </is>
      </c>
      <c r="B557" s="1" t="n">
        <v>44172</v>
      </c>
      <c r="C557" s="1" t="n">
        <v>45182</v>
      </c>
      <c r="D557" t="inlineStr">
        <is>
          <t>JÄMTLANDS LÄN</t>
        </is>
      </c>
      <c r="E557" t="inlineStr">
        <is>
          <t>HÄRJEDALEN</t>
        </is>
      </c>
      <c r="G557" t="n">
        <v>5.9</v>
      </c>
      <c r="H557" t="n">
        <v>1</v>
      </c>
      <c r="I557" t="n">
        <v>0</v>
      </c>
      <c r="J557" t="n">
        <v>3</v>
      </c>
      <c r="K557" t="n">
        <v>0</v>
      </c>
      <c r="L557" t="n">
        <v>0</v>
      </c>
      <c r="M557" t="n">
        <v>0</v>
      </c>
      <c r="N557" t="n">
        <v>0</v>
      </c>
      <c r="O557" t="n">
        <v>3</v>
      </c>
      <c r="P557" t="n">
        <v>0</v>
      </c>
      <c r="Q557" t="n">
        <v>3</v>
      </c>
      <c r="R557" s="2" t="inlineStr">
        <is>
          <t>Blanksvart spiklav
Garnlav
Varglav</t>
        </is>
      </c>
      <c r="S557">
        <f>HYPERLINK("https://klasma.github.io/Logging_HARJEDALEN/artfynd/A 65147-2020.xlsx")</f>
        <v/>
      </c>
      <c r="T557">
        <f>HYPERLINK("https://klasma.github.io/Logging_HARJEDALEN/kartor/A 65147-2020.png")</f>
        <v/>
      </c>
      <c r="V557">
        <f>HYPERLINK("https://klasma.github.io/Logging_HARJEDALEN/klagomål/A 65147-2020.docx")</f>
        <v/>
      </c>
      <c r="W557">
        <f>HYPERLINK("https://klasma.github.io/Logging_HARJEDALEN/klagomålsmail/A 65147-2020.docx")</f>
        <v/>
      </c>
      <c r="X557">
        <f>HYPERLINK("https://klasma.github.io/Logging_HARJEDALEN/tillsyn/A 65147-2020.docx")</f>
        <v/>
      </c>
      <c r="Y557">
        <f>HYPERLINK("https://klasma.github.io/Logging_HARJEDALEN/tillsynsmail/A 65147-2020.docx")</f>
        <v/>
      </c>
    </row>
    <row r="558" ht="15" customHeight="1">
      <c r="A558" t="inlineStr">
        <is>
          <t>A 66555-2020</t>
        </is>
      </c>
      <c r="B558" s="1" t="n">
        <v>44179</v>
      </c>
      <c r="C558" s="1" t="n">
        <v>45182</v>
      </c>
      <c r="D558" t="inlineStr">
        <is>
          <t>JÄMTLANDS LÄN</t>
        </is>
      </c>
      <c r="E558" t="inlineStr">
        <is>
          <t>STRÖMSUND</t>
        </is>
      </c>
      <c r="F558" t="inlineStr">
        <is>
          <t>SCA</t>
        </is>
      </c>
      <c r="G558" t="n">
        <v>20.9</v>
      </c>
      <c r="H558" t="n">
        <v>0</v>
      </c>
      <c r="I558" t="n">
        <v>0</v>
      </c>
      <c r="J558" t="n">
        <v>3</v>
      </c>
      <c r="K558" t="n">
        <v>0</v>
      </c>
      <c r="L558" t="n">
        <v>0</v>
      </c>
      <c r="M558" t="n">
        <v>0</v>
      </c>
      <c r="N558" t="n">
        <v>0</v>
      </c>
      <c r="O558" t="n">
        <v>3</v>
      </c>
      <c r="P558" t="n">
        <v>0</v>
      </c>
      <c r="Q558" t="n">
        <v>3</v>
      </c>
      <c r="R558" s="2" t="inlineStr">
        <is>
          <t>Granticka
Harticka
Ullticka</t>
        </is>
      </c>
      <c r="S558">
        <f>HYPERLINK("https://klasma.github.io/Logging_STROMSUND/artfynd/A 66555-2020.xlsx")</f>
        <v/>
      </c>
      <c r="T558">
        <f>HYPERLINK("https://klasma.github.io/Logging_STROMSUND/kartor/A 66555-2020.png")</f>
        <v/>
      </c>
      <c r="V558">
        <f>HYPERLINK("https://klasma.github.io/Logging_STROMSUND/klagomål/A 66555-2020.docx")</f>
        <v/>
      </c>
      <c r="W558">
        <f>HYPERLINK("https://klasma.github.io/Logging_STROMSUND/klagomålsmail/A 66555-2020.docx")</f>
        <v/>
      </c>
      <c r="X558">
        <f>HYPERLINK("https://klasma.github.io/Logging_STROMSUND/tillsyn/A 66555-2020.docx")</f>
        <v/>
      </c>
      <c r="Y558">
        <f>HYPERLINK("https://klasma.github.io/Logging_STROMSUND/tillsynsmail/A 66555-2020.docx")</f>
        <v/>
      </c>
    </row>
    <row r="559" ht="15" customHeight="1">
      <c r="A559" t="inlineStr">
        <is>
          <t>A 67126-2020</t>
        </is>
      </c>
      <c r="B559" s="1" t="n">
        <v>44180</v>
      </c>
      <c r="C559" s="1" t="n">
        <v>45182</v>
      </c>
      <c r="D559" t="inlineStr">
        <is>
          <t>JÄMTLANDS LÄN</t>
        </is>
      </c>
      <c r="E559" t="inlineStr">
        <is>
          <t>HÄRJEDALEN</t>
        </is>
      </c>
      <c r="F559" t="inlineStr">
        <is>
          <t>Holmen skog AB</t>
        </is>
      </c>
      <c r="G559" t="n">
        <v>0.2</v>
      </c>
      <c r="H559" t="n">
        <v>0</v>
      </c>
      <c r="I559" t="n">
        <v>0</v>
      </c>
      <c r="J559" t="n">
        <v>3</v>
      </c>
      <c r="K559" t="n">
        <v>0</v>
      </c>
      <c r="L559" t="n">
        <v>0</v>
      </c>
      <c r="M559" t="n">
        <v>0</v>
      </c>
      <c r="N559" t="n">
        <v>0</v>
      </c>
      <c r="O559" t="n">
        <v>3</v>
      </c>
      <c r="P559" t="n">
        <v>0</v>
      </c>
      <c r="Q559" t="n">
        <v>3</v>
      </c>
      <c r="R559" s="2" t="inlineStr">
        <is>
          <t>Granticka
Mörk kolflarnlav
Ullticka</t>
        </is>
      </c>
      <c r="S559">
        <f>HYPERLINK("https://klasma.github.io/Logging_HARJEDALEN/artfynd/A 67126-2020.xlsx")</f>
        <v/>
      </c>
      <c r="T559">
        <f>HYPERLINK("https://klasma.github.io/Logging_HARJEDALEN/kartor/A 67126-2020.png")</f>
        <v/>
      </c>
      <c r="V559">
        <f>HYPERLINK("https://klasma.github.io/Logging_HARJEDALEN/klagomål/A 67126-2020.docx")</f>
        <v/>
      </c>
      <c r="W559">
        <f>HYPERLINK("https://klasma.github.io/Logging_HARJEDALEN/klagomålsmail/A 67126-2020.docx")</f>
        <v/>
      </c>
      <c r="X559">
        <f>HYPERLINK("https://klasma.github.io/Logging_HARJEDALEN/tillsyn/A 67126-2020.docx")</f>
        <v/>
      </c>
      <c r="Y559">
        <f>HYPERLINK("https://klasma.github.io/Logging_HARJEDALEN/tillsynsmail/A 67126-2020.docx")</f>
        <v/>
      </c>
    </row>
    <row r="560" ht="15" customHeight="1">
      <c r="A560" t="inlineStr">
        <is>
          <t>A 630-2021</t>
        </is>
      </c>
      <c r="B560" s="1" t="n">
        <v>44203</v>
      </c>
      <c r="C560" s="1" t="n">
        <v>45182</v>
      </c>
      <c r="D560" t="inlineStr">
        <is>
          <t>JÄMTLANDS LÄN</t>
        </is>
      </c>
      <c r="E560" t="inlineStr">
        <is>
          <t>STRÖMSUND</t>
        </is>
      </c>
      <c r="F560" t="inlineStr">
        <is>
          <t>SCA</t>
        </is>
      </c>
      <c r="G560" t="n">
        <v>54.6</v>
      </c>
      <c r="H560" t="n">
        <v>0</v>
      </c>
      <c r="I560" t="n">
        <v>1</v>
      </c>
      <c r="J560" t="n">
        <v>1</v>
      </c>
      <c r="K560" t="n">
        <v>1</v>
      </c>
      <c r="L560" t="n">
        <v>0</v>
      </c>
      <c r="M560" t="n">
        <v>0</v>
      </c>
      <c r="N560" t="n">
        <v>0</v>
      </c>
      <c r="O560" t="n">
        <v>2</v>
      </c>
      <c r="P560" t="n">
        <v>1</v>
      </c>
      <c r="Q560" t="n">
        <v>3</v>
      </c>
      <c r="R560" s="2" t="inlineStr">
        <is>
          <t>Norsk näverlav
Gränsticka
Sotlav</t>
        </is>
      </c>
      <c r="S560">
        <f>HYPERLINK("https://klasma.github.io/Logging_STROMSUND/artfynd/A 630-2021.xlsx")</f>
        <v/>
      </c>
      <c r="T560">
        <f>HYPERLINK("https://klasma.github.io/Logging_STROMSUND/kartor/A 630-2021.png")</f>
        <v/>
      </c>
      <c r="V560">
        <f>HYPERLINK("https://klasma.github.io/Logging_STROMSUND/klagomål/A 630-2021.docx")</f>
        <v/>
      </c>
      <c r="W560">
        <f>HYPERLINK("https://klasma.github.io/Logging_STROMSUND/klagomålsmail/A 630-2021.docx")</f>
        <v/>
      </c>
      <c r="X560">
        <f>HYPERLINK("https://klasma.github.io/Logging_STROMSUND/tillsyn/A 630-2021.docx")</f>
        <v/>
      </c>
      <c r="Y560">
        <f>HYPERLINK("https://klasma.github.io/Logging_STROMSUND/tillsynsmail/A 630-2021.docx")</f>
        <v/>
      </c>
    </row>
    <row r="561" ht="15" customHeight="1">
      <c r="A561" t="inlineStr">
        <is>
          <t>A 7877-2021</t>
        </is>
      </c>
      <c r="B561" s="1" t="n">
        <v>44242</v>
      </c>
      <c r="C561" s="1" t="n">
        <v>45182</v>
      </c>
      <c r="D561" t="inlineStr">
        <is>
          <t>JÄMTLANDS LÄN</t>
        </is>
      </c>
      <c r="E561" t="inlineStr">
        <is>
          <t>ÖSTERSUND</t>
        </is>
      </c>
      <c r="G561" t="n">
        <v>18.2</v>
      </c>
      <c r="H561" t="n">
        <v>2</v>
      </c>
      <c r="I561" t="n">
        <v>2</v>
      </c>
      <c r="J561" t="n">
        <v>0</v>
      </c>
      <c r="K561" t="n">
        <v>1</v>
      </c>
      <c r="L561" t="n">
        <v>0</v>
      </c>
      <c r="M561" t="n">
        <v>0</v>
      </c>
      <c r="N561" t="n">
        <v>0</v>
      </c>
      <c r="O561" t="n">
        <v>1</v>
      </c>
      <c r="P561" t="n">
        <v>1</v>
      </c>
      <c r="Q561" t="n">
        <v>3</v>
      </c>
      <c r="R561" s="2" t="inlineStr">
        <is>
          <t>Knärot
Grönpyrola
Spindelblomster</t>
        </is>
      </c>
      <c r="S561">
        <f>HYPERLINK("https://klasma.github.io/Logging_OSTERSUND/artfynd/A 7877-2021.xlsx")</f>
        <v/>
      </c>
      <c r="T561">
        <f>HYPERLINK("https://klasma.github.io/Logging_OSTERSUND/kartor/A 7877-2021.png")</f>
        <v/>
      </c>
      <c r="U561">
        <f>HYPERLINK("https://klasma.github.io/Logging_OSTERSUND/knärot/A 7877-2021.png")</f>
        <v/>
      </c>
      <c r="V561">
        <f>HYPERLINK("https://klasma.github.io/Logging_OSTERSUND/klagomål/A 7877-2021.docx")</f>
        <v/>
      </c>
      <c r="W561">
        <f>HYPERLINK("https://klasma.github.io/Logging_OSTERSUND/klagomålsmail/A 7877-2021.docx")</f>
        <v/>
      </c>
      <c r="X561">
        <f>HYPERLINK("https://klasma.github.io/Logging_OSTERSUND/tillsyn/A 7877-2021.docx")</f>
        <v/>
      </c>
      <c r="Y561">
        <f>HYPERLINK("https://klasma.github.io/Logging_OSTERSUND/tillsynsmail/A 7877-2021.docx")</f>
        <v/>
      </c>
    </row>
    <row r="562" ht="15" customHeight="1">
      <c r="A562" t="inlineStr">
        <is>
          <t>A 10773-2021</t>
        </is>
      </c>
      <c r="B562" s="1" t="n">
        <v>44259</v>
      </c>
      <c r="C562" s="1" t="n">
        <v>45182</v>
      </c>
      <c r="D562" t="inlineStr">
        <is>
          <t>JÄMTLANDS LÄN</t>
        </is>
      </c>
      <c r="E562" t="inlineStr">
        <is>
          <t>ÅRE</t>
        </is>
      </c>
      <c r="G562" t="n">
        <v>22.9</v>
      </c>
      <c r="H562" t="n">
        <v>1</v>
      </c>
      <c r="I562" t="n">
        <v>0</v>
      </c>
      <c r="J562" t="n">
        <v>3</v>
      </c>
      <c r="K562" t="n">
        <v>0</v>
      </c>
      <c r="L562" t="n">
        <v>0</v>
      </c>
      <c r="M562" t="n">
        <v>0</v>
      </c>
      <c r="N562" t="n">
        <v>0</v>
      </c>
      <c r="O562" t="n">
        <v>3</v>
      </c>
      <c r="P562" t="n">
        <v>0</v>
      </c>
      <c r="Q562" t="n">
        <v>3</v>
      </c>
      <c r="R562" s="2" t="inlineStr">
        <is>
          <t>Garnlav
Granticka
Tretåig hackspett</t>
        </is>
      </c>
      <c r="S562">
        <f>HYPERLINK("https://klasma.github.io/Logging_ARE/artfynd/A 10773-2021.xlsx")</f>
        <v/>
      </c>
      <c r="T562">
        <f>HYPERLINK("https://klasma.github.io/Logging_ARE/kartor/A 10773-2021.png")</f>
        <v/>
      </c>
      <c r="V562">
        <f>HYPERLINK("https://klasma.github.io/Logging_ARE/klagomål/A 10773-2021.docx")</f>
        <v/>
      </c>
      <c r="W562">
        <f>HYPERLINK("https://klasma.github.io/Logging_ARE/klagomålsmail/A 10773-2021.docx")</f>
        <v/>
      </c>
      <c r="X562">
        <f>HYPERLINK("https://klasma.github.io/Logging_ARE/tillsyn/A 10773-2021.docx")</f>
        <v/>
      </c>
      <c r="Y562">
        <f>HYPERLINK("https://klasma.github.io/Logging_ARE/tillsynsmail/A 10773-2021.docx")</f>
        <v/>
      </c>
    </row>
    <row r="563" ht="15" customHeight="1">
      <c r="A563" t="inlineStr">
        <is>
          <t>A 14198-2021</t>
        </is>
      </c>
      <c r="B563" s="1" t="n">
        <v>44278</v>
      </c>
      <c r="C563" s="1" t="n">
        <v>45182</v>
      </c>
      <c r="D563" t="inlineStr">
        <is>
          <t>JÄMTLANDS LÄN</t>
        </is>
      </c>
      <c r="E563" t="inlineStr">
        <is>
          <t>ÅRE</t>
        </is>
      </c>
      <c r="G563" t="n">
        <v>28.4</v>
      </c>
      <c r="H563" t="n">
        <v>1</v>
      </c>
      <c r="I563" t="n">
        <v>1</v>
      </c>
      <c r="J563" t="n">
        <v>2</v>
      </c>
      <c r="K563" t="n">
        <v>0</v>
      </c>
      <c r="L563" t="n">
        <v>0</v>
      </c>
      <c r="M563" t="n">
        <v>0</v>
      </c>
      <c r="N563" t="n">
        <v>0</v>
      </c>
      <c r="O563" t="n">
        <v>2</v>
      </c>
      <c r="P563" t="n">
        <v>0</v>
      </c>
      <c r="Q563" t="n">
        <v>3</v>
      </c>
      <c r="R563" s="2" t="inlineStr">
        <is>
          <t>Skrovellav
Tretåig hackspett
Stuplav</t>
        </is>
      </c>
      <c r="S563">
        <f>HYPERLINK("https://klasma.github.io/Logging_ARE/artfynd/A 14198-2021.xlsx")</f>
        <v/>
      </c>
      <c r="T563">
        <f>HYPERLINK("https://klasma.github.io/Logging_ARE/kartor/A 14198-2021.png")</f>
        <v/>
      </c>
      <c r="V563">
        <f>HYPERLINK("https://klasma.github.io/Logging_ARE/klagomål/A 14198-2021.docx")</f>
        <v/>
      </c>
      <c r="W563">
        <f>HYPERLINK("https://klasma.github.io/Logging_ARE/klagomålsmail/A 14198-2021.docx")</f>
        <v/>
      </c>
      <c r="X563">
        <f>HYPERLINK("https://klasma.github.io/Logging_ARE/tillsyn/A 14198-2021.docx")</f>
        <v/>
      </c>
      <c r="Y563">
        <f>HYPERLINK("https://klasma.github.io/Logging_ARE/tillsynsmail/A 14198-2021.docx")</f>
        <v/>
      </c>
    </row>
    <row r="564" ht="15" customHeight="1">
      <c r="A564" t="inlineStr">
        <is>
          <t>A 14599-2021</t>
        </is>
      </c>
      <c r="B564" s="1" t="n">
        <v>44279</v>
      </c>
      <c r="C564" s="1" t="n">
        <v>45182</v>
      </c>
      <c r="D564" t="inlineStr">
        <is>
          <t>JÄMTLANDS LÄN</t>
        </is>
      </c>
      <c r="E564" t="inlineStr">
        <is>
          <t>BERG</t>
        </is>
      </c>
      <c r="G564" t="n">
        <v>25.7</v>
      </c>
      <c r="H564" t="n">
        <v>1</v>
      </c>
      <c r="I564" t="n">
        <v>0</v>
      </c>
      <c r="J564" t="n">
        <v>3</v>
      </c>
      <c r="K564" t="n">
        <v>0</v>
      </c>
      <c r="L564" t="n">
        <v>0</v>
      </c>
      <c r="M564" t="n">
        <v>0</v>
      </c>
      <c r="N564" t="n">
        <v>0</v>
      </c>
      <c r="O564" t="n">
        <v>3</v>
      </c>
      <c r="P564" t="n">
        <v>0</v>
      </c>
      <c r="Q564" t="n">
        <v>3</v>
      </c>
      <c r="R564" s="2" t="inlineStr">
        <is>
          <t>Garnlav
Harticka
Tretåig hackspett</t>
        </is>
      </c>
      <c r="S564">
        <f>HYPERLINK("https://klasma.github.io/Logging_BERG/artfynd/A 14599-2021.xlsx")</f>
        <v/>
      </c>
      <c r="T564">
        <f>HYPERLINK("https://klasma.github.io/Logging_BERG/kartor/A 14599-2021.png")</f>
        <v/>
      </c>
      <c r="V564">
        <f>HYPERLINK("https://klasma.github.io/Logging_BERG/klagomål/A 14599-2021.docx")</f>
        <v/>
      </c>
      <c r="W564">
        <f>HYPERLINK("https://klasma.github.io/Logging_BERG/klagomålsmail/A 14599-2021.docx")</f>
        <v/>
      </c>
      <c r="X564">
        <f>HYPERLINK("https://klasma.github.io/Logging_BERG/tillsyn/A 14599-2021.docx")</f>
        <v/>
      </c>
      <c r="Y564">
        <f>HYPERLINK("https://klasma.github.io/Logging_BERG/tillsynsmail/A 14599-2021.docx")</f>
        <v/>
      </c>
    </row>
    <row r="565" ht="15" customHeight="1">
      <c r="A565" t="inlineStr">
        <is>
          <t>A 16830-2021</t>
        </is>
      </c>
      <c r="B565" s="1" t="n">
        <v>44293</v>
      </c>
      <c r="C565" s="1" t="n">
        <v>45182</v>
      </c>
      <c r="D565" t="inlineStr">
        <is>
          <t>JÄMTLANDS LÄN</t>
        </is>
      </c>
      <c r="E565" t="inlineStr">
        <is>
          <t>BERG</t>
        </is>
      </c>
      <c r="G565" t="n">
        <v>2</v>
      </c>
      <c r="H565" t="n">
        <v>0</v>
      </c>
      <c r="I565" t="n">
        <v>0</v>
      </c>
      <c r="J565" t="n">
        <v>3</v>
      </c>
      <c r="K565" t="n">
        <v>0</v>
      </c>
      <c r="L565" t="n">
        <v>0</v>
      </c>
      <c r="M565" t="n">
        <v>0</v>
      </c>
      <c r="N565" t="n">
        <v>0</v>
      </c>
      <c r="O565" t="n">
        <v>3</v>
      </c>
      <c r="P565" t="n">
        <v>0</v>
      </c>
      <c r="Q565" t="n">
        <v>3</v>
      </c>
      <c r="R565" s="2" t="inlineStr">
        <is>
          <t>Garnlav
Granticka
Vitgrynig nållav</t>
        </is>
      </c>
      <c r="S565">
        <f>HYPERLINK("https://klasma.github.io/Logging_BERG/artfynd/A 16830-2021.xlsx")</f>
        <v/>
      </c>
      <c r="T565">
        <f>HYPERLINK("https://klasma.github.io/Logging_BERG/kartor/A 16830-2021.png")</f>
        <v/>
      </c>
      <c r="V565">
        <f>HYPERLINK("https://klasma.github.io/Logging_BERG/klagomål/A 16830-2021.docx")</f>
        <v/>
      </c>
      <c r="W565">
        <f>HYPERLINK("https://klasma.github.io/Logging_BERG/klagomålsmail/A 16830-2021.docx")</f>
        <v/>
      </c>
      <c r="X565">
        <f>HYPERLINK("https://klasma.github.io/Logging_BERG/tillsyn/A 16830-2021.docx")</f>
        <v/>
      </c>
      <c r="Y565">
        <f>HYPERLINK("https://klasma.github.io/Logging_BERG/tillsynsmail/A 16830-2021.docx")</f>
        <v/>
      </c>
    </row>
    <row r="566" ht="15" customHeight="1">
      <c r="A566" t="inlineStr">
        <is>
          <t>A 23572-2021</t>
        </is>
      </c>
      <c r="B566" s="1" t="n">
        <v>44334</v>
      </c>
      <c r="C566" s="1" t="n">
        <v>45182</v>
      </c>
      <c r="D566" t="inlineStr">
        <is>
          <t>JÄMTLANDS LÄN</t>
        </is>
      </c>
      <c r="E566" t="inlineStr">
        <is>
          <t>ÅRE</t>
        </is>
      </c>
      <c r="G566" t="n">
        <v>1.6</v>
      </c>
      <c r="H566" t="n">
        <v>0</v>
      </c>
      <c r="I566" t="n">
        <v>1</v>
      </c>
      <c r="J566" t="n">
        <v>2</v>
      </c>
      <c r="K566" t="n">
        <v>0</v>
      </c>
      <c r="L566" t="n">
        <v>0</v>
      </c>
      <c r="M566" t="n">
        <v>0</v>
      </c>
      <c r="N566" t="n">
        <v>0</v>
      </c>
      <c r="O566" t="n">
        <v>2</v>
      </c>
      <c r="P566" t="n">
        <v>0</v>
      </c>
      <c r="Q566" t="n">
        <v>3</v>
      </c>
      <c r="R566" s="2" t="inlineStr">
        <is>
          <t>Garnlav
Skrovellav
Stuplav</t>
        </is>
      </c>
      <c r="S566">
        <f>HYPERLINK("https://klasma.github.io/Logging_ARE/artfynd/A 23572-2021.xlsx")</f>
        <v/>
      </c>
      <c r="T566">
        <f>HYPERLINK("https://klasma.github.io/Logging_ARE/kartor/A 23572-2021.png")</f>
        <v/>
      </c>
      <c r="V566">
        <f>HYPERLINK("https://klasma.github.io/Logging_ARE/klagomål/A 23572-2021.docx")</f>
        <v/>
      </c>
      <c r="W566">
        <f>HYPERLINK("https://klasma.github.io/Logging_ARE/klagomålsmail/A 23572-2021.docx")</f>
        <v/>
      </c>
      <c r="X566">
        <f>HYPERLINK("https://klasma.github.io/Logging_ARE/tillsyn/A 23572-2021.docx")</f>
        <v/>
      </c>
      <c r="Y566">
        <f>HYPERLINK("https://klasma.github.io/Logging_ARE/tillsynsmail/A 23572-2021.docx")</f>
        <v/>
      </c>
    </row>
    <row r="567" ht="15" customHeight="1">
      <c r="A567" t="inlineStr">
        <is>
          <t>A 26102-2021</t>
        </is>
      </c>
      <c r="B567" s="1" t="n">
        <v>44344</v>
      </c>
      <c r="C567" s="1" t="n">
        <v>45182</v>
      </c>
      <c r="D567" t="inlineStr">
        <is>
          <t>JÄMTLANDS LÄN</t>
        </is>
      </c>
      <c r="E567" t="inlineStr">
        <is>
          <t>BRÄCKE</t>
        </is>
      </c>
      <c r="F567" t="inlineStr">
        <is>
          <t>SCA</t>
        </is>
      </c>
      <c r="G567" t="n">
        <v>21.3</v>
      </c>
      <c r="H567" t="n">
        <v>1</v>
      </c>
      <c r="I567" t="n">
        <v>1</v>
      </c>
      <c r="J567" t="n">
        <v>1</v>
      </c>
      <c r="K567" t="n">
        <v>0</v>
      </c>
      <c r="L567" t="n">
        <v>0</v>
      </c>
      <c r="M567" t="n">
        <v>0</v>
      </c>
      <c r="N567" t="n">
        <v>0</v>
      </c>
      <c r="O567" t="n">
        <v>1</v>
      </c>
      <c r="P567" t="n">
        <v>0</v>
      </c>
      <c r="Q567" t="n">
        <v>3</v>
      </c>
      <c r="R567" s="2" t="inlineStr">
        <is>
          <t>Lunglav
Ögonpyrola
Revlummer</t>
        </is>
      </c>
      <c r="S567">
        <f>HYPERLINK("https://klasma.github.io/Logging_BRACKE/artfynd/A 26102-2021.xlsx")</f>
        <v/>
      </c>
      <c r="T567">
        <f>HYPERLINK("https://klasma.github.io/Logging_BRACKE/kartor/A 26102-2021.png")</f>
        <v/>
      </c>
      <c r="V567">
        <f>HYPERLINK("https://klasma.github.io/Logging_BRACKE/klagomål/A 26102-2021.docx")</f>
        <v/>
      </c>
      <c r="W567">
        <f>HYPERLINK("https://klasma.github.io/Logging_BRACKE/klagomålsmail/A 26102-2021.docx")</f>
        <v/>
      </c>
      <c r="X567">
        <f>HYPERLINK("https://klasma.github.io/Logging_BRACKE/tillsyn/A 26102-2021.docx")</f>
        <v/>
      </c>
      <c r="Y567">
        <f>HYPERLINK("https://klasma.github.io/Logging_BRACKE/tillsynsmail/A 26102-2021.docx")</f>
        <v/>
      </c>
    </row>
    <row r="568" ht="15" customHeight="1">
      <c r="A568" t="inlineStr">
        <is>
          <t>A 33577-2021</t>
        </is>
      </c>
      <c r="B568" s="1" t="n">
        <v>44377</v>
      </c>
      <c r="C568" s="1" t="n">
        <v>45182</v>
      </c>
      <c r="D568" t="inlineStr">
        <is>
          <t>JÄMTLANDS LÄN</t>
        </is>
      </c>
      <c r="E568" t="inlineStr">
        <is>
          <t>STRÖMSUND</t>
        </is>
      </c>
      <c r="F568" t="inlineStr">
        <is>
          <t>SCA</t>
        </is>
      </c>
      <c r="G568" t="n">
        <v>6.5</v>
      </c>
      <c r="H568" t="n">
        <v>1</v>
      </c>
      <c r="I568" t="n">
        <v>0</v>
      </c>
      <c r="J568" t="n">
        <v>2</v>
      </c>
      <c r="K568" t="n">
        <v>1</v>
      </c>
      <c r="L568" t="n">
        <v>0</v>
      </c>
      <c r="M568" t="n">
        <v>0</v>
      </c>
      <c r="N568" t="n">
        <v>0</v>
      </c>
      <c r="O568" t="n">
        <v>3</v>
      </c>
      <c r="P568" t="n">
        <v>1</v>
      </c>
      <c r="Q568" t="n">
        <v>3</v>
      </c>
      <c r="R568" s="2" t="inlineStr">
        <is>
          <t>Knärot
Gammelgransskål
Lunglav</t>
        </is>
      </c>
      <c r="S568">
        <f>HYPERLINK("https://klasma.github.io/Logging_STROMSUND/artfynd/A 33577-2021.xlsx")</f>
        <v/>
      </c>
      <c r="T568">
        <f>HYPERLINK("https://klasma.github.io/Logging_STROMSUND/kartor/A 33577-2021.png")</f>
        <v/>
      </c>
      <c r="U568">
        <f>HYPERLINK("https://klasma.github.io/Logging_STROMSUND/knärot/A 33577-2021.png")</f>
        <v/>
      </c>
      <c r="V568">
        <f>HYPERLINK("https://klasma.github.io/Logging_STROMSUND/klagomål/A 33577-2021.docx")</f>
        <v/>
      </c>
      <c r="W568">
        <f>HYPERLINK("https://klasma.github.io/Logging_STROMSUND/klagomålsmail/A 33577-2021.docx")</f>
        <v/>
      </c>
      <c r="X568">
        <f>HYPERLINK("https://klasma.github.io/Logging_STROMSUND/tillsyn/A 33577-2021.docx")</f>
        <v/>
      </c>
      <c r="Y568">
        <f>HYPERLINK("https://klasma.github.io/Logging_STROMSUND/tillsynsmail/A 33577-2021.docx")</f>
        <v/>
      </c>
    </row>
    <row r="569" ht="15" customHeight="1">
      <c r="A569" t="inlineStr">
        <is>
          <t>A 37061-2021</t>
        </is>
      </c>
      <c r="B569" s="1" t="n">
        <v>44393</v>
      </c>
      <c r="C569" s="1" t="n">
        <v>45182</v>
      </c>
      <c r="D569" t="inlineStr">
        <is>
          <t>JÄMTLANDS LÄN</t>
        </is>
      </c>
      <c r="E569" t="inlineStr">
        <is>
          <t>BRÄCKE</t>
        </is>
      </c>
      <c r="F569" t="inlineStr">
        <is>
          <t>SCA</t>
        </is>
      </c>
      <c r="G569" t="n">
        <v>3.4</v>
      </c>
      <c r="H569" t="n">
        <v>1</v>
      </c>
      <c r="I569" t="n">
        <v>1</v>
      </c>
      <c r="J569" t="n">
        <v>1</v>
      </c>
      <c r="K569" t="n">
        <v>1</v>
      </c>
      <c r="L569" t="n">
        <v>0</v>
      </c>
      <c r="M569" t="n">
        <v>0</v>
      </c>
      <c r="N569" t="n">
        <v>0</v>
      </c>
      <c r="O569" t="n">
        <v>2</v>
      </c>
      <c r="P569" t="n">
        <v>1</v>
      </c>
      <c r="Q569" t="n">
        <v>3</v>
      </c>
      <c r="R569" s="2" t="inlineStr">
        <is>
          <t>Knärot
Lunglav
Stuplav</t>
        </is>
      </c>
      <c r="S569">
        <f>HYPERLINK("https://klasma.github.io/Logging_BRACKE/artfynd/A 37061-2021.xlsx")</f>
        <v/>
      </c>
      <c r="T569">
        <f>HYPERLINK("https://klasma.github.io/Logging_BRACKE/kartor/A 37061-2021.png")</f>
        <v/>
      </c>
      <c r="U569">
        <f>HYPERLINK("https://klasma.github.io/Logging_BRACKE/knärot/A 37061-2021.png")</f>
        <v/>
      </c>
      <c r="V569">
        <f>HYPERLINK("https://klasma.github.io/Logging_BRACKE/klagomål/A 37061-2021.docx")</f>
        <v/>
      </c>
      <c r="W569">
        <f>HYPERLINK("https://klasma.github.io/Logging_BRACKE/klagomålsmail/A 37061-2021.docx")</f>
        <v/>
      </c>
      <c r="X569">
        <f>HYPERLINK("https://klasma.github.io/Logging_BRACKE/tillsyn/A 37061-2021.docx")</f>
        <v/>
      </c>
      <c r="Y569">
        <f>HYPERLINK("https://klasma.github.io/Logging_BRACKE/tillsynsmail/A 37061-2021.docx")</f>
        <v/>
      </c>
    </row>
    <row r="570" ht="15" customHeight="1">
      <c r="A570" t="inlineStr">
        <is>
          <t>A 41065-2021</t>
        </is>
      </c>
      <c r="B570" s="1" t="n">
        <v>44421</v>
      </c>
      <c r="C570" s="1" t="n">
        <v>45182</v>
      </c>
      <c r="D570" t="inlineStr">
        <is>
          <t>JÄMTLANDS LÄN</t>
        </is>
      </c>
      <c r="E570" t="inlineStr">
        <is>
          <t>RAGUNDA</t>
        </is>
      </c>
      <c r="F570" t="inlineStr">
        <is>
          <t>SCA</t>
        </is>
      </c>
      <c r="G570" t="n">
        <v>1.6</v>
      </c>
      <c r="H570" t="n">
        <v>0</v>
      </c>
      <c r="I570" t="n">
        <v>1</v>
      </c>
      <c r="J570" t="n">
        <v>2</v>
      </c>
      <c r="K570" t="n">
        <v>0</v>
      </c>
      <c r="L570" t="n">
        <v>0</v>
      </c>
      <c r="M570" t="n">
        <v>0</v>
      </c>
      <c r="N570" t="n">
        <v>0</v>
      </c>
      <c r="O570" t="n">
        <v>2</v>
      </c>
      <c r="P570" t="n">
        <v>0</v>
      </c>
      <c r="Q570" t="n">
        <v>3</v>
      </c>
      <c r="R570" s="2" t="inlineStr">
        <is>
          <t>Kolflarnlav
Lunglav
Stuplav</t>
        </is>
      </c>
      <c r="S570">
        <f>HYPERLINK("https://klasma.github.io/Logging_RAGUNDA/artfynd/A 41065-2021.xlsx")</f>
        <v/>
      </c>
      <c r="T570">
        <f>HYPERLINK("https://klasma.github.io/Logging_RAGUNDA/kartor/A 41065-2021.png")</f>
        <v/>
      </c>
      <c r="V570">
        <f>HYPERLINK("https://klasma.github.io/Logging_RAGUNDA/klagomål/A 41065-2021.docx")</f>
        <v/>
      </c>
      <c r="W570">
        <f>HYPERLINK("https://klasma.github.io/Logging_RAGUNDA/klagomålsmail/A 41065-2021.docx")</f>
        <v/>
      </c>
      <c r="X570">
        <f>HYPERLINK("https://klasma.github.io/Logging_RAGUNDA/tillsyn/A 41065-2021.docx")</f>
        <v/>
      </c>
      <c r="Y570">
        <f>HYPERLINK("https://klasma.github.io/Logging_RAGUNDA/tillsynsmail/A 41065-2021.docx")</f>
        <v/>
      </c>
    </row>
    <row r="571" ht="15" customHeight="1">
      <c r="A571" t="inlineStr">
        <is>
          <t>A 53354-2021</t>
        </is>
      </c>
      <c r="B571" s="1" t="n">
        <v>44468</v>
      </c>
      <c r="C571" s="1" t="n">
        <v>45182</v>
      </c>
      <c r="D571" t="inlineStr">
        <is>
          <t>JÄMTLANDS LÄN</t>
        </is>
      </c>
      <c r="E571" t="inlineStr">
        <is>
          <t>KROKOM</t>
        </is>
      </c>
      <c r="F571" t="inlineStr">
        <is>
          <t>Kyrkan</t>
        </is>
      </c>
      <c r="G571" t="n">
        <v>7.8</v>
      </c>
      <c r="H571" t="n">
        <v>0</v>
      </c>
      <c r="I571" t="n">
        <v>1</v>
      </c>
      <c r="J571" t="n">
        <v>2</v>
      </c>
      <c r="K571" t="n">
        <v>0</v>
      </c>
      <c r="L571" t="n">
        <v>0</v>
      </c>
      <c r="M571" t="n">
        <v>0</v>
      </c>
      <c r="N571" t="n">
        <v>0</v>
      </c>
      <c r="O571" t="n">
        <v>2</v>
      </c>
      <c r="P571" t="n">
        <v>0</v>
      </c>
      <c r="Q571" t="n">
        <v>3</v>
      </c>
      <c r="R571" s="2" t="inlineStr">
        <is>
          <t>Granticka
Lunglav
Stuplav</t>
        </is>
      </c>
      <c r="S571">
        <f>HYPERLINK("https://klasma.github.io/Logging_KROKOM/artfynd/A 53354-2021.xlsx")</f>
        <v/>
      </c>
      <c r="T571">
        <f>HYPERLINK("https://klasma.github.io/Logging_KROKOM/kartor/A 53354-2021.png")</f>
        <v/>
      </c>
      <c r="V571">
        <f>HYPERLINK("https://klasma.github.io/Logging_KROKOM/klagomål/A 53354-2021.docx")</f>
        <v/>
      </c>
      <c r="W571">
        <f>HYPERLINK("https://klasma.github.io/Logging_KROKOM/klagomålsmail/A 53354-2021.docx")</f>
        <v/>
      </c>
      <c r="X571">
        <f>HYPERLINK("https://klasma.github.io/Logging_KROKOM/tillsyn/A 53354-2021.docx")</f>
        <v/>
      </c>
      <c r="Y571">
        <f>HYPERLINK("https://klasma.github.io/Logging_KROKOM/tillsynsmail/A 53354-2021.docx")</f>
        <v/>
      </c>
    </row>
    <row r="572" ht="15" customHeight="1">
      <c r="A572" t="inlineStr">
        <is>
          <t>A 55394-2021</t>
        </is>
      </c>
      <c r="B572" s="1" t="n">
        <v>44475</v>
      </c>
      <c r="C572" s="1" t="n">
        <v>45182</v>
      </c>
      <c r="D572" t="inlineStr">
        <is>
          <t>JÄMTLANDS LÄN</t>
        </is>
      </c>
      <c r="E572" t="inlineStr">
        <is>
          <t>HÄRJEDALEN</t>
        </is>
      </c>
      <c r="G572" t="n">
        <v>2.7</v>
      </c>
      <c r="H572" t="n">
        <v>1</v>
      </c>
      <c r="I572" t="n">
        <v>0</v>
      </c>
      <c r="J572" t="n">
        <v>3</v>
      </c>
      <c r="K572" t="n">
        <v>0</v>
      </c>
      <c r="L572" t="n">
        <v>0</v>
      </c>
      <c r="M572" t="n">
        <v>0</v>
      </c>
      <c r="N572" t="n">
        <v>0</v>
      </c>
      <c r="O572" t="n">
        <v>3</v>
      </c>
      <c r="P572" t="n">
        <v>0</v>
      </c>
      <c r="Q572" t="n">
        <v>3</v>
      </c>
      <c r="R572" s="2" t="inlineStr">
        <is>
          <t>Blanksvart spiklav
Varglav
Vedflamlav</t>
        </is>
      </c>
      <c r="S572">
        <f>HYPERLINK("https://klasma.github.io/Logging_HARJEDALEN/artfynd/A 55394-2021.xlsx")</f>
        <v/>
      </c>
      <c r="T572">
        <f>HYPERLINK("https://klasma.github.io/Logging_HARJEDALEN/kartor/A 55394-2021.png")</f>
        <v/>
      </c>
      <c r="V572">
        <f>HYPERLINK("https://klasma.github.io/Logging_HARJEDALEN/klagomål/A 55394-2021.docx")</f>
        <v/>
      </c>
      <c r="W572">
        <f>HYPERLINK("https://klasma.github.io/Logging_HARJEDALEN/klagomålsmail/A 55394-2021.docx")</f>
        <v/>
      </c>
      <c r="X572">
        <f>HYPERLINK("https://klasma.github.io/Logging_HARJEDALEN/tillsyn/A 55394-2021.docx")</f>
        <v/>
      </c>
      <c r="Y572">
        <f>HYPERLINK("https://klasma.github.io/Logging_HARJEDALEN/tillsynsmail/A 55394-2021.docx")</f>
        <v/>
      </c>
    </row>
    <row r="573" ht="15" customHeight="1">
      <c r="A573" t="inlineStr">
        <is>
          <t>A 55244-2021</t>
        </is>
      </c>
      <c r="B573" s="1" t="n">
        <v>44475</v>
      </c>
      <c r="C573" s="1" t="n">
        <v>45182</v>
      </c>
      <c r="D573" t="inlineStr">
        <is>
          <t>JÄMTLANDS LÄN</t>
        </is>
      </c>
      <c r="E573" t="inlineStr">
        <is>
          <t>HÄRJEDALEN</t>
        </is>
      </c>
      <c r="G573" t="n">
        <v>1.6</v>
      </c>
      <c r="H573" t="n">
        <v>1</v>
      </c>
      <c r="I573" t="n">
        <v>0</v>
      </c>
      <c r="J573" t="n">
        <v>3</v>
      </c>
      <c r="K573" t="n">
        <v>0</v>
      </c>
      <c r="L573" t="n">
        <v>0</v>
      </c>
      <c r="M573" t="n">
        <v>0</v>
      </c>
      <c r="N573" t="n">
        <v>0</v>
      </c>
      <c r="O573" t="n">
        <v>3</v>
      </c>
      <c r="P573" t="n">
        <v>0</v>
      </c>
      <c r="Q573" t="n">
        <v>3</v>
      </c>
      <c r="R573" s="2" t="inlineStr">
        <is>
          <t>Tallticka
Varglav
Vedflamlav</t>
        </is>
      </c>
      <c r="S573">
        <f>HYPERLINK("https://klasma.github.io/Logging_HARJEDALEN/artfynd/A 55244-2021.xlsx")</f>
        <v/>
      </c>
      <c r="T573">
        <f>HYPERLINK("https://klasma.github.io/Logging_HARJEDALEN/kartor/A 55244-2021.png")</f>
        <v/>
      </c>
      <c r="V573">
        <f>HYPERLINK("https://klasma.github.io/Logging_HARJEDALEN/klagomål/A 55244-2021.docx")</f>
        <v/>
      </c>
      <c r="W573">
        <f>HYPERLINK("https://klasma.github.io/Logging_HARJEDALEN/klagomålsmail/A 55244-2021.docx")</f>
        <v/>
      </c>
      <c r="X573">
        <f>HYPERLINK("https://klasma.github.io/Logging_HARJEDALEN/tillsyn/A 55244-2021.docx")</f>
        <v/>
      </c>
      <c r="Y573">
        <f>HYPERLINK("https://klasma.github.io/Logging_HARJEDALEN/tillsynsmail/A 55244-2021.docx")</f>
        <v/>
      </c>
    </row>
    <row r="574" ht="15" customHeight="1">
      <c r="A574" t="inlineStr">
        <is>
          <t>A 55233-2021</t>
        </is>
      </c>
      <c r="B574" s="1" t="n">
        <v>44475</v>
      </c>
      <c r="C574" s="1" t="n">
        <v>45182</v>
      </c>
      <c r="D574" t="inlineStr">
        <is>
          <t>JÄMTLANDS LÄN</t>
        </is>
      </c>
      <c r="E574" t="inlineStr">
        <is>
          <t>HÄRJEDALEN</t>
        </is>
      </c>
      <c r="G574" t="n">
        <v>15.3</v>
      </c>
      <c r="H574" t="n">
        <v>1</v>
      </c>
      <c r="I574" t="n">
        <v>0</v>
      </c>
      <c r="J574" t="n">
        <v>3</v>
      </c>
      <c r="K574" t="n">
        <v>0</v>
      </c>
      <c r="L574" t="n">
        <v>0</v>
      </c>
      <c r="M574" t="n">
        <v>0</v>
      </c>
      <c r="N574" t="n">
        <v>0</v>
      </c>
      <c r="O574" t="n">
        <v>3</v>
      </c>
      <c r="P574" t="n">
        <v>0</v>
      </c>
      <c r="Q574" t="n">
        <v>3</v>
      </c>
      <c r="R574" s="2" t="inlineStr">
        <is>
          <t>Reliktbock
Varglav
Vedflamlav</t>
        </is>
      </c>
      <c r="S574">
        <f>HYPERLINK("https://klasma.github.io/Logging_HARJEDALEN/artfynd/A 55233-2021.xlsx")</f>
        <v/>
      </c>
      <c r="T574">
        <f>HYPERLINK("https://klasma.github.io/Logging_HARJEDALEN/kartor/A 55233-2021.png")</f>
        <v/>
      </c>
      <c r="V574">
        <f>HYPERLINK("https://klasma.github.io/Logging_HARJEDALEN/klagomål/A 55233-2021.docx")</f>
        <v/>
      </c>
      <c r="W574">
        <f>HYPERLINK("https://klasma.github.io/Logging_HARJEDALEN/klagomålsmail/A 55233-2021.docx")</f>
        <v/>
      </c>
      <c r="X574">
        <f>HYPERLINK("https://klasma.github.io/Logging_HARJEDALEN/tillsyn/A 55233-2021.docx")</f>
        <v/>
      </c>
      <c r="Y574">
        <f>HYPERLINK("https://klasma.github.io/Logging_HARJEDALEN/tillsynsmail/A 55233-2021.docx")</f>
        <v/>
      </c>
    </row>
    <row r="575" ht="15" customHeight="1">
      <c r="A575" t="inlineStr">
        <is>
          <t>A 55641-2021</t>
        </is>
      </c>
      <c r="B575" s="1" t="n">
        <v>44476</v>
      </c>
      <c r="C575" s="1" t="n">
        <v>45182</v>
      </c>
      <c r="D575" t="inlineStr">
        <is>
          <t>JÄMTLANDS LÄN</t>
        </is>
      </c>
      <c r="E575" t="inlineStr">
        <is>
          <t>HÄRJEDALEN</t>
        </is>
      </c>
      <c r="G575" t="n">
        <v>7.6</v>
      </c>
      <c r="H575" t="n">
        <v>1</v>
      </c>
      <c r="I575" t="n">
        <v>0</v>
      </c>
      <c r="J575" t="n">
        <v>3</v>
      </c>
      <c r="K575" t="n">
        <v>0</v>
      </c>
      <c r="L575" t="n">
        <v>0</v>
      </c>
      <c r="M575" t="n">
        <v>0</v>
      </c>
      <c r="N575" t="n">
        <v>0</v>
      </c>
      <c r="O575" t="n">
        <v>3</v>
      </c>
      <c r="P575" t="n">
        <v>0</v>
      </c>
      <c r="Q575" t="n">
        <v>3</v>
      </c>
      <c r="R575" s="2" t="inlineStr">
        <is>
          <t>Brunpudrad nållav
Dvärgbägarlav
Tretåig hackspett</t>
        </is>
      </c>
      <c r="S575">
        <f>HYPERLINK("https://klasma.github.io/Logging_HARJEDALEN/artfynd/A 55641-2021.xlsx")</f>
        <v/>
      </c>
      <c r="T575">
        <f>HYPERLINK("https://klasma.github.io/Logging_HARJEDALEN/kartor/A 55641-2021.png")</f>
        <v/>
      </c>
      <c r="V575">
        <f>HYPERLINK("https://klasma.github.io/Logging_HARJEDALEN/klagomål/A 55641-2021.docx")</f>
        <v/>
      </c>
      <c r="W575">
        <f>HYPERLINK("https://klasma.github.io/Logging_HARJEDALEN/klagomålsmail/A 55641-2021.docx")</f>
        <v/>
      </c>
      <c r="X575">
        <f>HYPERLINK("https://klasma.github.io/Logging_HARJEDALEN/tillsyn/A 55641-2021.docx")</f>
        <v/>
      </c>
      <c r="Y575">
        <f>HYPERLINK("https://klasma.github.io/Logging_HARJEDALEN/tillsynsmail/A 55641-2021.docx")</f>
        <v/>
      </c>
    </row>
    <row r="576" ht="15" customHeight="1">
      <c r="A576" t="inlineStr">
        <is>
          <t>A 56222-2021</t>
        </is>
      </c>
      <c r="B576" s="1" t="n">
        <v>44477</v>
      </c>
      <c r="C576" s="1" t="n">
        <v>45182</v>
      </c>
      <c r="D576" t="inlineStr">
        <is>
          <t>JÄMTLANDS LÄN</t>
        </is>
      </c>
      <c r="E576" t="inlineStr">
        <is>
          <t>BRÄCKE</t>
        </is>
      </c>
      <c r="F576" t="inlineStr">
        <is>
          <t>SCA</t>
        </is>
      </c>
      <c r="G576" t="n">
        <v>1.8</v>
      </c>
      <c r="H576" t="n">
        <v>0</v>
      </c>
      <c r="I576" t="n">
        <v>0</v>
      </c>
      <c r="J576" t="n">
        <v>3</v>
      </c>
      <c r="K576" t="n">
        <v>0</v>
      </c>
      <c r="L576" t="n">
        <v>0</v>
      </c>
      <c r="M576" t="n">
        <v>0</v>
      </c>
      <c r="N576" t="n">
        <v>0</v>
      </c>
      <c r="O576" t="n">
        <v>3</v>
      </c>
      <c r="P576" t="n">
        <v>0</v>
      </c>
      <c r="Q576" t="n">
        <v>3</v>
      </c>
      <c r="R576" s="2" t="inlineStr">
        <is>
          <t>Gammelgransskål
Granticka
Ullticka</t>
        </is>
      </c>
      <c r="S576">
        <f>HYPERLINK("https://klasma.github.io/Logging_BRACKE/artfynd/A 56222-2021.xlsx")</f>
        <v/>
      </c>
      <c r="T576">
        <f>HYPERLINK("https://klasma.github.io/Logging_BRACKE/kartor/A 56222-2021.png")</f>
        <v/>
      </c>
      <c r="V576">
        <f>HYPERLINK("https://klasma.github.io/Logging_BRACKE/klagomål/A 56222-2021.docx")</f>
        <v/>
      </c>
      <c r="W576">
        <f>HYPERLINK("https://klasma.github.io/Logging_BRACKE/klagomålsmail/A 56222-2021.docx")</f>
        <v/>
      </c>
      <c r="X576">
        <f>HYPERLINK("https://klasma.github.io/Logging_BRACKE/tillsyn/A 56222-2021.docx")</f>
        <v/>
      </c>
      <c r="Y576">
        <f>HYPERLINK("https://klasma.github.io/Logging_BRACKE/tillsynsmail/A 56222-2021.docx")</f>
        <v/>
      </c>
    </row>
    <row r="577" ht="15" customHeight="1">
      <c r="A577" t="inlineStr">
        <is>
          <t>A 61417-2021</t>
        </is>
      </c>
      <c r="B577" s="1" t="n">
        <v>44500</v>
      </c>
      <c r="C577" s="1" t="n">
        <v>45182</v>
      </c>
      <c r="D577" t="inlineStr">
        <is>
          <t>JÄMTLANDS LÄN</t>
        </is>
      </c>
      <c r="E577" t="inlineStr">
        <is>
          <t>STRÖMSUND</t>
        </is>
      </c>
      <c r="F577" t="inlineStr">
        <is>
          <t>SCA</t>
        </is>
      </c>
      <c r="G577" t="n">
        <v>13.8</v>
      </c>
      <c r="H577" t="n">
        <v>0</v>
      </c>
      <c r="I577" t="n">
        <v>0</v>
      </c>
      <c r="J577" t="n">
        <v>2</v>
      </c>
      <c r="K577" t="n">
        <v>1</v>
      </c>
      <c r="L577" t="n">
        <v>0</v>
      </c>
      <c r="M577" t="n">
        <v>0</v>
      </c>
      <c r="N577" t="n">
        <v>0</v>
      </c>
      <c r="O577" t="n">
        <v>3</v>
      </c>
      <c r="P577" t="n">
        <v>1</v>
      </c>
      <c r="Q577" t="n">
        <v>3</v>
      </c>
      <c r="R577" s="2" t="inlineStr">
        <is>
          <t>Gräddporing
Dvärgbägarlav
Nordtagging</t>
        </is>
      </c>
      <c r="S577">
        <f>HYPERLINK("https://klasma.github.io/Logging_STROMSUND/artfynd/A 61417-2021.xlsx")</f>
        <v/>
      </c>
      <c r="T577">
        <f>HYPERLINK("https://klasma.github.io/Logging_STROMSUND/kartor/A 61417-2021.png")</f>
        <v/>
      </c>
      <c r="V577">
        <f>HYPERLINK("https://klasma.github.io/Logging_STROMSUND/klagomål/A 61417-2021.docx")</f>
        <v/>
      </c>
      <c r="W577">
        <f>HYPERLINK("https://klasma.github.io/Logging_STROMSUND/klagomålsmail/A 61417-2021.docx")</f>
        <v/>
      </c>
      <c r="X577">
        <f>HYPERLINK("https://klasma.github.io/Logging_STROMSUND/tillsyn/A 61417-2021.docx")</f>
        <v/>
      </c>
      <c r="Y577">
        <f>HYPERLINK("https://klasma.github.io/Logging_STROMSUND/tillsynsmail/A 61417-2021.docx")</f>
        <v/>
      </c>
    </row>
    <row r="578" ht="15" customHeight="1">
      <c r="A578" t="inlineStr">
        <is>
          <t>A 68433-2021</t>
        </is>
      </c>
      <c r="B578" s="1" t="n">
        <v>44529</v>
      </c>
      <c r="C578" s="1" t="n">
        <v>45182</v>
      </c>
      <c r="D578" t="inlineStr">
        <is>
          <t>JÄMTLANDS LÄN</t>
        </is>
      </c>
      <c r="E578" t="inlineStr">
        <is>
          <t>BERG</t>
        </is>
      </c>
      <c r="G578" t="n">
        <v>17.9</v>
      </c>
      <c r="H578" t="n">
        <v>0</v>
      </c>
      <c r="I578" t="n">
        <v>0</v>
      </c>
      <c r="J578" t="n">
        <v>3</v>
      </c>
      <c r="K578" t="n">
        <v>0</v>
      </c>
      <c r="L578" t="n">
        <v>0</v>
      </c>
      <c r="M578" t="n">
        <v>0</v>
      </c>
      <c r="N578" t="n">
        <v>0</v>
      </c>
      <c r="O578" t="n">
        <v>3</v>
      </c>
      <c r="P578" t="n">
        <v>0</v>
      </c>
      <c r="Q578" t="n">
        <v>3</v>
      </c>
      <c r="R578" s="2" t="inlineStr">
        <is>
          <t>Doftskinn
Vaddporing
Vedskivlav</t>
        </is>
      </c>
      <c r="S578">
        <f>HYPERLINK("https://klasma.github.io/Logging_BERG/artfynd/A 68433-2021.xlsx")</f>
        <v/>
      </c>
      <c r="T578">
        <f>HYPERLINK("https://klasma.github.io/Logging_BERG/kartor/A 68433-2021.png")</f>
        <v/>
      </c>
      <c r="V578">
        <f>HYPERLINK("https://klasma.github.io/Logging_BERG/klagomål/A 68433-2021.docx")</f>
        <v/>
      </c>
      <c r="W578">
        <f>HYPERLINK("https://klasma.github.io/Logging_BERG/klagomålsmail/A 68433-2021.docx")</f>
        <v/>
      </c>
      <c r="X578">
        <f>HYPERLINK("https://klasma.github.io/Logging_BERG/tillsyn/A 68433-2021.docx")</f>
        <v/>
      </c>
      <c r="Y578">
        <f>HYPERLINK("https://klasma.github.io/Logging_BERG/tillsynsmail/A 68433-2021.docx")</f>
        <v/>
      </c>
    </row>
    <row r="579" ht="15" customHeight="1">
      <c r="A579" t="inlineStr">
        <is>
          <t>A 69109-2021</t>
        </is>
      </c>
      <c r="B579" s="1" t="n">
        <v>44530</v>
      </c>
      <c r="C579" s="1" t="n">
        <v>45182</v>
      </c>
      <c r="D579" t="inlineStr">
        <is>
          <t>JÄMTLANDS LÄN</t>
        </is>
      </c>
      <c r="E579" t="inlineStr">
        <is>
          <t>STRÖMSUND</t>
        </is>
      </c>
      <c r="G579" t="n">
        <v>11.6</v>
      </c>
      <c r="H579" t="n">
        <v>0</v>
      </c>
      <c r="I579" t="n">
        <v>3</v>
      </c>
      <c r="J579" t="n">
        <v>0</v>
      </c>
      <c r="K579" t="n">
        <v>0</v>
      </c>
      <c r="L579" t="n">
        <v>0</v>
      </c>
      <c r="M579" t="n">
        <v>0</v>
      </c>
      <c r="N579" t="n">
        <v>0</v>
      </c>
      <c r="O579" t="n">
        <v>0</v>
      </c>
      <c r="P579" t="n">
        <v>0</v>
      </c>
      <c r="Q579" t="n">
        <v>3</v>
      </c>
      <c r="R579" s="2" t="inlineStr">
        <is>
          <t>Nordlig tuffmossa
Skogsbräsma
Sotriska</t>
        </is>
      </c>
      <c r="S579">
        <f>HYPERLINK("https://klasma.github.io/Logging_STROMSUND/artfynd/A 69109-2021.xlsx")</f>
        <v/>
      </c>
      <c r="T579">
        <f>HYPERLINK("https://klasma.github.io/Logging_STROMSUND/kartor/A 69109-2021.png")</f>
        <v/>
      </c>
      <c r="V579">
        <f>HYPERLINK("https://klasma.github.io/Logging_STROMSUND/klagomål/A 69109-2021.docx")</f>
        <v/>
      </c>
      <c r="W579">
        <f>HYPERLINK("https://klasma.github.io/Logging_STROMSUND/klagomålsmail/A 69109-2021.docx")</f>
        <v/>
      </c>
      <c r="X579">
        <f>HYPERLINK("https://klasma.github.io/Logging_STROMSUND/tillsyn/A 69109-2021.docx")</f>
        <v/>
      </c>
      <c r="Y579">
        <f>HYPERLINK("https://klasma.github.io/Logging_STROMSUND/tillsynsmail/A 69109-2021.docx")</f>
        <v/>
      </c>
    </row>
    <row r="580" ht="15" customHeight="1">
      <c r="A580" t="inlineStr">
        <is>
          <t>A 72934-2021</t>
        </is>
      </c>
      <c r="B580" s="1" t="n">
        <v>44547</v>
      </c>
      <c r="C580" s="1" t="n">
        <v>45182</v>
      </c>
      <c r="D580" t="inlineStr">
        <is>
          <t>JÄMTLANDS LÄN</t>
        </is>
      </c>
      <c r="E580" t="inlineStr">
        <is>
          <t>ÅRE</t>
        </is>
      </c>
      <c r="G580" t="n">
        <v>31.9</v>
      </c>
      <c r="H580" t="n">
        <v>0</v>
      </c>
      <c r="I580" t="n">
        <v>0</v>
      </c>
      <c r="J580" t="n">
        <v>3</v>
      </c>
      <c r="K580" t="n">
        <v>0</v>
      </c>
      <c r="L580" t="n">
        <v>0</v>
      </c>
      <c r="M580" t="n">
        <v>0</v>
      </c>
      <c r="N580" t="n">
        <v>0</v>
      </c>
      <c r="O580" t="n">
        <v>3</v>
      </c>
      <c r="P580" t="n">
        <v>0</v>
      </c>
      <c r="Q580" t="n">
        <v>3</v>
      </c>
      <c r="R580" s="2" t="inlineStr">
        <is>
          <t>Gränsticka
Skrovellav
Stjärntagging</t>
        </is>
      </c>
      <c r="S580">
        <f>HYPERLINK("https://klasma.github.io/Logging_ARE/artfynd/A 72934-2021.xlsx")</f>
        <v/>
      </c>
      <c r="T580">
        <f>HYPERLINK("https://klasma.github.io/Logging_ARE/kartor/A 72934-2021.png")</f>
        <v/>
      </c>
      <c r="V580">
        <f>HYPERLINK("https://klasma.github.io/Logging_ARE/klagomål/A 72934-2021.docx")</f>
        <v/>
      </c>
      <c r="W580">
        <f>HYPERLINK("https://klasma.github.io/Logging_ARE/klagomålsmail/A 72934-2021.docx")</f>
        <v/>
      </c>
      <c r="X580">
        <f>HYPERLINK("https://klasma.github.io/Logging_ARE/tillsyn/A 72934-2021.docx")</f>
        <v/>
      </c>
      <c r="Y580">
        <f>HYPERLINK("https://klasma.github.io/Logging_ARE/tillsynsmail/A 72934-2021.docx")</f>
        <v/>
      </c>
    </row>
    <row r="581" ht="15" customHeight="1">
      <c r="A581" t="inlineStr">
        <is>
          <t>A 73514-2021</t>
        </is>
      </c>
      <c r="B581" s="1" t="n">
        <v>44551</v>
      </c>
      <c r="C581" s="1" t="n">
        <v>45182</v>
      </c>
      <c r="D581" t="inlineStr">
        <is>
          <t>JÄMTLANDS LÄN</t>
        </is>
      </c>
      <c r="E581" t="inlineStr">
        <is>
          <t>STRÖMSUND</t>
        </is>
      </c>
      <c r="G581" t="n">
        <v>3.7</v>
      </c>
      <c r="H581" t="n">
        <v>0</v>
      </c>
      <c r="I581" t="n">
        <v>2</v>
      </c>
      <c r="J581" t="n">
        <v>0</v>
      </c>
      <c r="K581" t="n">
        <v>0</v>
      </c>
      <c r="L581" t="n">
        <v>1</v>
      </c>
      <c r="M581" t="n">
        <v>0</v>
      </c>
      <c r="N581" t="n">
        <v>0</v>
      </c>
      <c r="O581" t="n">
        <v>1</v>
      </c>
      <c r="P581" t="n">
        <v>1</v>
      </c>
      <c r="Q581" t="n">
        <v>3</v>
      </c>
      <c r="R581" s="2" t="inlineStr">
        <is>
          <t>Trolldruvemätare
Kransrams
Svart trolldruva</t>
        </is>
      </c>
      <c r="S581">
        <f>HYPERLINK("https://klasma.github.io/Logging_STROMSUND/artfynd/A 73514-2021.xlsx")</f>
        <v/>
      </c>
      <c r="T581">
        <f>HYPERLINK("https://klasma.github.io/Logging_STROMSUND/kartor/A 73514-2021.png")</f>
        <v/>
      </c>
      <c r="V581">
        <f>HYPERLINK("https://klasma.github.io/Logging_STROMSUND/klagomål/A 73514-2021.docx")</f>
        <v/>
      </c>
      <c r="W581">
        <f>HYPERLINK("https://klasma.github.io/Logging_STROMSUND/klagomålsmail/A 73514-2021.docx")</f>
        <v/>
      </c>
      <c r="X581">
        <f>HYPERLINK("https://klasma.github.io/Logging_STROMSUND/tillsyn/A 73514-2021.docx")</f>
        <v/>
      </c>
      <c r="Y581">
        <f>HYPERLINK("https://klasma.github.io/Logging_STROMSUND/tillsynsmail/A 73514-2021.docx")</f>
        <v/>
      </c>
    </row>
    <row r="582" ht="15" customHeight="1">
      <c r="A582" t="inlineStr">
        <is>
          <t>A 4180-2022</t>
        </is>
      </c>
      <c r="B582" s="1" t="n">
        <v>44588</v>
      </c>
      <c r="C582" s="1" t="n">
        <v>45182</v>
      </c>
      <c r="D582" t="inlineStr">
        <is>
          <t>JÄMTLANDS LÄN</t>
        </is>
      </c>
      <c r="E582" t="inlineStr">
        <is>
          <t>BRÄCKE</t>
        </is>
      </c>
      <c r="G582" t="n">
        <v>6.1</v>
      </c>
      <c r="H582" t="n">
        <v>2</v>
      </c>
      <c r="I582" t="n">
        <v>1</v>
      </c>
      <c r="J582" t="n">
        <v>1</v>
      </c>
      <c r="K582" t="n">
        <v>1</v>
      </c>
      <c r="L582" t="n">
        <v>0</v>
      </c>
      <c r="M582" t="n">
        <v>0</v>
      </c>
      <c r="N582" t="n">
        <v>0</v>
      </c>
      <c r="O582" t="n">
        <v>2</v>
      </c>
      <c r="P582" t="n">
        <v>1</v>
      </c>
      <c r="Q582" t="n">
        <v>3</v>
      </c>
      <c r="R582" s="2" t="inlineStr">
        <is>
          <t>Knärot
Skogsfru
Ögonpyrola</t>
        </is>
      </c>
      <c r="S582">
        <f>HYPERLINK("https://klasma.github.io/Logging_BRACKE/artfynd/A 4180-2022.xlsx")</f>
        <v/>
      </c>
      <c r="T582">
        <f>HYPERLINK("https://klasma.github.io/Logging_BRACKE/kartor/A 4180-2022.png")</f>
        <v/>
      </c>
      <c r="U582">
        <f>HYPERLINK("https://klasma.github.io/Logging_BRACKE/knärot/A 4180-2022.png")</f>
        <v/>
      </c>
      <c r="V582">
        <f>HYPERLINK("https://klasma.github.io/Logging_BRACKE/klagomål/A 4180-2022.docx")</f>
        <v/>
      </c>
      <c r="W582">
        <f>HYPERLINK("https://klasma.github.io/Logging_BRACKE/klagomålsmail/A 4180-2022.docx")</f>
        <v/>
      </c>
      <c r="X582">
        <f>HYPERLINK("https://klasma.github.io/Logging_BRACKE/tillsyn/A 4180-2022.docx")</f>
        <v/>
      </c>
      <c r="Y582">
        <f>HYPERLINK("https://klasma.github.io/Logging_BRACKE/tillsynsmail/A 4180-2022.docx")</f>
        <v/>
      </c>
    </row>
    <row r="583" ht="15" customHeight="1">
      <c r="A583" t="inlineStr">
        <is>
          <t>A 11002-2022</t>
        </is>
      </c>
      <c r="B583" s="1" t="n">
        <v>44628</v>
      </c>
      <c r="C583" s="1" t="n">
        <v>45182</v>
      </c>
      <c r="D583" t="inlineStr">
        <is>
          <t>JÄMTLANDS LÄN</t>
        </is>
      </c>
      <c r="E583" t="inlineStr">
        <is>
          <t>BRÄCKE</t>
        </is>
      </c>
      <c r="G583" t="n">
        <v>8.5</v>
      </c>
      <c r="H583" t="n">
        <v>0</v>
      </c>
      <c r="I583" t="n">
        <v>1</v>
      </c>
      <c r="J583" t="n">
        <v>1</v>
      </c>
      <c r="K583" t="n">
        <v>1</v>
      </c>
      <c r="L583" t="n">
        <v>0</v>
      </c>
      <c r="M583" t="n">
        <v>0</v>
      </c>
      <c r="N583" t="n">
        <v>0</v>
      </c>
      <c r="O583" t="n">
        <v>2</v>
      </c>
      <c r="P583" t="n">
        <v>1</v>
      </c>
      <c r="Q583" t="n">
        <v>3</v>
      </c>
      <c r="R583" s="2" t="inlineStr">
        <is>
          <t>Rynkskinn
Vitgrynig nållav
Svavelriska</t>
        </is>
      </c>
      <c r="S583">
        <f>HYPERLINK("https://klasma.github.io/Logging_BRACKE/artfynd/A 11002-2022.xlsx")</f>
        <v/>
      </c>
      <c r="T583">
        <f>HYPERLINK("https://klasma.github.io/Logging_BRACKE/kartor/A 11002-2022.png")</f>
        <v/>
      </c>
      <c r="V583">
        <f>HYPERLINK("https://klasma.github.io/Logging_BRACKE/klagomål/A 11002-2022.docx")</f>
        <v/>
      </c>
      <c r="W583">
        <f>HYPERLINK("https://klasma.github.io/Logging_BRACKE/klagomålsmail/A 11002-2022.docx")</f>
        <v/>
      </c>
      <c r="X583">
        <f>HYPERLINK("https://klasma.github.io/Logging_BRACKE/tillsyn/A 11002-2022.docx")</f>
        <v/>
      </c>
      <c r="Y583">
        <f>HYPERLINK("https://klasma.github.io/Logging_BRACKE/tillsynsmail/A 11002-2022.docx")</f>
        <v/>
      </c>
    </row>
    <row r="584" ht="15" customHeight="1">
      <c r="A584" t="inlineStr">
        <is>
          <t>A 12019-2022</t>
        </is>
      </c>
      <c r="B584" s="1" t="n">
        <v>44635</v>
      </c>
      <c r="C584" s="1" t="n">
        <v>45182</v>
      </c>
      <c r="D584" t="inlineStr">
        <is>
          <t>JÄMTLANDS LÄN</t>
        </is>
      </c>
      <c r="E584" t="inlineStr">
        <is>
          <t>STRÖMSUND</t>
        </is>
      </c>
      <c r="F584" t="inlineStr">
        <is>
          <t>SCA</t>
        </is>
      </c>
      <c r="G584" t="n">
        <v>3.1</v>
      </c>
      <c r="H584" t="n">
        <v>1</v>
      </c>
      <c r="I584" t="n">
        <v>1</v>
      </c>
      <c r="J584" t="n">
        <v>1</v>
      </c>
      <c r="K584" t="n">
        <v>0</v>
      </c>
      <c r="L584" t="n">
        <v>0</v>
      </c>
      <c r="M584" t="n">
        <v>0</v>
      </c>
      <c r="N584" t="n">
        <v>0</v>
      </c>
      <c r="O584" t="n">
        <v>1</v>
      </c>
      <c r="P584" t="n">
        <v>0</v>
      </c>
      <c r="Q584" t="n">
        <v>3</v>
      </c>
      <c r="R584" s="2" t="inlineStr">
        <is>
          <t>Harticka
Kransrams
Fläcknycklar</t>
        </is>
      </c>
      <c r="S584">
        <f>HYPERLINK("https://klasma.github.io/Logging_STROMSUND/artfynd/A 12019-2022.xlsx")</f>
        <v/>
      </c>
      <c r="T584">
        <f>HYPERLINK("https://klasma.github.io/Logging_STROMSUND/kartor/A 12019-2022.png")</f>
        <v/>
      </c>
      <c r="V584">
        <f>HYPERLINK("https://klasma.github.io/Logging_STROMSUND/klagomål/A 12019-2022.docx")</f>
        <v/>
      </c>
      <c r="W584">
        <f>HYPERLINK("https://klasma.github.io/Logging_STROMSUND/klagomålsmail/A 12019-2022.docx")</f>
        <v/>
      </c>
      <c r="X584">
        <f>HYPERLINK("https://klasma.github.io/Logging_STROMSUND/tillsyn/A 12019-2022.docx")</f>
        <v/>
      </c>
      <c r="Y584">
        <f>HYPERLINK("https://klasma.github.io/Logging_STROMSUND/tillsynsmail/A 12019-2022.docx")</f>
        <v/>
      </c>
    </row>
    <row r="585" ht="15" customHeight="1">
      <c r="A585" t="inlineStr">
        <is>
          <t>A 12269-2022</t>
        </is>
      </c>
      <c r="B585" s="1" t="n">
        <v>44637</v>
      </c>
      <c r="C585" s="1" t="n">
        <v>45182</v>
      </c>
      <c r="D585" t="inlineStr">
        <is>
          <t>JÄMTLANDS LÄN</t>
        </is>
      </c>
      <c r="E585" t="inlineStr">
        <is>
          <t>ÅRE</t>
        </is>
      </c>
      <c r="G585" t="n">
        <v>16.6</v>
      </c>
      <c r="H585" t="n">
        <v>0</v>
      </c>
      <c r="I585" t="n">
        <v>0</v>
      </c>
      <c r="J585" t="n">
        <v>3</v>
      </c>
      <c r="K585" t="n">
        <v>0</v>
      </c>
      <c r="L585" t="n">
        <v>0</v>
      </c>
      <c r="M585" t="n">
        <v>0</v>
      </c>
      <c r="N585" t="n">
        <v>0</v>
      </c>
      <c r="O585" t="n">
        <v>3</v>
      </c>
      <c r="P585" t="n">
        <v>0</v>
      </c>
      <c r="Q585" t="n">
        <v>3</v>
      </c>
      <c r="R585" s="2" t="inlineStr">
        <is>
          <t>Gammelgransskål
Granticka
Knottrig blåslav</t>
        </is>
      </c>
      <c r="S585">
        <f>HYPERLINK("https://klasma.github.io/Logging_ARE/artfynd/A 12269-2022.xlsx")</f>
        <v/>
      </c>
      <c r="T585">
        <f>HYPERLINK("https://klasma.github.io/Logging_ARE/kartor/A 12269-2022.png")</f>
        <v/>
      </c>
      <c r="V585">
        <f>HYPERLINK("https://klasma.github.io/Logging_ARE/klagomål/A 12269-2022.docx")</f>
        <v/>
      </c>
      <c r="W585">
        <f>HYPERLINK("https://klasma.github.io/Logging_ARE/klagomålsmail/A 12269-2022.docx")</f>
        <v/>
      </c>
      <c r="X585">
        <f>HYPERLINK("https://klasma.github.io/Logging_ARE/tillsyn/A 12269-2022.docx")</f>
        <v/>
      </c>
      <c r="Y585">
        <f>HYPERLINK("https://klasma.github.io/Logging_ARE/tillsynsmail/A 12269-2022.docx")</f>
        <v/>
      </c>
    </row>
    <row r="586" ht="15" customHeight="1">
      <c r="A586" t="inlineStr">
        <is>
          <t>A 16502-2022</t>
        </is>
      </c>
      <c r="B586" s="1" t="n">
        <v>44671</v>
      </c>
      <c r="C586" s="1" t="n">
        <v>45182</v>
      </c>
      <c r="D586" t="inlineStr">
        <is>
          <t>JÄMTLANDS LÄN</t>
        </is>
      </c>
      <c r="E586" t="inlineStr">
        <is>
          <t>KROKOM</t>
        </is>
      </c>
      <c r="G586" t="n">
        <v>12.3</v>
      </c>
      <c r="H586" t="n">
        <v>1</v>
      </c>
      <c r="I586" t="n">
        <v>2</v>
      </c>
      <c r="J586" t="n">
        <v>1</v>
      </c>
      <c r="K586" t="n">
        <v>0</v>
      </c>
      <c r="L586" t="n">
        <v>0</v>
      </c>
      <c r="M586" t="n">
        <v>0</v>
      </c>
      <c r="N586" t="n">
        <v>0</v>
      </c>
      <c r="O586" t="n">
        <v>1</v>
      </c>
      <c r="P586" t="n">
        <v>0</v>
      </c>
      <c r="Q586" t="n">
        <v>3</v>
      </c>
      <c r="R586" s="2" t="inlineStr">
        <is>
          <t>Ullticka
Finbräken
Grönkulla</t>
        </is>
      </c>
      <c r="S586">
        <f>HYPERLINK("https://klasma.github.io/Logging_KROKOM/artfynd/A 16502-2022.xlsx")</f>
        <v/>
      </c>
      <c r="T586">
        <f>HYPERLINK("https://klasma.github.io/Logging_KROKOM/kartor/A 16502-2022.png")</f>
        <v/>
      </c>
      <c r="V586">
        <f>HYPERLINK("https://klasma.github.io/Logging_KROKOM/klagomål/A 16502-2022.docx")</f>
        <v/>
      </c>
      <c r="W586">
        <f>HYPERLINK("https://klasma.github.io/Logging_KROKOM/klagomålsmail/A 16502-2022.docx")</f>
        <v/>
      </c>
      <c r="X586">
        <f>HYPERLINK("https://klasma.github.io/Logging_KROKOM/tillsyn/A 16502-2022.docx")</f>
        <v/>
      </c>
      <c r="Y586">
        <f>HYPERLINK("https://klasma.github.io/Logging_KROKOM/tillsynsmail/A 16502-2022.docx")</f>
        <v/>
      </c>
    </row>
    <row r="587" ht="15" customHeight="1">
      <c r="A587" t="inlineStr">
        <is>
          <t>A 27025-2022</t>
        </is>
      </c>
      <c r="B587" s="1" t="n">
        <v>44740</v>
      </c>
      <c r="C587" s="1" t="n">
        <v>45182</v>
      </c>
      <c r="D587" t="inlineStr">
        <is>
          <t>JÄMTLANDS LÄN</t>
        </is>
      </c>
      <c r="E587" t="inlineStr">
        <is>
          <t>RAGUNDA</t>
        </is>
      </c>
      <c r="G587" t="n">
        <v>5.8</v>
      </c>
      <c r="H587" t="n">
        <v>0</v>
      </c>
      <c r="I587" t="n">
        <v>1</v>
      </c>
      <c r="J587" t="n">
        <v>2</v>
      </c>
      <c r="K587" t="n">
        <v>0</v>
      </c>
      <c r="L587" t="n">
        <v>0</v>
      </c>
      <c r="M587" t="n">
        <v>0</v>
      </c>
      <c r="N587" t="n">
        <v>0</v>
      </c>
      <c r="O587" t="n">
        <v>2</v>
      </c>
      <c r="P587" t="n">
        <v>0</v>
      </c>
      <c r="Q587" t="n">
        <v>3</v>
      </c>
      <c r="R587" s="2" t="inlineStr">
        <is>
          <t>Blanksvart spiklav
Kortskaftad ärgspik
Dropptaggsvamp</t>
        </is>
      </c>
      <c r="S587">
        <f>HYPERLINK("https://klasma.github.io/Logging_RAGUNDA/artfynd/A 27025-2022.xlsx")</f>
        <v/>
      </c>
      <c r="T587">
        <f>HYPERLINK("https://klasma.github.io/Logging_RAGUNDA/kartor/A 27025-2022.png")</f>
        <v/>
      </c>
      <c r="V587">
        <f>HYPERLINK("https://klasma.github.io/Logging_RAGUNDA/klagomål/A 27025-2022.docx")</f>
        <v/>
      </c>
      <c r="W587">
        <f>HYPERLINK("https://klasma.github.io/Logging_RAGUNDA/klagomålsmail/A 27025-2022.docx")</f>
        <v/>
      </c>
      <c r="X587">
        <f>HYPERLINK("https://klasma.github.io/Logging_RAGUNDA/tillsyn/A 27025-2022.docx")</f>
        <v/>
      </c>
      <c r="Y587">
        <f>HYPERLINK("https://klasma.github.io/Logging_RAGUNDA/tillsynsmail/A 27025-2022.docx")</f>
        <v/>
      </c>
    </row>
    <row r="588" ht="15" customHeight="1">
      <c r="A588" t="inlineStr">
        <is>
          <t>A 28288-2022</t>
        </is>
      </c>
      <c r="B588" s="1" t="n">
        <v>44746</v>
      </c>
      <c r="C588" s="1" t="n">
        <v>45182</v>
      </c>
      <c r="D588" t="inlineStr">
        <is>
          <t>JÄMTLANDS LÄN</t>
        </is>
      </c>
      <c r="E588" t="inlineStr">
        <is>
          <t>STRÖMSUND</t>
        </is>
      </c>
      <c r="F588" t="inlineStr">
        <is>
          <t>SCA</t>
        </is>
      </c>
      <c r="G588" t="n">
        <v>12.8</v>
      </c>
      <c r="H588" t="n">
        <v>0</v>
      </c>
      <c r="I588" t="n">
        <v>0</v>
      </c>
      <c r="J588" t="n">
        <v>3</v>
      </c>
      <c r="K588" t="n">
        <v>0</v>
      </c>
      <c r="L588" t="n">
        <v>0</v>
      </c>
      <c r="M588" t="n">
        <v>0</v>
      </c>
      <c r="N588" t="n">
        <v>0</v>
      </c>
      <c r="O588" t="n">
        <v>3</v>
      </c>
      <c r="P588" t="n">
        <v>0</v>
      </c>
      <c r="Q588" t="n">
        <v>3</v>
      </c>
      <c r="R588" s="2" t="inlineStr">
        <is>
          <t>Gammelgransskål
Skrovellav
Ullticka</t>
        </is>
      </c>
      <c r="S588">
        <f>HYPERLINK("https://klasma.github.io/Logging_STROMSUND/artfynd/A 28288-2022.xlsx")</f>
        <v/>
      </c>
      <c r="T588">
        <f>HYPERLINK("https://klasma.github.io/Logging_STROMSUND/kartor/A 28288-2022.png")</f>
        <v/>
      </c>
      <c r="V588">
        <f>HYPERLINK("https://klasma.github.io/Logging_STROMSUND/klagomål/A 28288-2022.docx")</f>
        <v/>
      </c>
      <c r="W588">
        <f>HYPERLINK("https://klasma.github.io/Logging_STROMSUND/klagomålsmail/A 28288-2022.docx")</f>
        <v/>
      </c>
      <c r="X588">
        <f>HYPERLINK("https://klasma.github.io/Logging_STROMSUND/tillsyn/A 28288-2022.docx")</f>
        <v/>
      </c>
      <c r="Y588">
        <f>HYPERLINK("https://klasma.github.io/Logging_STROMSUND/tillsynsmail/A 28288-2022.docx")</f>
        <v/>
      </c>
    </row>
    <row r="589" ht="15" customHeight="1">
      <c r="A589" t="inlineStr">
        <is>
          <t>A 28492-2022</t>
        </is>
      </c>
      <c r="B589" s="1" t="n">
        <v>44747</v>
      </c>
      <c r="C589" s="1" t="n">
        <v>45182</v>
      </c>
      <c r="D589" t="inlineStr">
        <is>
          <t>JÄMTLANDS LÄN</t>
        </is>
      </c>
      <c r="E589" t="inlineStr">
        <is>
          <t>STRÖMSUND</t>
        </is>
      </c>
      <c r="F589" t="inlineStr">
        <is>
          <t>SCA</t>
        </is>
      </c>
      <c r="G589" t="n">
        <v>2</v>
      </c>
      <c r="H589" t="n">
        <v>0</v>
      </c>
      <c r="I589" t="n">
        <v>1</v>
      </c>
      <c r="J589" t="n">
        <v>2</v>
      </c>
      <c r="K589" t="n">
        <v>0</v>
      </c>
      <c r="L589" t="n">
        <v>0</v>
      </c>
      <c r="M589" t="n">
        <v>0</v>
      </c>
      <c r="N589" t="n">
        <v>0</v>
      </c>
      <c r="O589" t="n">
        <v>2</v>
      </c>
      <c r="P589" t="n">
        <v>0</v>
      </c>
      <c r="Q589" t="n">
        <v>3</v>
      </c>
      <c r="R589" s="2" t="inlineStr">
        <is>
          <t>Lunglav
Skrovellav
Stuplav</t>
        </is>
      </c>
      <c r="S589">
        <f>HYPERLINK("https://klasma.github.io/Logging_STROMSUND/artfynd/A 28492-2022.xlsx")</f>
        <v/>
      </c>
      <c r="T589">
        <f>HYPERLINK("https://klasma.github.io/Logging_STROMSUND/kartor/A 28492-2022.png")</f>
        <v/>
      </c>
      <c r="V589">
        <f>HYPERLINK("https://klasma.github.io/Logging_STROMSUND/klagomål/A 28492-2022.docx")</f>
        <v/>
      </c>
      <c r="W589">
        <f>HYPERLINK("https://klasma.github.io/Logging_STROMSUND/klagomålsmail/A 28492-2022.docx")</f>
        <v/>
      </c>
      <c r="X589">
        <f>HYPERLINK("https://klasma.github.io/Logging_STROMSUND/tillsyn/A 28492-2022.docx")</f>
        <v/>
      </c>
      <c r="Y589">
        <f>HYPERLINK("https://klasma.github.io/Logging_STROMSUND/tillsynsmail/A 28492-2022.docx")</f>
        <v/>
      </c>
    </row>
    <row r="590" ht="15" customHeight="1">
      <c r="A590" t="inlineStr">
        <is>
          <t>A 29349-2022</t>
        </is>
      </c>
      <c r="B590" s="1" t="n">
        <v>44750</v>
      </c>
      <c r="C590" s="1" t="n">
        <v>45182</v>
      </c>
      <c r="D590" t="inlineStr">
        <is>
          <t>JÄMTLANDS LÄN</t>
        </is>
      </c>
      <c r="E590" t="inlineStr">
        <is>
          <t>ÖSTERSUND</t>
        </is>
      </c>
      <c r="G590" t="n">
        <v>9.9</v>
      </c>
      <c r="H590" t="n">
        <v>1</v>
      </c>
      <c r="I590" t="n">
        <v>3</v>
      </c>
      <c r="J590" t="n">
        <v>0</v>
      </c>
      <c r="K590" t="n">
        <v>0</v>
      </c>
      <c r="L590" t="n">
        <v>0</v>
      </c>
      <c r="M590" t="n">
        <v>0</v>
      </c>
      <c r="N590" t="n">
        <v>0</v>
      </c>
      <c r="O590" t="n">
        <v>0</v>
      </c>
      <c r="P590" t="n">
        <v>0</v>
      </c>
      <c r="Q590" t="n">
        <v>3</v>
      </c>
      <c r="R590" s="2" t="inlineStr">
        <is>
          <t>Finbräken
Grönkulla
Kransrams</t>
        </is>
      </c>
      <c r="S590">
        <f>HYPERLINK("https://klasma.github.io/Logging_OSTERSUND/artfynd/A 29349-2022.xlsx")</f>
        <v/>
      </c>
      <c r="T590">
        <f>HYPERLINK("https://klasma.github.io/Logging_OSTERSUND/kartor/A 29349-2022.png")</f>
        <v/>
      </c>
      <c r="V590">
        <f>HYPERLINK("https://klasma.github.io/Logging_OSTERSUND/klagomål/A 29349-2022.docx")</f>
        <v/>
      </c>
      <c r="W590">
        <f>HYPERLINK("https://klasma.github.io/Logging_OSTERSUND/klagomålsmail/A 29349-2022.docx")</f>
        <v/>
      </c>
      <c r="X590">
        <f>HYPERLINK("https://klasma.github.io/Logging_OSTERSUND/tillsyn/A 29349-2022.docx")</f>
        <v/>
      </c>
      <c r="Y590">
        <f>HYPERLINK("https://klasma.github.io/Logging_OSTERSUND/tillsynsmail/A 29349-2022.docx")</f>
        <v/>
      </c>
    </row>
    <row r="591" ht="15" customHeight="1">
      <c r="A591" t="inlineStr">
        <is>
          <t>A 29945-2022</t>
        </is>
      </c>
      <c r="B591" s="1" t="n">
        <v>44756</v>
      </c>
      <c r="C591" s="1" t="n">
        <v>45182</v>
      </c>
      <c r="D591" t="inlineStr">
        <is>
          <t>JÄMTLANDS LÄN</t>
        </is>
      </c>
      <c r="E591" t="inlineStr">
        <is>
          <t>STRÖMSUND</t>
        </is>
      </c>
      <c r="F591" t="inlineStr">
        <is>
          <t>Holmen skog AB</t>
        </is>
      </c>
      <c r="G591" t="n">
        <v>14.5</v>
      </c>
      <c r="H591" t="n">
        <v>0</v>
      </c>
      <c r="I591" t="n">
        <v>0</v>
      </c>
      <c r="J591" t="n">
        <v>3</v>
      </c>
      <c r="K591" t="n">
        <v>0</v>
      </c>
      <c r="L591" t="n">
        <v>0</v>
      </c>
      <c r="M591" t="n">
        <v>0</v>
      </c>
      <c r="N591" t="n">
        <v>0</v>
      </c>
      <c r="O591" t="n">
        <v>3</v>
      </c>
      <c r="P591" t="n">
        <v>0</v>
      </c>
      <c r="Q591" t="n">
        <v>3</v>
      </c>
      <c r="R591" s="2" t="inlineStr">
        <is>
          <t>Doftskinn
Lunglav
Skrovellav</t>
        </is>
      </c>
      <c r="S591">
        <f>HYPERLINK("https://klasma.github.io/Logging_STROMSUND/artfynd/A 29945-2022.xlsx")</f>
        <v/>
      </c>
      <c r="T591">
        <f>HYPERLINK("https://klasma.github.io/Logging_STROMSUND/kartor/A 29945-2022.png")</f>
        <v/>
      </c>
      <c r="V591">
        <f>HYPERLINK("https://klasma.github.io/Logging_STROMSUND/klagomål/A 29945-2022.docx")</f>
        <v/>
      </c>
      <c r="W591">
        <f>HYPERLINK("https://klasma.github.io/Logging_STROMSUND/klagomålsmail/A 29945-2022.docx")</f>
        <v/>
      </c>
      <c r="X591">
        <f>HYPERLINK("https://klasma.github.io/Logging_STROMSUND/tillsyn/A 29945-2022.docx")</f>
        <v/>
      </c>
      <c r="Y591">
        <f>HYPERLINK("https://klasma.github.io/Logging_STROMSUND/tillsynsmail/A 29945-2022.docx")</f>
        <v/>
      </c>
    </row>
    <row r="592" ht="15" customHeight="1">
      <c r="A592" t="inlineStr">
        <is>
          <t>A 30068-2022</t>
        </is>
      </c>
      <c r="B592" s="1" t="n">
        <v>44757</v>
      </c>
      <c r="C592" s="1" t="n">
        <v>45182</v>
      </c>
      <c r="D592" t="inlineStr">
        <is>
          <t>JÄMTLANDS LÄN</t>
        </is>
      </c>
      <c r="E592" t="inlineStr">
        <is>
          <t>KROKOM</t>
        </is>
      </c>
      <c r="G592" t="n">
        <v>5</v>
      </c>
      <c r="H592" t="n">
        <v>1</v>
      </c>
      <c r="I592" t="n">
        <v>0</v>
      </c>
      <c r="J592" t="n">
        <v>3</v>
      </c>
      <c r="K592" t="n">
        <v>0</v>
      </c>
      <c r="L592" t="n">
        <v>0</v>
      </c>
      <c r="M592" t="n">
        <v>0</v>
      </c>
      <c r="N592" t="n">
        <v>0</v>
      </c>
      <c r="O592" t="n">
        <v>3</v>
      </c>
      <c r="P592" t="n">
        <v>0</v>
      </c>
      <c r="Q592" t="n">
        <v>3</v>
      </c>
      <c r="R592" s="2" t="inlineStr">
        <is>
          <t>Gränsticka
Tretåig hackspett
Ullticka</t>
        </is>
      </c>
      <c r="S592">
        <f>HYPERLINK("https://klasma.github.io/Logging_KROKOM/artfynd/A 30068-2022.xlsx")</f>
        <v/>
      </c>
      <c r="T592">
        <f>HYPERLINK("https://klasma.github.io/Logging_KROKOM/kartor/A 30068-2022.png")</f>
        <v/>
      </c>
      <c r="V592">
        <f>HYPERLINK("https://klasma.github.io/Logging_KROKOM/klagomål/A 30068-2022.docx")</f>
        <v/>
      </c>
      <c r="W592">
        <f>HYPERLINK("https://klasma.github.io/Logging_KROKOM/klagomålsmail/A 30068-2022.docx")</f>
        <v/>
      </c>
      <c r="X592">
        <f>HYPERLINK("https://klasma.github.io/Logging_KROKOM/tillsyn/A 30068-2022.docx")</f>
        <v/>
      </c>
      <c r="Y592">
        <f>HYPERLINK("https://klasma.github.io/Logging_KROKOM/tillsynsmail/A 30068-2022.docx")</f>
        <v/>
      </c>
    </row>
    <row r="593" ht="15" customHeight="1">
      <c r="A593" t="inlineStr">
        <is>
          <t>A 30069-2022</t>
        </is>
      </c>
      <c r="B593" s="1" t="n">
        <v>44757</v>
      </c>
      <c r="C593" s="1" t="n">
        <v>45182</v>
      </c>
      <c r="D593" t="inlineStr">
        <is>
          <t>JÄMTLANDS LÄN</t>
        </is>
      </c>
      <c r="E593" t="inlineStr">
        <is>
          <t>KROKOM</t>
        </is>
      </c>
      <c r="G593" t="n">
        <v>0.7</v>
      </c>
      <c r="H593" t="n">
        <v>1</v>
      </c>
      <c r="I593" t="n">
        <v>0</v>
      </c>
      <c r="J593" t="n">
        <v>2</v>
      </c>
      <c r="K593" t="n">
        <v>1</v>
      </c>
      <c r="L593" t="n">
        <v>0</v>
      </c>
      <c r="M593" t="n">
        <v>0</v>
      </c>
      <c r="N593" t="n">
        <v>0</v>
      </c>
      <c r="O593" t="n">
        <v>3</v>
      </c>
      <c r="P593" t="n">
        <v>1</v>
      </c>
      <c r="Q593" t="n">
        <v>3</v>
      </c>
      <c r="R593" s="2" t="inlineStr">
        <is>
          <t>Rynkskinn
Granticka
Tretåig hackspett</t>
        </is>
      </c>
      <c r="S593">
        <f>HYPERLINK("https://klasma.github.io/Logging_KROKOM/artfynd/A 30069-2022.xlsx")</f>
        <v/>
      </c>
      <c r="T593">
        <f>HYPERLINK("https://klasma.github.io/Logging_KROKOM/kartor/A 30069-2022.png")</f>
        <v/>
      </c>
      <c r="V593">
        <f>HYPERLINK("https://klasma.github.io/Logging_KROKOM/klagomål/A 30069-2022.docx")</f>
        <v/>
      </c>
      <c r="W593">
        <f>HYPERLINK("https://klasma.github.io/Logging_KROKOM/klagomålsmail/A 30069-2022.docx")</f>
        <v/>
      </c>
      <c r="X593">
        <f>HYPERLINK("https://klasma.github.io/Logging_KROKOM/tillsyn/A 30069-2022.docx")</f>
        <v/>
      </c>
      <c r="Y593">
        <f>HYPERLINK("https://klasma.github.io/Logging_KROKOM/tillsynsmail/A 30069-2022.docx")</f>
        <v/>
      </c>
    </row>
    <row r="594" ht="15" customHeight="1">
      <c r="A594" t="inlineStr">
        <is>
          <t>A 34035-2022</t>
        </is>
      </c>
      <c r="B594" s="1" t="n">
        <v>44791</v>
      </c>
      <c r="C594" s="1" t="n">
        <v>45182</v>
      </c>
      <c r="D594" t="inlineStr">
        <is>
          <t>JÄMTLANDS LÄN</t>
        </is>
      </c>
      <c r="E594" t="inlineStr">
        <is>
          <t>HÄRJEDALEN</t>
        </is>
      </c>
      <c r="F594" t="inlineStr">
        <is>
          <t>Naturvårdsverket</t>
        </is>
      </c>
      <c r="G594" t="n">
        <v>27.4</v>
      </c>
      <c r="H594" t="n">
        <v>0</v>
      </c>
      <c r="I594" t="n">
        <v>0</v>
      </c>
      <c r="J594" t="n">
        <v>3</v>
      </c>
      <c r="K594" t="n">
        <v>0</v>
      </c>
      <c r="L594" t="n">
        <v>0</v>
      </c>
      <c r="M594" t="n">
        <v>0</v>
      </c>
      <c r="N594" t="n">
        <v>0</v>
      </c>
      <c r="O594" t="n">
        <v>3</v>
      </c>
      <c r="P594" t="n">
        <v>0</v>
      </c>
      <c r="Q594" t="n">
        <v>3</v>
      </c>
      <c r="R594" s="2" t="inlineStr">
        <is>
          <t>Gammelgransskål
Garnlav
Gränsticka</t>
        </is>
      </c>
      <c r="S594">
        <f>HYPERLINK("https://klasma.github.io/Logging_HARJEDALEN/artfynd/A 34035-2022.xlsx")</f>
        <v/>
      </c>
      <c r="T594">
        <f>HYPERLINK("https://klasma.github.io/Logging_HARJEDALEN/kartor/A 34035-2022.png")</f>
        <v/>
      </c>
      <c r="V594">
        <f>HYPERLINK("https://klasma.github.io/Logging_HARJEDALEN/klagomål/A 34035-2022.docx")</f>
        <v/>
      </c>
      <c r="W594">
        <f>HYPERLINK("https://klasma.github.io/Logging_HARJEDALEN/klagomålsmail/A 34035-2022.docx")</f>
        <v/>
      </c>
      <c r="X594">
        <f>HYPERLINK("https://klasma.github.io/Logging_HARJEDALEN/tillsyn/A 34035-2022.docx")</f>
        <v/>
      </c>
      <c r="Y594">
        <f>HYPERLINK("https://klasma.github.io/Logging_HARJEDALEN/tillsynsmail/A 34035-2022.docx")</f>
        <v/>
      </c>
    </row>
    <row r="595" ht="15" customHeight="1">
      <c r="A595" t="inlineStr">
        <is>
          <t>A 39641-2022</t>
        </is>
      </c>
      <c r="B595" s="1" t="n">
        <v>44817</v>
      </c>
      <c r="C595" s="1" t="n">
        <v>45182</v>
      </c>
      <c r="D595" t="inlineStr">
        <is>
          <t>JÄMTLANDS LÄN</t>
        </is>
      </c>
      <c r="E595" t="inlineStr">
        <is>
          <t>ÖSTERSUND</t>
        </is>
      </c>
      <c r="G595" t="n">
        <v>6</v>
      </c>
      <c r="H595" t="n">
        <v>2</v>
      </c>
      <c r="I595" t="n">
        <v>1</v>
      </c>
      <c r="J595" t="n">
        <v>1</v>
      </c>
      <c r="K595" t="n">
        <v>1</v>
      </c>
      <c r="L595" t="n">
        <v>0</v>
      </c>
      <c r="M595" t="n">
        <v>0</v>
      </c>
      <c r="N595" t="n">
        <v>0</v>
      </c>
      <c r="O595" t="n">
        <v>2</v>
      </c>
      <c r="P595" t="n">
        <v>1</v>
      </c>
      <c r="Q595" t="n">
        <v>3</v>
      </c>
      <c r="R595" s="2" t="inlineStr">
        <is>
          <t>Knärot
Tretåig hackspett
Kransrams</t>
        </is>
      </c>
      <c r="S595">
        <f>HYPERLINK("https://klasma.github.io/Logging_OSTERSUND/artfynd/A 39641-2022.xlsx")</f>
        <v/>
      </c>
      <c r="T595">
        <f>HYPERLINK("https://klasma.github.io/Logging_OSTERSUND/kartor/A 39641-2022.png")</f>
        <v/>
      </c>
      <c r="U595">
        <f>HYPERLINK("https://klasma.github.io/Logging_OSTERSUND/knärot/A 39641-2022.png")</f>
        <v/>
      </c>
      <c r="V595">
        <f>HYPERLINK("https://klasma.github.io/Logging_OSTERSUND/klagomål/A 39641-2022.docx")</f>
        <v/>
      </c>
      <c r="W595">
        <f>HYPERLINK("https://klasma.github.io/Logging_OSTERSUND/klagomålsmail/A 39641-2022.docx")</f>
        <v/>
      </c>
      <c r="X595">
        <f>HYPERLINK("https://klasma.github.io/Logging_OSTERSUND/tillsyn/A 39641-2022.docx")</f>
        <v/>
      </c>
      <c r="Y595">
        <f>HYPERLINK("https://klasma.github.io/Logging_OSTERSUND/tillsynsmail/A 39641-2022.docx")</f>
        <v/>
      </c>
    </row>
    <row r="596" ht="15" customHeight="1">
      <c r="A596" t="inlineStr">
        <is>
          <t>A 43161-2022</t>
        </is>
      </c>
      <c r="B596" s="1" t="n">
        <v>44833</v>
      </c>
      <c r="C596" s="1" t="n">
        <v>45182</v>
      </c>
      <c r="D596" t="inlineStr">
        <is>
          <t>JÄMTLANDS LÄN</t>
        </is>
      </c>
      <c r="E596" t="inlineStr">
        <is>
          <t>STRÖMSUND</t>
        </is>
      </c>
      <c r="F596" t="inlineStr">
        <is>
          <t>SCA</t>
        </is>
      </c>
      <c r="G596" t="n">
        <v>5.5</v>
      </c>
      <c r="H596" t="n">
        <v>0</v>
      </c>
      <c r="I596" t="n">
        <v>1</v>
      </c>
      <c r="J596" t="n">
        <v>2</v>
      </c>
      <c r="K596" t="n">
        <v>0</v>
      </c>
      <c r="L596" t="n">
        <v>0</v>
      </c>
      <c r="M596" t="n">
        <v>0</v>
      </c>
      <c r="N596" t="n">
        <v>0</v>
      </c>
      <c r="O596" t="n">
        <v>2</v>
      </c>
      <c r="P596" t="n">
        <v>0</v>
      </c>
      <c r="Q596" t="n">
        <v>3</v>
      </c>
      <c r="R596" s="2" t="inlineStr">
        <is>
          <t>Harticka
Lunglav
Kransrams</t>
        </is>
      </c>
      <c r="S596">
        <f>HYPERLINK("https://klasma.github.io/Logging_STROMSUND/artfynd/A 43161-2022.xlsx")</f>
        <v/>
      </c>
      <c r="T596">
        <f>HYPERLINK("https://klasma.github.io/Logging_STROMSUND/kartor/A 43161-2022.png")</f>
        <v/>
      </c>
      <c r="V596">
        <f>HYPERLINK("https://klasma.github.io/Logging_STROMSUND/klagomål/A 43161-2022.docx")</f>
        <v/>
      </c>
      <c r="W596">
        <f>HYPERLINK("https://klasma.github.io/Logging_STROMSUND/klagomålsmail/A 43161-2022.docx")</f>
        <v/>
      </c>
      <c r="X596">
        <f>HYPERLINK("https://klasma.github.io/Logging_STROMSUND/tillsyn/A 43161-2022.docx")</f>
        <v/>
      </c>
      <c r="Y596">
        <f>HYPERLINK("https://klasma.github.io/Logging_STROMSUND/tillsynsmail/A 43161-2022.docx")</f>
        <v/>
      </c>
    </row>
    <row r="597" ht="15" customHeight="1">
      <c r="A597" t="inlineStr">
        <is>
          <t>A 43412-2022</t>
        </is>
      </c>
      <c r="B597" s="1" t="n">
        <v>44834</v>
      </c>
      <c r="C597" s="1" t="n">
        <v>45182</v>
      </c>
      <c r="D597" t="inlineStr">
        <is>
          <t>JÄMTLANDS LÄN</t>
        </is>
      </c>
      <c r="E597" t="inlineStr">
        <is>
          <t>STRÖMSUND</t>
        </is>
      </c>
      <c r="G597" t="n">
        <v>22.7</v>
      </c>
      <c r="H597" t="n">
        <v>1</v>
      </c>
      <c r="I597" t="n">
        <v>2</v>
      </c>
      <c r="J597" t="n">
        <v>0</v>
      </c>
      <c r="K597" t="n">
        <v>0</v>
      </c>
      <c r="L597" t="n">
        <v>0</v>
      </c>
      <c r="M597" t="n">
        <v>0</v>
      </c>
      <c r="N597" t="n">
        <v>0</v>
      </c>
      <c r="O597" t="n">
        <v>0</v>
      </c>
      <c r="P597" t="n">
        <v>0</v>
      </c>
      <c r="Q597" t="n">
        <v>3</v>
      </c>
      <c r="R597" s="2" t="inlineStr">
        <is>
          <t>Finbräken
Kransrams
Blåsippa</t>
        </is>
      </c>
      <c r="S597">
        <f>HYPERLINK("https://klasma.github.io/Logging_STROMSUND/artfynd/A 43412-2022.xlsx")</f>
        <v/>
      </c>
      <c r="T597">
        <f>HYPERLINK("https://klasma.github.io/Logging_STROMSUND/kartor/A 43412-2022.png")</f>
        <v/>
      </c>
      <c r="V597">
        <f>HYPERLINK("https://klasma.github.io/Logging_STROMSUND/klagomål/A 43412-2022.docx")</f>
        <v/>
      </c>
      <c r="W597">
        <f>HYPERLINK("https://klasma.github.io/Logging_STROMSUND/klagomålsmail/A 43412-2022.docx")</f>
        <v/>
      </c>
      <c r="X597">
        <f>HYPERLINK("https://klasma.github.io/Logging_STROMSUND/tillsyn/A 43412-2022.docx")</f>
        <v/>
      </c>
      <c r="Y597">
        <f>HYPERLINK("https://klasma.github.io/Logging_STROMSUND/tillsynsmail/A 43412-2022.docx")</f>
        <v/>
      </c>
    </row>
    <row r="598" ht="15" customHeight="1">
      <c r="A598" t="inlineStr">
        <is>
          <t>A 44428-2022</t>
        </is>
      </c>
      <c r="B598" s="1" t="n">
        <v>44839</v>
      </c>
      <c r="C598" s="1" t="n">
        <v>45182</v>
      </c>
      <c r="D598" t="inlineStr">
        <is>
          <t>JÄMTLANDS LÄN</t>
        </is>
      </c>
      <c r="E598" t="inlineStr">
        <is>
          <t>BRÄCKE</t>
        </is>
      </c>
      <c r="F598" t="inlineStr">
        <is>
          <t>SCA</t>
        </is>
      </c>
      <c r="G598" t="n">
        <v>4.3</v>
      </c>
      <c r="H598" t="n">
        <v>0</v>
      </c>
      <c r="I598" t="n">
        <v>2</v>
      </c>
      <c r="J598" t="n">
        <v>1</v>
      </c>
      <c r="K598" t="n">
        <v>0</v>
      </c>
      <c r="L598" t="n">
        <v>0</v>
      </c>
      <c r="M598" t="n">
        <v>0</v>
      </c>
      <c r="N598" t="n">
        <v>0</v>
      </c>
      <c r="O598" t="n">
        <v>1</v>
      </c>
      <c r="P598" t="n">
        <v>0</v>
      </c>
      <c r="Q598" t="n">
        <v>3</v>
      </c>
      <c r="R598" s="2" t="inlineStr">
        <is>
          <t>Motaggsvamp
Dropptaggsvamp
Skinnlav</t>
        </is>
      </c>
      <c r="S598">
        <f>HYPERLINK("https://klasma.github.io/Logging_BRACKE/artfynd/A 44428-2022.xlsx")</f>
        <v/>
      </c>
      <c r="T598">
        <f>HYPERLINK("https://klasma.github.io/Logging_BRACKE/kartor/A 44428-2022.png")</f>
        <v/>
      </c>
      <c r="V598">
        <f>HYPERLINK("https://klasma.github.io/Logging_BRACKE/klagomål/A 44428-2022.docx")</f>
        <v/>
      </c>
      <c r="W598">
        <f>HYPERLINK("https://klasma.github.io/Logging_BRACKE/klagomålsmail/A 44428-2022.docx")</f>
        <v/>
      </c>
      <c r="X598">
        <f>HYPERLINK("https://klasma.github.io/Logging_BRACKE/tillsyn/A 44428-2022.docx")</f>
        <v/>
      </c>
      <c r="Y598">
        <f>HYPERLINK("https://klasma.github.io/Logging_BRACKE/tillsynsmail/A 44428-2022.docx")</f>
        <v/>
      </c>
    </row>
    <row r="599" ht="15" customHeight="1">
      <c r="A599" t="inlineStr">
        <is>
          <t>A 44869-2022</t>
        </is>
      </c>
      <c r="B599" s="1" t="n">
        <v>44841</v>
      </c>
      <c r="C599" s="1" t="n">
        <v>45182</v>
      </c>
      <c r="D599" t="inlineStr">
        <is>
          <t>JÄMTLANDS LÄN</t>
        </is>
      </c>
      <c r="E599" t="inlineStr">
        <is>
          <t>KROKOM</t>
        </is>
      </c>
      <c r="G599" t="n">
        <v>4.5</v>
      </c>
      <c r="H599" t="n">
        <v>1</v>
      </c>
      <c r="I599" t="n">
        <v>0</v>
      </c>
      <c r="J599" t="n">
        <v>1</v>
      </c>
      <c r="K599" t="n">
        <v>2</v>
      </c>
      <c r="L599" t="n">
        <v>0</v>
      </c>
      <c r="M599" t="n">
        <v>0</v>
      </c>
      <c r="N599" t="n">
        <v>0</v>
      </c>
      <c r="O599" t="n">
        <v>3</v>
      </c>
      <c r="P599" t="n">
        <v>2</v>
      </c>
      <c r="Q599" t="n">
        <v>3</v>
      </c>
      <c r="R599" s="2" t="inlineStr">
        <is>
          <t>Knärot
Ulltickeporing
Lunglav</t>
        </is>
      </c>
      <c r="S599">
        <f>HYPERLINK("https://klasma.github.io/Logging_KROKOM/artfynd/A 44869-2022.xlsx")</f>
        <v/>
      </c>
      <c r="T599">
        <f>HYPERLINK("https://klasma.github.io/Logging_KROKOM/kartor/A 44869-2022.png")</f>
        <v/>
      </c>
      <c r="U599">
        <f>HYPERLINK("https://klasma.github.io/Logging_KROKOM/knärot/A 44869-2022.png")</f>
        <v/>
      </c>
      <c r="V599">
        <f>HYPERLINK("https://klasma.github.io/Logging_KROKOM/klagomål/A 44869-2022.docx")</f>
        <v/>
      </c>
      <c r="W599">
        <f>HYPERLINK("https://klasma.github.io/Logging_KROKOM/klagomålsmail/A 44869-2022.docx")</f>
        <v/>
      </c>
      <c r="X599">
        <f>HYPERLINK("https://klasma.github.io/Logging_KROKOM/tillsyn/A 44869-2022.docx")</f>
        <v/>
      </c>
      <c r="Y599">
        <f>HYPERLINK("https://klasma.github.io/Logging_KROKOM/tillsynsmail/A 44869-2022.docx")</f>
        <v/>
      </c>
    </row>
    <row r="600" ht="15" customHeight="1">
      <c r="A600" t="inlineStr">
        <is>
          <t>A 46988-2022</t>
        </is>
      </c>
      <c r="B600" s="1" t="n">
        <v>44851</v>
      </c>
      <c r="C600" s="1" t="n">
        <v>45182</v>
      </c>
      <c r="D600" t="inlineStr">
        <is>
          <t>JÄMTLANDS LÄN</t>
        </is>
      </c>
      <c r="E600" t="inlineStr">
        <is>
          <t>STRÖMSUND</t>
        </is>
      </c>
      <c r="F600" t="inlineStr">
        <is>
          <t>SCA</t>
        </is>
      </c>
      <c r="G600" t="n">
        <v>2.3</v>
      </c>
      <c r="H600" t="n">
        <v>1</v>
      </c>
      <c r="I600" t="n">
        <v>1</v>
      </c>
      <c r="J600" t="n">
        <v>2</v>
      </c>
      <c r="K600" t="n">
        <v>0</v>
      </c>
      <c r="L600" t="n">
        <v>0</v>
      </c>
      <c r="M600" t="n">
        <v>0</v>
      </c>
      <c r="N600" t="n">
        <v>0</v>
      </c>
      <c r="O600" t="n">
        <v>2</v>
      </c>
      <c r="P600" t="n">
        <v>0</v>
      </c>
      <c r="Q600" t="n">
        <v>3</v>
      </c>
      <c r="R600" s="2" t="inlineStr">
        <is>
          <t>Granticka
Tretåig hackspett
Stor aspticka</t>
        </is>
      </c>
      <c r="S600">
        <f>HYPERLINK("https://klasma.github.io/Logging_STROMSUND/artfynd/A 46988-2022.xlsx")</f>
        <v/>
      </c>
      <c r="T600">
        <f>HYPERLINK("https://klasma.github.io/Logging_STROMSUND/kartor/A 46988-2022.png")</f>
        <v/>
      </c>
      <c r="V600">
        <f>HYPERLINK("https://klasma.github.io/Logging_STROMSUND/klagomål/A 46988-2022.docx")</f>
        <v/>
      </c>
      <c r="W600">
        <f>HYPERLINK("https://klasma.github.io/Logging_STROMSUND/klagomålsmail/A 46988-2022.docx")</f>
        <v/>
      </c>
      <c r="X600">
        <f>HYPERLINK("https://klasma.github.io/Logging_STROMSUND/tillsyn/A 46988-2022.docx")</f>
        <v/>
      </c>
      <c r="Y600">
        <f>HYPERLINK("https://klasma.github.io/Logging_STROMSUND/tillsynsmail/A 46988-2022.docx")</f>
        <v/>
      </c>
    </row>
    <row r="601" ht="15" customHeight="1">
      <c r="A601" t="inlineStr">
        <is>
          <t>A 48054-2022</t>
        </is>
      </c>
      <c r="B601" s="1" t="n">
        <v>44855</v>
      </c>
      <c r="C601" s="1" t="n">
        <v>45182</v>
      </c>
      <c r="D601" t="inlineStr">
        <is>
          <t>JÄMTLANDS LÄN</t>
        </is>
      </c>
      <c r="E601" t="inlineStr">
        <is>
          <t>RAGUNDA</t>
        </is>
      </c>
      <c r="F601" t="inlineStr">
        <is>
          <t>SCA</t>
        </is>
      </c>
      <c r="G601" t="n">
        <v>1.5</v>
      </c>
      <c r="H601" t="n">
        <v>2</v>
      </c>
      <c r="I601" t="n">
        <v>0</v>
      </c>
      <c r="J601" t="n">
        <v>1</v>
      </c>
      <c r="K601" t="n">
        <v>1</v>
      </c>
      <c r="L601" t="n">
        <v>0</v>
      </c>
      <c r="M601" t="n">
        <v>0</v>
      </c>
      <c r="N601" t="n">
        <v>0</v>
      </c>
      <c r="O601" t="n">
        <v>2</v>
      </c>
      <c r="P601" t="n">
        <v>1</v>
      </c>
      <c r="Q601" t="n">
        <v>3</v>
      </c>
      <c r="R601" s="2" t="inlineStr">
        <is>
          <t>Knärot
Lunglav
Blåsippa</t>
        </is>
      </c>
      <c r="S601">
        <f>HYPERLINK("https://klasma.github.io/Logging_RAGUNDA/artfynd/A 48054-2022.xlsx")</f>
        <v/>
      </c>
      <c r="T601">
        <f>HYPERLINK("https://klasma.github.io/Logging_RAGUNDA/kartor/A 48054-2022.png")</f>
        <v/>
      </c>
      <c r="U601">
        <f>HYPERLINK("https://klasma.github.io/Logging_RAGUNDA/knärot/A 48054-2022.png")</f>
        <v/>
      </c>
      <c r="V601">
        <f>HYPERLINK("https://klasma.github.io/Logging_RAGUNDA/klagomål/A 48054-2022.docx")</f>
        <v/>
      </c>
      <c r="W601">
        <f>HYPERLINK("https://klasma.github.io/Logging_RAGUNDA/klagomålsmail/A 48054-2022.docx")</f>
        <v/>
      </c>
      <c r="X601">
        <f>HYPERLINK("https://klasma.github.io/Logging_RAGUNDA/tillsyn/A 48054-2022.docx")</f>
        <v/>
      </c>
      <c r="Y601">
        <f>HYPERLINK("https://klasma.github.io/Logging_RAGUNDA/tillsynsmail/A 48054-2022.docx")</f>
        <v/>
      </c>
    </row>
    <row r="602" ht="15" customHeight="1">
      <c r="A602" t="inlineStr">
        <is>
          <t>A 48052-2022</t>
        </is>
      </c>
      <c r="B602" s="1" t="n">
        <v>44855</v>
      </c>
      <c r="C602" s="1" t="n">
        <v>45182</v>
      </c>
      <c r="D602" t="inlineStr">
        <is>
          <t>JÄMTLANDS LÄN</t>
        </is>
      </c>
      <c r="E602" t="inlineStr">
        <is>
          <t>RAGUNDA</t>
        </is>
      </c>
      <c r="F602" t="inlineStr">
        <is>
          <t>SCA</t>
        </is>
      </c>
      <c r="G602" t="n">
        <v>8.6</v>
      </c>
      <c r="H602" t="n">
        <v>0</v>
      </c>
      <c r="I602" t="n">
        <v>1</v>
      </c>
      <c r="J602" t="n">
        <v>2</v>
      </c>
      <c r="K602" t="n">
        <v>0</v>
      </c>
      <c r="L602" t="n">
        <v>0</v>
      </c>
      <c r="M602" t="n">
        <v>0</v>
      </c>
      <c r="N602" t="n">
        <v>0</v>
      </c>
      <c r="O602" t="n">
        <v>2</v>
      </c>
      <c r="P602" t="n">
        <v>0</v>
      </c>
      <c r="Q602" t="n">
        <v>3</v>
      </c>
      <c r="R602" s="2" t="inlineStr">
        <is>
          <t>Lunglav
Ullticka
Stuplav</t>
        </is>
      </c>
      <c r="S602">
        <f>HYPERLINK("https://klasma.github.io/Logging_RAGUNDA/artfynd/A 48052-2022.xlsx")</f>
        <v/>
      </c>
      <c r="T602">
        <f>HYPERLINK("https://klasma.github.io/Logging_RAGUNDA/kartor/A 48052-2022.png")</f>
        <v/>
      </c>
      <c r="V602">
        <f>HYPERLINK("https://klasma.github.io/Logging_RAGUNDA/klagomål/A 48052-2022.docx")</f>
        <v/>
      </c>
      <c r="W602">
        <f>HYPERLINK("https://klasma.github.io/Logging_RAGUNDA/klagomålsmail/A 48052-2022.docx")</f>
        <v/>
      </c>
      <c r="X602">
        <f>HYPERLINK("https://klasma.github.io/Logging_RAGUNDA/tillsyn/A 48052-2022.docx")</f>
        <v/>
      </c>
      <c r="Y602">
        <f>HYPERLINK("https://klasma.github.io/Logging_RAGUNDA/tillsynsmail/A 48052-2022.docx")</f>
        <v/>
      </c>
    </row>
    <row r="603" ht="15" customHeight="1">
      <c r="A603" t="inlineStr">
        <is>
          <t>A 49848-2022</t>
        </is>
      </c>
      <c r="B603" s="1" t="n">
        <v>44862</v>
      </c>
      <c r="C603" s="1" t="n">
        <v>45182</v>
      </c>
      <c r="D603" t="inlineStr">
        <is>
          <t>JÄMTLANDS LÄN</t>
        </is>
      </c>
      <c r="E603" t="inlineStr">
        <is>
          <t>ÅRE</t>
        </is>
      </c>
      <c r="F603" t="inlineStr">
        <is>
          <t>Övriga Aktiebolag</t>
        </is>
      </c>
      <c r="G603" t="n">
        <v>21.4</v>
      </c>
      <c r="H603" t="n">
        <v>1</v>
      </c>
      <c r="I603" t="n">
        <v>0</v>
      </c>
      <c r="J603" t="n">
        <v>3</v>
      </c>
      <c r="K603" t="n">
        <v>0</v>
      </c>
      <c r="L603" t="n">
        <v>0</v>
      </c>
      <c r="M603" t="n">
        <v>0</v>
      </c>
      <c r="N603" t="n">
        <v>0</v>
      </c>
      <c r="O603" t="n">
        <v>3</v>
      </c>
      <c r="P603" t="n">
        <v>0</v>
      </c>
      <c r="Q603" t="n">
        <v>3</v>
      </c>
      <c r="R603" s="2" t="inlineStr">
        <is>
          <t>Skrovellav
Tretåig hackspett
Vitskaftad svartspik</t>
        </is>
      </c>
      <c r="S603">
        <f>HYPERLINK("https://klasma.github.io/Logging_ARE/artfynd/A 49848-2022.xlsx")</f>
        <v/>
      </c>
      <c r="T603">
        <f>HYPERLINK("https://klasma.github.io/Logging_ARE/kartor/A 49848-2022.png")</f>
        <v/>
      </c>
      <c r="V603">
        <f>HYPERLINK("https://klasma.github.io/Logging_ARE/klagomål/A 49848-2022.docx")</f>
        <v/>
      </c>
      <c r="W603">
        <f>HYPERLINK("https://klasma.github.io/Logging_ARE/klagomålsmail/A 49848-2022.docx")</f>
        <v/>
      </c>
      <c r="X603">
        <f>HYPERLINK("https://klasma.github.io/Logging_ARE/tillsyn/A 49848-2022.docx")</f>
        <v/>
      </c>
      <c r="Y603">
        <f>HYPERLINK("https://klasma.github.io/Logging_ARE/tillsynsmail/A 49848-2022.docx")</f>
        <v/>
      </c>
    </row>
    <row r="604" ht="15" customHeight="1">
      <c r="A604" t="inlineStr">
        <is>
          <t>A 51663-2022</t>
        </is>
      </c>
      <c r="B604" s="1" t="n">
        <v>44867</v>
      </c>
      <c r="C604" s="1" t="n">
        <v>45182</v>
      </c>
      <c r="D604" t="inlineStr">
        <is>
          <t>JÄMTLANDS LÄN</t>
        </is>
      </c>
      <c r="E604" t="inlineStr">
        <is>
          <t>KROKOM</t>
        </is>
      </c>
      <c r="G604" t="n">
        <v>28.5</v>
      </c>
      <c r="H604" t="n">
        <v>1</v>
      </c>
      <c r="I604" t="n">
        <v>0</v>
      </c>
      <c r="J604" t="n">
        <v>3</v>
      </c>
      <c r="K604" t="n">
        <v>0</v>
      </c>
      <c r="L604" t="n">
        <v>0</v>
      </c>
      <c r="M604" t="n">
        <v>0</v>
      </c>
      <c r="N604" t="n">
        <v>0</v>
      </c>
      <c r="O604" t="n">
        <v>3</v>
      </c>
      <c r="P604" t="n">
        <v>0</v>
      </c>
      <c r="Q604" t="n">
        <v>3</v>
      </c>
      <c r="R604" s="2" t="inlineStr">
        <is>
          <t>Garnlav
Granticka
Tretåig hackspett</t>
        </is>
      </c>
      <c r="S604">
        <f>HYPERLINK("https://klasma.github.io/Logging_KROKOM/artfynd/A 51663-2022.xlsx")</f>
        <v/>
      </c>
      <c r="T604">
        <f>HYPERLINK("https://klasma.github.io/Logging_KROKOM/kartor/A 51663-2022.png")</f>
        <v/>
      </c>
      <c r="V604">
        <f>HYPERLINK("https://klasma.github.io/Logging_KROKOM/klagomål/A 51663-2022.docx")</f>
        <v/>
      </c>
      <c r="W604">
        <f>HYPERLINK("https://klasma.github.io/Logging_KROKOM/klagomålsmail/A 51663-2022.docx")</f>
        <v/>
      </c>
      <c r="X604">
        <f>HYPERLINK("https://klasma.github.io/Logging_KROKOM/tillsyn/A 51663-2022.docx")</f>
        <v/>
      </c>
      <c r="Y604">
        <f>HYPERLINK("https://klasma.github.io/Logging_KROKOM/tillsynsmail/A 51663-2022.docx")</f>
        <v/>
      </c>
    </row>
    <row r="605" ht="15" customHeight="1">
      <c r="A605" t="inlineStr">
        <is>
          <t>A 52264-2022</t>
        </is>
      </c>
      <c r="B605" s="1" t="n">
        <v>44873</v>
      </c>
      <c r="C605" s="1" t="n">
        <v>45182</v>
      </c>
      <c r="D605" t="inlineStr">
        <is>
          <t>JÄMTLANDS LÄN</t>
        </is>
      </c>
      <c r="E605" t="inlineStr">
        <is>
          <t>KROKOM</t>
        </is>
      </c>
      <c r="G605" t="n">
        <v>4.1</v>
      </c>
      <c r="H605" t="n">
        <v>2</v>
      </c>
      <c r="I605" t="n">
        <v>0</v>
      </c>
      <c r="J605" t="n">
        <v>2</v>
      </c>
      <c r="K605" t="n">
        <v>1</v>
      </c>
      <c r="L605" t="n">
        <v>0</v>
      </c>
      <c r="M605" t="n">
        <v>0</v>
      </c>
      <c r="N605" t="n">
        <v>0</v>
      </c>
      <c r="O605" t="n">
        <v>3</v>
      </c>
      <c r="P605" t="n">
        <v>1</v>
      </c>
      <c r="Q605" t="n">
        <v>3</v>
      </c>
      <c r="R605" s="2" t="inlineStr">
        <is>
          <t>Knärot
Tretåig hackspett
Ullticka</t>
        </is>
      </c>
      <c r="S605">
        <f>HYPERLINK("https://klasma.github.io/Logging_KROKOM/artfynd/A 52264-2022.xlsx")</f>
        <v/>
      </c>
      <c r="T605">
        <f>HYPERLINK("https://klasma.github.io/Logging_KROKOM/kartor/A 52264-2022.png")</f>
        <v/>
      </c>
      <c r="U605">
        <f>HYPERLINK("https://klasma.github.io/Logging_KROKOM/knärot/A 52264-2022.png")</f>
        <v/>
      </c>
      <c r="V605">
        <f>HYPERLINK("https://klasma.github.io/Logging_KROKOM/klagomål/A 52264-2022.docx")</f>
        <v/>
      </c>
      <c r="W605">
        <f>HYPERLINK("https://klasma.github.io/Logging_KROKOM/klagomålsmail/A 52264-2022.docx")</f>
        <v/>
      </c>
      <c r="X605">
        <f>HYPERLINK("https://klasma.github.io/Logging_KROKOM/tillsyn/A 52264-2022.docx")</f>
        <v/>
      </c>
      <c r="Y605">
        <f>HYPERLINK("https://klasma.github.io/Logging_KROKOM/tillsynsmail/A 52264-2022.docx")</f>
        <v/>
      </c>
    </row>
    <row r="606" ht="15" customHeight="1">
      <c r="A606" t="inlineStr">
        <is>
          <t>A 53022-2022</t>
        </is>
      </c>
      <c r="B606" s="1" t="n">
        <v>44875</v>
      </c>
      <c r="C606" s="1" t="n">
        <v>45182</v>
      </c>
      <c r="D606" t="inlineStr">
        <is>
          <t>JÄMTLANDS LÄN</t>
        </is>
      </c>
      <c r="E606" t="inlineStr">
        <is>
          <t>RAGUNDA</t>
        </is>
      </c>
      <c r="F606" t="inlineStr">
        <is>
          <t>SCA</t>
        </is>
      </c>
      <c r="G606" t="n">
        <v>2.7</v>
      </c>
      <c r="H606" t="n">
        <v>0</v>
      </c>
      <c r="I606" t="n">
        <v>1</v>
      </c>
      <c r="J606" t="n">
        <v>2</v>
      </c>
      <c r="K606" t="n">
        <v>0</v>
      </c>
      <c r="L606" t="n">
        <v>0</v>
      </c>
      <c r="M606" t="n">
        <v>0</v>
      </c>
      <c r="N606" t="n">
        <v>0</v>
      </c>
      <c r="O606" t="n">
        <v>2</v>
      </c>
      <c r="P606" t="n">
        <v>0</v>
      </c>
      <c r="Q606" t="n">
        <v>3</v>
      </c>
      <c r="R606" s="2" t="inlineStr">
        <is>
          <t>Garnlav
Lunglav
Dropptaggsvamp</t>
        </is>
      </c>
      <c r="S606">
        <f>HYPERLINK("https://klasma.github.io/Logging_RAGUNDA/artfynd/A 53022-2022.xlsx")</f>
        <v/>
      </c>
      <c r="T606">
        <f>HYPERLINK("https://klasma.github.io/Logging_RAGUNDA/kartor/A 53022-2022.png")</f>
        <v/>
      </c>
      <c r="V606">
        <f>HYPERLINK("https://klasma.github.io/Logging_RAGUNDA/klagomål/A 53022-2022.docx")</f>
        <v/>
      </c>
      <c r="W606">
        <f>HYPERLINK("https://klasma.github.io/Logging_RAGUNDA/klagomålsmail/A 53022-2022.docx")</f>
        <v/>
      </c>
      <c r="X606">
        <f>HYPERLINK("https://klasma.github.io/Logging_RAGUNDA/tillsyn/A 53022-2022.docx")</f>
        <v/>
      </c>
      <c r="Y606">
        <f>HYPERLINK("https://klasma.github.io/Logging_RAGUNDA/tillsynsmail/A 53022-2022.docx")</f>
        <v/>
      </c>
    </row>
    <row r="607" ht="15" customHeight="1">
      <c r="A607" t="inlineStr">
        <is>
          <t>A 53284-2022</t>
        </is>
      </c>
      <c r="B607" s="1" t="n">
        <v>44876</v>
      </c>
      <c r="C607" s="1" t="n">
        <v>45182</v>
      </c>
      <c r="D607" t="inlineStr">
        <is>
          <t>JÄMTLANDS LÄN</t>
        </is>
      </c>
      <c r="E607" t="inlineStr">
        <is>
          <t>BRÄCKE</t>
        </is>
      </c>
      <c r="F607" t="inlineStr">
        <is>
          <t>SCA</t>
        </is>
      </c>
      <c r="G607" t="n">
        <v>10.3</v>
      </c>
      <c r="H607" t="n">
        <v>0</v>
      </c>
      <c r="I607" t="n">
        <v>0</v>
      </c>
      <c r="J607" t="n">
        <v>3</v>
      </c>
      <c r="K607" t="n">
        <v>0</v>
      </c>
      <c r="L607" t="n">
        <v>0</v>
      </c>
      <c r="M607" t="n">
        <v>0</v>
      </c>
      <c r="N607" t="n">
        <v>0</v>
      </c>
      <c r="O607" t="n">
        <v>3</v>
      </c>
      <c r="P607" t="n">
        <v>0</v>
      </c>
      <c r="Q607" t="n">
        <v>3</v>
      </c>
      <c r="R607" s="2" t="inlineStr">
        <is>
          <t>Blanksvart spiklav
Dvärgbägarlav
Kolflarnlav</t>
        </is>
      </c>
      <c r="S607">
        <f>HYPERLINK("https://klasma.github.io/Logging_BRACKE/artfynd/A 53284-2022.xlsx")</f>
        <v/>
      </c>
      <c r="T607">
        <f>HYPERLINK("https://klasma.github.io/Logging_BRACKE/kartor/A 53284-2022.png")</f>
        <v/>
      </c>
      <c r="V607">
        <f>HYPERLINK("https://klasma.github.io/Logging_BRACKE/klagomål/A 53284-2022.docx")</f>
        <v/>
      </c>
      <c r="W607">
        <f>HYPERLINK("https://klasma.github.io/Logging_BRACKE/klagomålsmail/A 53284-2022.docx")</f>
        <v/>
      </c>
      <c r="X607">
        <f>HYPERLINK("https://klasma.github.io/Logging_BRACKE/tillsyn/A 53284-2022.docx")</f>
        <v/>
      </c>
      <c r="Y607">
        <f>HYPERLINK("https://klasma.github.io/Logging_BRACKE/tillsynsmail/A 53284-2022.docx")</f>
        <v/>
      </c>
    </row>
    <row r="608" ht="15" customHeight="1">
      <c r="A608" t="inlineStr">
        <is>
          <t>A 56183-2022</t>
        </is>
      </c>
      <c r="B608" s="1" t="n">
        <v>44889</v>
      </c>
      <c r="C608" s="1" t="n">
        <v>45182</v>
      </c>
      <c r="D608" t="inlineStr">
        <is>
          <t>JÄMTLANDS LÄN</t>
        </is>
      </c>
      <c r="E608" t="inlineStr">
        <is>
          <t>ÅRE</t>
        </is>
      </c>
      <c r="G608" t="n">
        <v>29.8</v>
      </c>
      <c r="H608" t="n">
        <v>1</v>
      </c>
      <c r="I608" t="n">
        <v>0</v>
      </c>
      <c r="J608" t="n">
        <v>3</v>
      </c>
      <c r="K608" t="n">
        <v>0</v>
      </c>
      <c r="L608" t="n">
        <v>0</v>
      </c>
      <c r="M608" t="n">
        <v>0</v>
      </c>
      <c r="N608" t="n">
        <v>0</v>
      </c>
      <c r="O608" t="n">
        <v>3</v>
      </c>
      <c r="P608" t="n">
        <v>0</v>
      </c>
      <c r="Q608" t="n">
        <v>3</v>
      </c>
      <c r="R608" s="2" t="inlineStr">
        <is>
          <t>Granticka
Skrovellav
Tretåig hackspett</t>
        </is>
      </c>
      <c r="S608">
        <f>HYPERLINK("https://klasma.github.io/Logging_ARE/artfynd/A 56183-2022.xlsx")</f>
        <v/>
      </c>
      <c r="T608">
        <f>HYPERLINK("https://klasma.github.io/Logging_ARE/kartor/A 56183-2022.png")</f>
        <v/>
      </c>
      <c r="V608">
        <f>HYPERLINK("https://klasma.github.io/Logging_ARE/klagomål/A 56183-2022.docx")</f>
        <v/>
      </c>
      <c r="W608">
        <f>HYPERLINK("https://klasma.github.io/Logging_ARE/klagomålsmail/A 56183-2022.docx")</f>
        <v/>
      </c>
      <c r="X608">
        <f>HYPERLINK("https://klasma.github.io/Logging_ARE/tillsyn/A 56183-2022.docx")</f>
        <v/>
      </c>
      <c r="Y608">
        <f>HYPERLINK("https://klasma.github.io/Logging_ARE/tillsynsmail/A 56183-2022.docx")</f>
        <v/>
      </c>
    </row>
    <row r="609" ht="15" customHeight="1">
      <c r="A609" t="inlineStr">
        <is>
          <t>A 58082-2022</t>
        </is>
      </c>
      <c r="B609" s="1" t="n">
        <v>44900</v>
      </c>
      <c r="C609" s="1" t="n">
        <v>45182</v>
      </c>
      <c r="D609" t="inlineStr">
        <is>
          <t>JÄMTLANDS LÄN</t>
        </is>
      </c>
      <c r="E609" t="inlineStr">
        <is>
          <t>ÅRE</t>
        </is>
      </c>
      <c r="G609" t="n">
        <v>28.2</v>
      </c>
      <c r="H609" t="n">
        <v>2</v>
      </c>
      <c r="I609" t="n">
        <v>1</v>
      </c>
      <c r="J609" t="n">
        <v>2</v>
      </c>
      <c r="K609" t="n">
        <v>0</v>
      </c>
      <c r="L609" t="n">
        <v>0</v>
      </c>
      <c r="M609" t="n">
        <v>0</v>
      </c>
      <c r="N609" t="n">
        <v>0</v>
      </c>
      <c r="O609" t="n">
        <v>2</v>
      </c>
      <c r="P609" t="n">
        <v>0</v>
      </c>
      <c r="Q609" t="n">
        <v>3</v>
      </c>
      <c r="R609" s="2" t="inlineStr">
        <is>
          <t>Spillkråka
Tretåig hackspett
Kambräken</t>
        </is>
      </c>
      <c r="S609">
        <f>HYPERLINK("https://klasma.github.io/Logging_ARE/artfynd/A 58082-2022.xlsx")</f>
        <v/>
      </c>
      <c r="T609">
        <f>HYPERLINK("https://klasma.github.io/Logging_ARE/kartor/A 58082-2022.png")</f>
        <v/>
      </c>
      <c r="V609">
        <f>HYPERLINK("https://klasma.github.io/Logging_ARE/klagomål/A 58082-2022.docx")</f>
        <v/>
      </c>
      <c r="W609">
        <f>HYPERLINK("https://klasma.github.io/Logging_ARE/klagomålsmail/A 58082-2022.docx")</f>
        <v/>
      </c>
      <c r="X609">
        <f>HYPERLINK("https://klasma.github.io/Logging_ARE/tillsyn/A 58082-2022.docx")</f>
        <v/>
      </c>
      <c r="Y609">
        <f>HYPERLINK("https://klasma.github.io/Logging_ARE/tillsynsmail/A 58082-2022.docx")</f>
        <v/>
      </c>
    </row>
    <row r="610" ht="15" customHeight="1">
      <c r="A610" t="inlineStr">
        <is>
          <t>A 58737-2022</t>
        </is>
      </c>
      <c r="B610" s="1" t="n">
        <v>44902</v>
      </c>
      <c r="C610" s="1" t="n">
        <v>45182</v>
      </c>
      <c r="D610" t="inlineStr">
        <is>
          <t>JÄMTLANDS LÄN</t>
        </is>
      </c>
      <c r="E610" t="inlineStr">
        <is>
          <t>RAGUNDA</t>
        </is>
      </c>
      <c r="F610" t="inlineStr">
        <is>
          <t>SCA</t>
        </is>
      </c>
      <c r="G610" t="n">
        <v>2.7</v>
      </c>
      <c r="H610" t="n">
        <v>0</v>
      </c>
      <c r="I610" t="n">
        <v>2</v>
      </c>
      <c r="J610" t="n">
        <v>1</v>
      </c>
      <c r="K610" t="n">
        <v>0</v>
      </c>
      <c r="L610" t="n">
        <v>0</v>
      </c>
      <c r="M610" t="n">
        <v>0</v>
      </c>
      <c r="N610" t="n">
        <v>0</v>
      </c>
      <c r="O610" t="n">
        <v>1</v>
      </c>
      <c r="P610" t="n">
        <v>0</v>
      </c>
      <c r="Q610" t="n">
        <v>3</v>
      </c>
      <c r="R610" s="2" t="inlineStr">
        <is>
          <t>Garnlav
Källmossor
Stuplav</t>
        </is>
      </c>
      <c r="S610">
        <f>HYPERLINK("https://klasma.github.io/Logging_RAGUNDA/artfynd/A 58737-2022.xlsx")</f>
        <v/>
      </c>
      <c r="T610">
        <f>HYPERLINK("https://klasma.github.io/Logging_RAGUNDA/kartor/A 58737-2022.png")</f>
        <v/>
      </c>
      <c r="V610">
        <f>HYPERLINK("https://klasma.github.io/Logging_RAGUNDA/klagomål/A 58737-2022.docx")</f>
        <v/>
      </c>
      <c r="W610">
        <f>HYPERLINK("https://klasma.github.io/Logging_RAGUNDA/klagomålsmail/A 58737-2022.docx")</f>
        <v/>
      </c>
      <c r="X610">
        <f>HYPERLINK("https://klasma.github.io/Logging_RAGUNDA/tillsyn/A 58737-2022.docx")</f>
        <v/>
      </c>
      <c r="Y610">
        <f>HYPERLINK("https://klasma.github.io/Logging_RAGUNDA/tillsynsmail/A 58737-2022.docx")</f>
        <v/>
      </c>
    </row>
    <row r="611" ht="15" customHeight="1">
      <c r="A611" t="inlineStr">
        <is>
          <t>A 59237-2022</t>
        </is>
      </c>
      <c r="B611" s="1" t="n">
        <v>44904</v>
      </c>
      <c r="C611" s="1" t="n">
        <v>45182</v>
      </c>
      <c r="D611" t="inlineStr">
        <is>
          <t>JÄMTLANDS LÄN</t>
        </is>
      </c>
      <c r="E611" t="inlineStr">
        <is>
          <t>ÅRE</t>
        </is>
      </c>
      <c r="G611" t="n">
        <v>33.7</v>
      </c>
      <c r="H611" t="n">
        <v>1</v>
      </c>
      <c r="I611" t="n">
        <v>0</v>
      </c>
      <c r="J611" t="n">
        <v>3</v>
      </c>
      <c r="K611" t="n">
        <v>0</v>
      </c>
      <c r="L611" t="n">
        <v>0</v>
      </c>
      <c r="M611" t="n">
        <v>0</v>
      </c>
      <c r="N611" t="n">
        <v>0</v>
      </c>
      <c r="O611" t="n">
        <v>3</v>
      </c>
      <c r="P611" t="n">
        <v>0</v>
      </c>
      <c r="Q611" t="n">
        <v>3</v>
      </c>
      <c r="R611" s="2" t="inlineStr">
        <is>
          <t>Granticka
Tretåig hackspett
Vitgrynig nållav</t>
        </is>
      </c>
      <c r="S611">
        <f>HYPERLINK("https://klasma.github.io/Logging_ARE/artfynd/A 59237-2022.xlsx")</f>
        <v/>
      </c>
      <c r="T611">
        <f>HYPERLINK("https://klasma.github.io/Logging_ARE/kartor/A 59237-2022.png")</f>
        <v/>
      </c>
      <c r="V611">
        <f>HYPERLINK("https://klasma.github.io/Logging_ARE/klagomål/A 59237-2022.docx")</f>
        <v/>
      </c>
      <c r="W611">
        <f>HYPERLINK("https://klasma.github.io/Logging_ARE/klagomålsmail/A 59237-2022.docx")</f>
        <v/>
      </c>
      <c r="X611">
        <f>HYPERLINK("https://klasma.github.io/Logging_ARE/tillsyn/A 59237-2022.docx")</f>
        <v/>
      </c>
      <c r="Y611">
        <f>HYPERLINK("https://klasma.github.io/Logging_ARE/tillsynsmail/A 59237-2022.docx")</f>
        <v/>
      </c>
    </row>
    <row r="612" ht="15" customHeight="1">
      <c r="A612" t="inlineStr">
        <is>
          <t>A 60565-2022</t>
        </is>
      </c>
      <c r="B612" s="1" t="n">
        <v>44904</v>
      </c>
      <c r="C612" s="1" t="n">
        <v>45182</v>
      </c>
      <c r="D612" t="inlineStr">
        <is>
          <t>JÄMTLANDS LÄN</t>
        </is>
      </c>
      <c r="E612" t="inlineStr">
        <is>
          <t>ÖSTERSUND</t>
        </is>
      </c>
      <c r="G612" t="n">
        <v>2.5</v>
      </c>
      <c r="H612" t="n">
        <v>2</v>
      </c>
      <c r="I612" t="n">
        <v>0</v>
      </c>
      <c r="J612" t="n">
        <v>2</v>
      </c>
      <c r="K612" t="n">
        <v>0</v>
      </c>
      <c r="L612" t="n">
        <v>0</v>
      </c>
      <c r="M612" t="n">
        <v>0</v>
      </c>
      <c r="N612" t="n">
        <v>0</v>
      </c>
      <c r="O612" t="n">
        <v>2</v>
      </c>
      <c r="P612" t="n">
        <v>0</v>
      </c>
      <c r="Q612" t="n">
        <v>3</v>
      </c>
      <c r="R612" s="2" t="inlineStr">
        <is>
          <t>Garnlav
Talltita
Revlummer</t>
        </is>
      </c>
      <c r="S612">
        <f>HYPERLINK("https://klasma.github.io/Logging_OSTERSUND/artfynd/A 60565-2022.xlsx")</f>
        <v/>
      </c>
      <c r="T612">
        <f>HYPERLINK("https://klasma.github.io/Logging_OSTERSUND/kartor/A 60565-2022.png")</f>
        <v/>
      </c>
      <c r="V612">
        <f>HYPERLINK("https://klasma.github.io/Logging_OSTERSUND/klagomål/A 60565-2022.docx")</f>
        <v/>
      </c>
      <c r="W612">
        <f>HYPERLINK("https://klasma.github.io/Logging_OSTERSUND/klagomålsmail/A 60565-2022.docx")</f>
        <v/>
      </c>
      <c r="X612">
        <f>HYPERLINK("https://klasma.github.io/Logging_OSTERSUND/tillsyn/A 60565-2022.docx")</f>
        <v/>
      </c>
      <c r="Y612">
        <f>HYPERLINK("https://klasma.github.io/Logging_OSTERSUND/tillsynsmail/A 60565-2022.docx")</f>
        <v/>
      </c>
    </row>
    <row r="613" ht="15" customHeight="1">
      <c r="A613" t="inlineStr">
        <is>
          <t>A 1372-2023</t>
        </is>
      </c>
      <c r="B613" s="1" t="n">
        <v>44936</v>
      </c>
      <c r="C613" s="1" t="n">
        <v>45182</v>
      </c>
      <c r="D613" t="inlineStr">
        <is>
          <t>JÄMTLANDS LÄN</t>
        </is>
      </c>
      <c r="E613" t="inlineStr">
        <is>
          <t>KROKOM</t>
        </is>
      </c>
      <c r="F613" t="inlineStr">
        <is>
          <t>Kyrkan</t>
        </is>
      </c>
      <c r="G613" t="n">
        <v>8.9</v>
      </c>
      <c r="H613" t="n">
        <v>1</v>
      </c>
      <c r="I613" t="n">
        <v>0</v>
      </c>
      <c r="J613" t="n">
        <v>3</v>
      </c>
      <c r="K613" t="n">
        <v>0</v>
      </c>
      <c r="L613" t="n">
        <v>0</v>
      </c>
      <c r="M613" t="n">
        <v>0</v>
      </c>
      <c r="N613" t="n">
        <v>0</v>
      </c>
      <c r="O613" t="n">
        <v>3</v>
      </c>
      <c r="P613" t="n">
        <v>0</v>
      </c>
      <c r="Q613" t="n">
        <v>3</v>
      </c>
      <c r="R613" s="2" t="inlineStr">
        <is>
          <t>Lunglav
Skrovellav
Tretåig hackspett</t>
        </is>
      </c>
      <c r="S613">
        <f>HYPERLINK("https://klasma.github.io/Logging_KROKOM/artfynd/A 1372-2023.xlsx")</f>
        <v/>
      </c>
      <c r="T613">
        <f>HYPERLINK("https://klasma.github.io/Logging_KROKOM/kartor/A 1372-2023.png")</f>
        <v/>
      </c>
      <c r="V613">
        <f>HYPERLINK("https://klasma.github.io/Logging_KROKOM/klagomål/A 1372-2023.docx")</f>
        <v/>
      </c>
      <c r="W613">
        <f>HYPERLINK("https://klasma.github.io/Logging_KROKOM/klagomålsmail/A 1372-2023.docx")</f>
        <v/>
      </c>
      <c r="X613">
        <f>HYPERLINK("https://klasma.github.io/Logging_KROKOM/tillsyn/A 1372-2023.docx")</f>
        <v/>
      </c>
      <c r="Y613">
        <f>HYPERLINK("https://klasma.github.io/Logging_KROKOM/tillsynsmail/A 1372-2023.docx")</f>
        <v/>
      </c>
    </row>
    <row r="614" ht="15" customHeight="1">
      <c r="A614" t="inlineStr">
        <is>
          <t>A 5100-2023</t>
        </is>
      </c>
      <c r="B614" s="1" t="n">
        <v>44956</v>
      </c>
      <c r="C614" s="1" t="n">
        <v>45182</v>
      </c>
      <c r="D614" t="inlineStr">
        <is>
          <t>JÄMTLANDS LÄN</t>
        </is>
      </c>
      <c r="E614" t="inlineStr">
        <is>
          <t>ÖSTERSUND</t>
        </is>
      </c>
      <c r="G614" t="n">
        <v>2.6</v>
      </c>
      <c r="H614" t="n">
        <v>0</v>
      </c>
      <c r="I614" t="n">
        <v>2</v>
      </c>
      <c r="J614" t="n">
        <v>0</v>
      </c>
      <c r="K614" t="n">
        <v>0</v>
      </c>
      <c r="L614" t="n">
        <v>1</v>
      </c>
      <c r="M614" t="n">
        <v>0</v>
      </c>
      <c r="N614" t="n">
        <v>0</v>
      </c>
      <c r="O614" t="n">
        <v>1</v>
      </c>
      <c r="P614" t="n">
        <v>1</v>
      </c>
      <c r="Q614" t="n">
        <v>3</v>
      </c>
      <c r="R614" s="2" t="inlineStr">
        <is>
          <t>Trolldruvemätare
Svart trolldruva
Tibast</t>
        </is>
      </c>
      <c r="S614">
        <f>HYPERLINK("https://klasma.github.io/Logging_OSTERSUND/artfynd/A 5100-2023.xlsx")</f>
        <v/>
      </c>
      <c r="T614">
        <f>HYPERLINK("https://klasma.github.io/Logging_OSTERSUND/kartor/A 5100-2023.png")</f>
        <v/>
      </c>
      <c r="V614">
        <f>HYPERLINK("https://klasma.github.io/Logging_OSTERSUND/klagomål/A 5100-2023.docx")</f>
        <v/>
      </c>
      <c r="W614">
        <f>HYPERLINK("https://klasma.github.io/Logging_OSTERSUND/klagomålsmail/A 5100-2023.docx")</f>
        <v/>
      </c>
      <c r="X614">
        <f>HYPERLINK("https://klasma.github.io/Logging_OSTERSUND/tillsyn/A 5100-2023.docx")</f>
        <v/>
      </c>
      <c r="Y614">
        <f>HYPERLINK("https://klasma.github.io/Logging_OSTERSUND/tillsynsmail/A 5100-2023.docx")</f>
        <v/>
      </c>
    </row>
    <row r="615" ht="15" customHeight="1">
      <c r="A615" t="inlineStr">
        <is>
          <t>A 7519-2023</t>
        </is>
      </c>
      <c r="B615" s="1" t="n">
        <v>44971</v>
      </c>
      <c r="C615" s="1" t="n">
        <v>45182</v>
      </c>
      <c r="D615" t="inlineStr">
        <is>
          <t>JÄMTLANDS LÄN</t>
        </is>
      </c>
      <c r="E615" t="inlineStr">
        <is>
          <t>RAGUNDA</t>
        </is>
      </c>
      <c r="F615" t="inlineStr">
        <is>
          <t>SCA</t>
        </is>
      </c>
      <c r="G615" t="n">
        <v>3.2</v>
      </c>
      <c r="H615" t="n">
        <v>0</v>
      </c>
      <c r="I615" t="n">
        <v>1</v>
      </c>
      <c r="J615" t="n">
        <v>2</v>
      </c>
      <c r="K615" t="n">
        <v>0</v>
      </c>
      <c r="L615" t="n">
        <v>0</v>
      </c>
      <c r="M615" t="n">
        <v>0</v>
      </c>
      <c r="N615" t="n">
        <v>0</v>
      </c>
      <c r="O615" t="n">
        <v>2</v>
      </c>
      <c r="P615" t="n">
        <v>0</v>
      </c>
      <c r="Q615" t="n">
        <v>3</v>
      </c>
      <c r="R615" s="2" t="inlineStr">
        <is>
          <t>Granticka
Lunglav
Stor aspticka</t>
        </is>
      </c>
      <c r="S615">
        <f>HYPERLINK("https://klasma.github.io/Logging_RAGUNDA/artfynd/A 7519-2023.xlsx")</f>
        <v/>
      </c>
      <c r="T615">
        <f>HYPERLINK("https://klasma.github.io/Logging_RAGUNDA/kartor/A 7519-2023.png")</f>
        <v/>
      </c>
      <c r="V615">
        <f>HYPERLINK("https://klasma.github.io/Logging_RAGUNDA/klagomål/A 7519-2023.docx")</f>
        <v/>
      </c>
      <c r="W615">
        <f>HYPERLINK("https://klasma.github.io/Logging_RAGUNDA/klagomålsmail/A 7519-2023.docx")</f>
        <v/>
      </c>
      <c r="X615">
        <f>HYPERLINK("https://klasma.github.io/Logging_RAGUNDA/tillsyn/A 7519-2023.docx")</f>
        <v/>
      </c>
      <c r="Y615">
        <f>HYPERLINK("https://klasma.github.io/Logging_RAGUNDA/tillsynsmail/A 7519-2023.docx")</f>
        <v/>
      </c>
    </row>
    <row r="616" ht="15" customHeight="1">
      <c r="A616" t="inlineStr">
        <is>
          <t>A 8438-2023</t>
        </is>
      </c>
      <c r="B616" s="1" t="n">
        <v>44977</v>
      </c>
      <c r="C616" s="1" t="n">
        <v>45182</v>
      </c>
      <c r="D616" t="inlineStr">
        <is>
          <t>JÄMTLANDS LÄN</t>
        </is>
      </c>
      <c r="E616" t="inlineStr">
        <is>
          <t>ÅRE</t>
        </is>
      </c>
      <c r="F616" t="inlineStr">
        <is>
          <t>Övriga Aktiebolag</t>
        </is>
      </c>
      <c r="G616" t="n">
        <v>0.6</v>
      </c>
      <c r="H616" t="n">
        <v>1</v>
      </c>
      <c r="I616" t="n">
        <v>0</v>
      </c>
      <c r="J616" t="n">
        <v>3</v>
      </c>
      <c r="K616" t="n">
        <v>0</v>
      </c>
      <c r="L616" t="n">
        <v>0</v>
      </c>
      <c r="M616" t="n">
        <v>0</v>
      </c>
      <c r="N616" t="n">
        <v>0</v>
      </c>
      <c r="O616" t="n">
        <v>3</v>
      </c>
      <c r="P616" t="n">
        <v>0</v>
      </c>
      <c r="Q616" t="n">
        <v>3</v>
      </c>
      <c r="R616" s="2" t="inlineStr">
        <is>
          <t>Garnlav
Granticka
Tretåig hackspett</t>
        </is>
      </c>
      <c r="S616">
        <f>HYPERLINK("https://klasma.github.io/Logging_ARE/artfynd/A 8438-2023.xlsx")</f>
        <v/>
      </c>
      <c r="T616">
        <f>HYPERLINK("https://klasma.github.io/Logging_ARE/kartor/A 8438-2023.png")</f>
        <v/>
      </c>
      <c r="V616">
        <f>HYPERLINK("https://klasma.github.io/Logging_ARE/klagomål/A 8438-2023.docx")</f>
        <v/>
      </c>
      <c r="W616">
        <f>HYPERLINK("https://klasma.github.io/Logging_ARE/klagomålsmail/A 8438-2023.docx")</f>
        <v/>
      </c>
      <c r="X616">
        <f>HYPERLINK("https://klasma.github.io/Logging_ARE/tillsyn/A 8438-2023.docx")</f>
        <v/>
      </c>
      <c r="Y616">
        <f>HYPERLINK("https://klasma.github.io/Logging_ARE/tillsynsmail/A 8438-2023.docx")</f>
        <v/>
      </c>
    </row>
    <row r="617" ht="15" customHeight="1">
      <c r="A617" t="inlineStr">
        <is>
          <t>A 8470-2023</t>
        </is>
      </c>
      <c r="B617" s="1" t="n">
        <v>44977</v>
      </c>
      <c r="C617" s="1" t="n">
        <v>45182</v>
      </c>
      <c r="D617" t="inlineStr">
        <is>
          <t>JÄMTLANDS LÄN</t>
        </is>
      </c>
      <c r="E617" t="inlineStr">
        <is>
          <t>ÅRE</t>
        </is>
      </c>
      <c r="F617" t="inlineStr">
        <is>
          <t>Övriga Aktiebolag</t>
        </is>
      </c>
      <c r="G617" t="n">
        <v>8.699999999999999</v>
      </c>
      <c r="H617" t="n">
        <v>1</v>
      </c>
      <c r="I617" t="n">
        <v>1</v>
      </c>
      <c r="J617" t="n">
        <v>2</v>
      </c>
      <c r="K617" t="n">
        <v>0</v>
      </c>
      <c r="L617" t="n">
        <v>0</v>
      </c>
      <c r="M617" t="n">
        <v>0</v>
      </c>
      <c r="N617" t="n">
        <v>0</v>
      </c>
      <c r="O617" t="n">
        <v>2</v>
      </c>
      <c r="P617" t="n">
        <v>0</v>
      </c>
      <c r="Q617" t="n">
        <v>3</v>
      </c>
      <c r="R617" s="2" t="inlineStr">
        <is>
          <t>Granticka
Tretåig hackspett
Skinnlav</t>
        </is>
      </c>
      <c r="S617">
        <f>HYPERLINK("https://klasma.github.io/Logging_ARE/artfynd/A 8470-2023.xlsx")</f>
        <v/>
      </c>
      <c r="T617">
        <f>HYPERLINK("https://klasma.github.io/Logging_ARE/kartor/A 8470-2023.png")</f>
        <v/>
      </c>
      <c r="V617">
        <f>HYPERLINK("https://klasma.github.io/Logging_ARE/klagomål/A 8470-2023.docx")</f>
        <v/>
      </c>
      <c r="W617">
        <f>HYPERLINK("https://klasma.github.io/Logging_ARE/klagomålsmail/A 8470-2023.docx")</f>
        <v/>
      </c>
      <c r="X617">
        <f>HYPERLINK("https://klasma.github.io/Logging_ARE/tillsyn/A 8470-2023.docx")</f>
        <v/>
      </c>
      <c r="Y617">
        <f>HYPERLINK("https://klasma.github.io/Logging_ARE/tillsynsmail/A 8470-2023.docx")</f>
        <v/>
      </c>
    </row>
    <row r="618" ht="15" customHeight="1">
      <c r="A618" t="inlineStr">
        <is>
          <t>A 10627-2023</t>
        </is>
      </c>
      <c r="B618" s="1" t="n">
        <v>44984</v>
      </c>
      <c r="C618" s="1" t="n">
        <v>45182</v>
      </c>
      <c r="D618" t="inlineStr">
        <is>
          <t>JÄMTLANDS LÄN</t>
        </is>
      </c>
      <c r="E618" t="inlineStr">
        <is>
          <t>ÅRE</t>
        </is>
      </c>
      <c r="G618" t="n">
        <v>29.1</v>
      </c>
      <c r="H618" t="n">
        <v>1</v>
      </c>
      <c r="I618" t="n">
        <v>0</v>
      </c>
      <c r="J618" t="n">
        <v>3</v>
      </c>
      <c r="K618" t="n">
        <v>0</v>
      </c>
      <c r="L618" t="n">
        <v>0</v>
      </c>
      <c r="M618" t="n">
        <v>0</v>
      </c>
      <c r="N618" t="n">
        <v>0</v>
      </c>
      <c r="O618" t="n">
        <v>3</v>
      </c>
      <c r="P618" t="n">
        <v>0</v>
      </c>
      <c r="Q618" t="n">
        <v>3</v>
      </c>
      <c r="R618" s="2" t="inlineStr">
        <is>
          <t>Harticka
Tretåig hackspett
Vitgrynig nållav</t>
        </is>
      </c>
      <c r="S618">
        <f>HYPERLINK("https://klasma.github.io/Logging_ARE/artfynd/A 10627-2023.xlsx")</f>
        <v/>
      </c>
      <c r="T618">
        <f>HYPERLINK("https://klasma.github.io/Logging_ARE/kartor/A 10627-2023.png")</f>
        <v/>
      </c>
      <c r="V618">
        <f>HYPERLINK("https://klasma.github.io/Logging_ARE/klagomål/A 10627-2023.docx")</f>
        <v/>
      </c>
      <c r="W618">
        <f>HYPERLINK("https://klasma.github.io/Logging_ARE/klagomålsmail/A 10627-2023.docx")</f>
        <v/>
      </c>
      <c r="X618">
        <f>HYPERLINK("https://klasma.github.io/Logging_ARE/tillsyn/A 10627-2023.docx")</f>
        <v/>
      </c>
      <c r="Y618">
        <f>HYPERLINK("https://klasma.github.io/Logging_ARE/tillsynsmail/A 10627-2023.docx")</f>
        <v/>
      </c>
    </row>
    <row r="619" ht="15" customHeight="1">
      <c r="A619" t="inlineStr">
        <is>
          <t>A 10065-2023</t>
        </is>
      </c>
      <c r="B619" s="1" t="n">
        <v>44985</v>
      </c>
      <c r="C619" s="1" t="n">
        <v>45182</v>
      </c>
      <c r="D619" t="inlineStr">
        <is>
          <t>JÄMTLANDS LÄN</t>
        </is>
      </c>
      <c r="E619" t="inlineStr">
        <is>
          <t>STRÖMSUND</t>
        </is>
      </c>
      <c r="G619" t="n">
        <v>0.6</v>
      </c>
      <c r="H619" t="n">
        <v>1</v>
      </c>
      <c r="I619" t="n">
        <v>2</v>
      </c>
      <c r="J619" t="n">
        <v>1</v>
      </c>
      <c r="K619" t="n">
        <v>0</v>
      </c>
      <c r="L619" t="n">
        <v>0</v>
      </c>
      <c r="M619" t="n">
        <v>0</v>
      </c>
      <c r="N619" t="n">
        <v>0</v>
      </c>
      <c r="O619" t="n">
        <v>1</v>
      </c>
      <c r="P619" t="n">
        <v>0</v>
      </c>
      <c r="Q619" t="n">
        <v>3</v>
      </c>
      <c r="R619" s="2" t="inlineStr">
        <is>
          <t>Orange taggsvamp
Grönkulla
Svart trolldruva</t>
        </is>
      </c>
      <c r="S619">
        <f>HYPERLINK("https://klasma.github.io/Logging_STROMSUND/artfynd/A 10065-2023.xlsx")</f>
        <v/>
      </c>
      <c r="T619">
        <f>HYPERLINK("https://klasma.github.io/Logging_STROMSUND/kartor/A 10065-2023.png")</f>
        <v/>
      </c>
      <c r="V619">
        <f>HYPERLINK("https://klasma.github.io/Logging_STROMSUND/klagomål/A 10065-2023.docx")</f>
        <v/>
      </c>
      <c r="W619">
        <f>HYPERLINK("https://klasma.github.io/Logging_STROMSUND/klagomålsmail/A 10065-2023.docx")</f>
        <v/>
      </c>
      <c r="X619">
        <f>HYPERLINK("https://klasma.github.io/Logging_STROMSUND/tillsyn/A 10065-2023.docx")</f>
        <v/>
      </c>
      <c r="Y619">
        <f>HYPERLINK("https://klasma.github.io/Logging_STROMSUND/tillsynsmail/A 10065-2023.docx")</f>
        <v/>
      </c>
    </row>
    <row r="620" ht="15" customHeight="1">
      <c r="A620" t="inlineStr">
        <is>
          <t>A 10531-2023</t>
        </is>
      </c>
      <c r="B620" s="1" t="n">
        <v>44987</v>
      </c>
      <c r="C620" s="1" t="n">
        <v>45182</v>
      </c>
      <c r="D620" t="inlineStr">
        <is>
          <t>JÄMTLANDS LÄN</t>
        </is>
      </c>
      <c r="E620" t="inlineStr">
        <is>
          <t>RAGUNDA</t>
        </is>
      </c>
      <c r="G620" t="n">
        <v>27.1</v>
      </c>
      <c r="H620" t="n">
        <v>0</v>
      </c>
      <c r="I620" t="n">
        <v>1</v>
      </c>
      <c r="J620" t="n">
        <v>2</v>
      </c>
      <c r="K620" t="n">
        <v>0</v>
      </c>
      <c r="L620" t="n">
        <v>0</v>
      </c>
      <c r="M620" t="n">
        <v>0</v>
      </c>
      <c r="N620" t="n">
        <v>0</v>
      </c>
      <c r="O620" t="n">
        <v>2</v>
      </c>
      <c r="P620" t="n">
        <v>0</v>
      </c>
      <c r="Q620" t="n">
        <v>3</v>
      </c>
      <c r="R620" s="2" t="inlineStr">
        <is>
          <t>Blanksvart spiklav
Stiftgelélav
Dropptaggsvamp</t>
        </is>
      </c>
      <c r="S620">
        <f>HYPERLINK("https://klasma.github.io/Logging_RAGUNDA/artfynd/A 10531-2023.xlsx")</f>
        <v/>
      </c>
      <c r="T620">
        <f>HYPERLINK("https://klasma.github.io/Logging_RAGUNDA/kartor/A 10531-2023.png")</f>
        <v/>
      </c>
      <c r="U620">
        <f>HYPERLINK("https://klasma.github.io/Logging_RAGUNDA/knärot/A 10531-2023.png")</f>
        <v/>
      </c>
      <c r="V620">
        <f>HYPERLINK("https://klasma.github.io/Logging_RAGUNDA/klagomål/A 10531-2023.docx")</f>
        <v/>
      </c>
      <c r="W620">
        <f>HYPERLINK("https://klasma.github.io/Logging_RAGUNDA/klagomålsmail/A 10531-2023.docx")</f>
        <v/>
      </c>
      <c r="X620">
        <f>HYPERLINK("https://klasma.github.io/Logging_RAGUNDA/tillsyn/A 10531-2023.docx")</f>
        <v/>
      </c>
      <c r="Y620">
        <f>HYPERLINK("https://klasma.github.io/Logging_RAGUNDA/tillsynsmail/A 10531-2023.docx")</f>
        <v/>
      </c>
    </row>
    <row r="621" ht="15" customHeight="1">
      <c r="A621" t="inlineStr">
        <is>
          <t>A 10527-2023</t>
        </is>
      </c>
      <c r="B621" s="1" t="n">
        <v>44987</v>
      </c>
      <c r="C621" s="1" t="n">
        <v>45182</v>
      </c>
      <c r="D621" t="inlineStr">
        <is>
          <t>JÄMTLANDS LÄN</t>
        </is>
      </c>
      <c r="E621" t="inlineStr">
        <is>
          <t>RAGUNDA</t>
        </is>
      </c>
      <c r="G621" t="n">
        <v>4.6</v>
      </c>
      <c r="H621" t="n">
        <v>0</v>
      </c>
      <c r="I621" t="n">
        <v>2</v>
      </c>
      <c r="J621" t="n">
        <v>1</v>
      </c>
      <c r="K621" t="n">
        <v>0</v>
      </c>
      <c r="L621" t="n">
        <v>0</v>
      </c>
      <c r="M621" t="n">
        <v>0</v>
      </c>
      <c r="N621" t="n">
        <v>0</v>
      </c>
      <c r="O621" t="n">
        <v>1</v>
      </c>
      <c r="P621" t="n">
        <v>0</v>
      </c>
      <c r="Q621" t="n">
        <v>3</v>
      </c>
      <c r="R621" s="2" t="inlineStr">
        <is>
          <t>Ullticka
Kransrams
Vedticka</t>
        </is>
      </c>
      <c r="S621">
        <f>HYPERLINK("https://klasma.github.io/Logging_RAGUNDA/artfynd/A 10527-2023.xlsx")</f>
        <v/>
      </c>
      <c r="T621">
        <f>HYPERLINK("https://klasma.github.io/Logging_RAGUNDA/kartor/A 10527-2023.png")</f>
        <v/>
      </c>
      <c r="V621">
        <f>HYPERLINK("https://klasma.github.io/Logging_RAGUNDA/klagomål/A 10527-2023.docx")</f>
        <v/>
      </c>
      <c r="W621">
        <f>HYPERLINK("https://klasma.github.io/Logging_RAGUNDA/klagomålsmail/A 10527-2023.docx")</f>
        <v/>
      </c>
      <c r="X621">
        <f>HYPERLINK("https://klasma.github.io/Logging_RAGUNDA/tillsyn/A 10527-2023.docx")</f>
        <v/>
      </c>
      <c r="Y621">
        <f>HYPERLINK("https://klasma.github.io/Logging_RAGUNDA/tillsynsmail/A 10527-2023.docx")</f>
        <v/>
      </c>
    </row>
    <row r="622" ht="15" customHeight="1">
      <c r="A622" t="inlineStr">
        <is>
          <t>A 14060-2023</t>
        </is>
      </c>
      <c r="B622" s="1" t="n">
        <v>45007</v>
      </c>
      <c r="C622" s="1" t="n">
        <v>45182</v>
      </c>
      <c r="D622" t="inlineStr">
        <is>
          <t>JÄMTLANDS LÄN</t>
        </is>
      </c>
      <c r="E622" t="inlineStr">
        <is>
          <t>HÄRJEDALEN</t>
        </is>
      </c>
      <c r="F622" t="inlineStr">
        <is>
          <t>Bergvik skog väst AB</t>
        </is>
      </c>
      <c r="G622" t="n">
        <v>6.7</v>
      </c>
      <c r="H622" t="n">
        <v>0</v>
      </c>
      <c r="I622" t="n">
        <v>0</v>
      </c>
      <c r="J622" t="n">
        <v>0</v>
      </c>
      <c r="K622" t="n">
        <v>2</v>
      </c>
      <c r="L622" t="n">
        <v>1</v>
      </c>
      <c r="M622" t="n">
        <v>0</v>
      </c>
      <c r="N622" t="n">
        <v>0</v>
      </c>
      <c r="O622" t="n">
        <v>3</v>
      </c>
      <c r="P622" t="n">
        <v>3</v>
      </c>
      <c r="Q622" t="n">
        <v>3</v>
      </c>
      <c r="R622" s="2" t="inlineStr">
        <is>
          <t>Urskogsporing
Fläckporing
Gräddporing</t>
        </is>
      </c>
      <c r="S622">
        <f>HYPERLINK("https://klasma.github.io/Logging_HARJEDALEN/artfynd/A 14060-2023.xlsx")</f>
        <v/>
      </c>
      <c r="T622">
        <f>HYPERLINK("https://klasma.github.io/Logging_HARJEDALEN/kartor/A 14060-2023.png")</f>
        <v/>
      </c>
      <c r="V622">
        <f>HYPERLINK("https://klasma.github.io/Logging_HARJEDALEN/klagomål/A 14060-2023.docx")</f>
        <v/>
      </c>
      <c r="W622">
        <f>HYPERLINK("https://klasma.github.io/Logging_HARJEDALEN/klagomålsmail/A 14060-2023.docx")</f>
        <v/>
      </c>
      <c r="X622">
        <f>HYPERLINK("https://klasma.github.io/Logging_HARJEDALEN/tillsyn/A 14060-2023.docx")</f>
        <v/>
      </c>
      <c r="Y622">
        <f>HYPERLINK("https://klasma.github.io/Logging_HARJEDALEN/tillsynsmail/A 14060-2023.docx")</f>
        <v/>
      </c>
    </row>
    <row r="623" ht="15" customHeight="1">
      <c r="A623" t="inlineStr">
        <is>
          <t>A 19366-2023</t>
        </is>
      </c>
      <c r="B623" s="1" t="n">
        <v>45049</v>
      </c>
      <c r="C623" s="1" t="n">
        <v>45182</v>
      </c>
      <c r="D623" t="inlineStr">
        <is>
          <t>JÄMTLANDS LÄN</t>
        </is>
      </c>
      <c r="E623" t="inlineStr">
        <is>
          <t>KROKOM</t>
        </is>
      </c>
      <c r="G623" t="n">
        <v>13.8</v>
      </c>
      <c r="H623" t="n">
        <v>1</v>
      </c>
      <c r="I623" t="n">
        <v>1</v>
      </c>
      <c r="J623" t="n">
        <v>2</v>
      </c>
      <c r="K623" t="n">
        <v>0</v>
      </c>
      <c r="L623" t="n">
        <v>0</v>
      </c>
      <c r="M623" t="n">
        <v>0</v>
      </c>
      <c r="N623" t="n">
        <v>0</v>
      </c>
      <c r="O623" t="n">
        <v>2</v>
      </c>
      <c r="P623" t="n">
        <v>0</v>
      </c>
      <c r="Q623" t="n">
        <v>3</v>
      </c>
      <c r="R623" s="2" t="inlineStr">
        <is>
          <t>Garnlav
Tretåig hackspett
Vedticka</t>
        </is>
      </c>
      <c r="S623">
        <f>HYPERLINK("https://klasma.github.io/Logging_KROKOM/artfynd/A 19366-2023.xlsx")</f>
        <v/>
      </c>
      <c r="T623">
        <f>HYPERLINK("https://klasma.github.io/Logging_KROKOM/kartor/A 19366-2023.png")</f>
        <v/>
      </c>
      <c r="V623">
        <f>HYPERLINK("https://klasma.github.io/Logging_KROKOM/klagomål/A 19366-2023.docx")</f>
        <v/>
      </c>
      <c r="W623">
        <f>HYPERLINK("https://klasma.github.io/Logging_KROKOM/klagomålsmail/A 19366-2023.docx")</f>
        <v/>
      </c>
      <c r="X623">
        <f>HYPERLINK("https://klasma.github.io/Logging_KROKOM/tillsyn/A 19366-2023.docx")</f>
        <v/>
      </c>
      <c r="Y623">
        <f>HYPERLINK("https://klasma.github.io/Logging_KROKOM/tillsynsmail/A 19366-2023.docx")</f>
        <v/>
      </c>
    </row>
    <row r="624" ht="15" customHeight="1">
      <c r="A624" t="inlineStr">
        <is>
          <t>A 19520-2023</t>
        </is>
      </c>
      <c r="B624" s="1" t="n">
        <v>45049</v>
      </c>
      <c r="C624" s="1" t="n">
        <v>45182</v>
      </c>
      <c r="D624" t="inlineStr">
        <is>
          <t>JÄMTLANDS LÄN</t>
        </is>
      </c>
      <c r="E624" t="inlineStr">
        <is>
          <t>ÖSTERSUND</t>
        </is>
      </c>
      <c r="G624" t="n">
        <v>2</v>
      </c>
      <c r="H624" t="n">
        <v>0</v>
      </c>
      <c r="I624" t="n">
        <v>2</v>
      </c>
      <c r="J624" t="n">
        <v>0</v>
      </c>
      <c r="K624" t="n">
        <v>0</v>
      </c>
      <c r="L624" t="n">
        <v>1</v>
      </c>
      <c r="M624" t="n">
        <v>0</v>
      </c>
      <c r="N624" t="n">
        <v>0</v>
      </c>
      <c r="O624" t="n">
        <v>1</v>
      </c>
      <c r="P624" t="n">
        <v>1</v>
      </c>
      <c r="Q624" t="n">
        <v>3</v>
      </c>
      <c r="R624" s="2" t="inlineStr">
        <is>
          <t>Trolldruvemätare
Svart trolldruva
Svavelriska</t>
        </is>
      </c>
      <c r="S624">
        <f>HYPERLINK("https://klasma.github.io/Logging_OSTERSUND/artfynd/A 19520-2023.xlsx")</f>
        <v/>
      </c>
      <c r="T624">
        <f>HYPERLINK("https://klasma.github.io/Logging_OSTERSUND/kartor/A 19520-2023.png")</f>
        <v/>
      </c>
      <c r="V624">
        <f>HYPERLINK("https://klasma.github.io/Logging_OSTERSUND/klagomål/A 19520-2023.docx")</f>
        <v/>
      </c>
      <c r="W624">
        <f>HYPERLINK("https://klasma.github.io/Logging_OSTERSUND/klagomålsmail/A 19520-2023.docx")</f>
        <v/>
      </c>
      <c r="X624">
        <f>HYPERLINK("https://klasma.github.io/Logging_OSTERSUND/tillsyn/A 19520-2023.docx")</f>
        <v/>
      </c>
      <c r="Y624">
        <f>HYPERLINK("https://klasma.github.io/Logging_OSTERSUND/tillsynsmail/A 19520-2023.docx")</f>
        <v/>
      </c>
    </row>
    <row r="625" ht="15" customHeight="1">
      <c r="A625" t="inlineStr">
        <is>
          <t>A 19439-2023</t>
        </is>
      </c>
      <c r="B625" s="1" t="n">
        <v>45049</v>
      </c>
      <c r="C625" s="1" t="n">
        <v>45182</v>
      </c>
      <c r="D625" t="inlineStr">
        <is>
          <t>JÄMTLANDS LÄN</t>
        </is>
      </c>
      <c r="E625" t="inlineStr">
        <is>
          <t>RAGUNDA</t>
        </is>
      </c>
      <c r="F625" t="inlineStr">
        <is>
          <t>SCA</t>
        </is>
      </c>
      <c r="G625" t="n">
        <v>1.7</v>
      </c>
      <c r="H625" t="n">
        <v>2</v>
      </c>
      <c r="I625" t="n">
        <v>0</v>
      </c>
      <c r="J625" t="n">
        <v>1</v>
      </c>
      <c r="K625" t="n">
        <v>0</v>
      </c>
      <c r="L625" t="n">
        <v>0</v>
      </c>
      <c r="M625" t="n">
        <v>0</v>
      </c>
      <c r="N625" t="n">
        <v>0</v>
      </c>
      <c r="O625" t="n">
        <v>1</v>
      </c>
      <c r="P625" t="n">
        <v>0</v>
      </c>
      <c r="Q625" t="n">
        <v>3</v>
      </c>
      <c r="R625" s="2" t="inlineStr">
        <is>
          <t>Lunglav
Nattviol
Blåsippa</t>
        </is>
      </c>
      <c r="S625">
        <f>HYPERLINK("https://klasma.github.io/Logging_RAGUNDA/artfynd/A 19439-2023.xlsx")</f>
        <v/>
      </c>
      <c r="T625">
        <f>HYPERLINK("https://klasma.github.io/Logging_RAGUNDA/kartor/A 19439-2023.png")</f>
        <v/>
      </c>
      <c r="V625">
        <f>HYPERLINK("https://klasma.github.io/Logging_RAGUNDA/klagomål/A 19439-2023.docx")</f>
        <v/>
      </c>
      <c r="W625">
        <f>HYPERLINK("https://klasma.github.io/Logging_RAGUNDA/klagomålsmail/A 19439-2023.docx")</f>
        <v/>
      </c>
      <c r="X625">
        <f>HYPERLINK("https://klasma.github.io/Logging_RAGUNDA/tillsyn/A 19439-2023.docx")</f>
        <v/>
      </c>
      <c r="Y625">
        <f>HYPERLINK("https://klasma.github.io/Logging_RAGUNDA/tillsynsmail/A 19439-2023.docx")</f>
        <v/>
      </c>
    </row>
    <row r="626" ht="15" customHeight="1">
      <c r="A626" t="inlineStr">
        <is>
          <t>A 19659-2023</t>
        </is>
      </c>
      <c r="B626" s="1" t="n">
        <v>45050</v>
      </c>
      <c r="C626" s="1" t="n">
        <v>45182</v>
      </c>
      <c r="D626" t="inlineStr">
        <is>
          <t>JÄMTLANDS LÄN</t>
        </is>
      </c>
      <c r="E626" t="inlineStr">
        <is>
          <t>HÄRJEDALEN</t>
        </is>
      </c>
      <c r="F626" t="inlineStr">
        <is>
          <t>Bergvik skog väst AB</t>
        </is>
      </c>
      <c r="G626" t="n">
        <v>2.8</v>
      </c>
      <c r="H626" t="n">
        <v>0</v>
      </c>
      <c r="I626" t="n">
        <v>0</v>
      </c>
      <c r="J626" t="n">
        <v>3</v>
      </c>
      <c r="K626" t="n">
        <v>0</v>
      </c>
      <c r="L626" t="n">
        <v>0</v>
      </c>
      <c r="M626" t="n">
        <v>0</v>
      </c>
      <c r="N626" t="n">
        <v>0</v>
      </c>
      <c r="O626" t="n">
        <v>3</v>
      </c>
      <c r="P626" t="n">
        <v>0</v>
      </c>
      <c r="Q626" t="n">
        <v>3</v>
      </c>
      <c r="R626" s="2" t="inlineStr">
        <is>
          <t>Gäckporing
Nordtagging
Vedskivlav</t>
        </is>
      </c>
      <c r="S626">
        <f>HYPERLINK("https://klasma.github.io/Logging_HARJEDALEN/artfynd/A 19659-2023.xlsx")</f>
        <v/>
      </c>
      <c r="T626">
        <f>HYPERLINK("https://klasma.github.io/Logging_HARJEDALEN/kartor/A 19659-2023.png")</f>
        <v/>
      </c>
      <c r="V626">
        <f>HYPERLINK("https://klasma.github.io/Logging_HARJEDALEN/klagomål/A 19659-2023.docx")</f>
        <v/>
      </c>
      <c r="W626">
        <f>HYPERLINK("https://klasma.github.io/Logging_HARJEDALEN/klagomålsmail/A 19659-2023.docx")</f>
        <v/>
      </c>
      <c r="X626">
        <f>HYPERLINK("https://klasma.github.io/Logging_HARJEDALEN/tillsyn/A 19659-2023.docx")</f>
        <v/>
      </c>
      <c r="Y626">
        <f>HYPERLINK("https://klasma.github.io/Logging_HARJEDALEN/tillsynsmail/A 19659-2023.docx")</f>
        <v/>
      </c>
    </row>
    <row r="627" ht="15" customHeight="1">
      <c r="A627" t="inlineStr">
        <is>
          <t>A 20124-2023</t>
        </is>
      </c>
      <c r="B627" s="1" t="n">
        <v>45055</v>
      </c>
      <c r="C627" s="1" t="n">
        <v>45182</v>
      </c>
      <c r="D627" t="inlineStr">
        <is>
          <t>JÄMTLANDS LÄN</t>
        </is>
      </c>
      <c r="E627" t="inlineStr">
        <is>
          <t>ÅRE</t>
        </is>
      </c>
      <c r="G627" t="n">
        <v>3.4</v>
      </c>
      <c r="H627" t="n">
        <v>0</v>
      </c>
      <c r="I627" t="n">
        <v>3</v>
      </c>
      <c r="J627" t="n">
        <v>0</v>
      </c>
      <c r="K627" t="n">
        <v>0</v>
      </c>
      <c r="L627" t="n">
        <v>0</v>
      </c>
      <c r="M627" t="n">
        <v>0</v>
      </c>
      <c r="N627" t="n">
        <v>0</v>
      </c>
      <c r="O627" t="n">
        <v>0</v>
      </c>
      <c r="P627" t="n">
        <v>0</v>
      </c>
      <c r="Q627" t="n">
        <v>3</v>
      </c>
      <c r="R627" s="2" t="inlineStr">
        <is>
          <t>Finbräken
Svart trolldruva
Underviol</t>
        </is>
      </c>
      <c r="S627">
        <f>HYPERLINK("https://klasma.github.io/Logging_ARE/artfynd/A 20124-2023.xlsx")</f>
        <v/>
      </c>
      <c r="T627">
        <f>HYPERLINK("https://klasma.github.io/Logging_ARE/kartor/A 20124-2023.png")</f>
        <v/>
      </c>
      <c r="V627">
        <f>HYPERLINK("https://klasma.github.io/Logging_ARE/klagomål/A 20124-2023.docx")</f>
        <v/>
      </c>
      <c r="W627">
        <f>HYPERLINK("https://klasma.github.io/Logging_ARE/klagomålsmail/A 20124-2023.docx")</f>
        <v/>
      </c>
      <c r="X627">
        <f>HYPERLINK("https://klasma.github.io/Logging_ARE/tillsyn/A 20124-2023.docx")</f>
        <v/>
      </c>
      <c r="Y627">
        <f>HYPERLINK("https://klasma.github.io/Logging_ARE/tillsynsmail/A 20124-2023.docx")</f>
        <v/>
      </c>
    </row>
    <row r="628" ht="15" customHeight="1">
      <c r="A628" t="inlineStr">
        <is>
          <t>A 21752-2023</t>
        </is>
      </c>
      <c r="B628" s="1" t="n">
        <v>45063</v>
      </c>
      <c r="C628" s="1" t="n">
        <v>45182</v>
      </c>
      <c r="D628" t="inlineStr">
        <is>
          <t>JÄMTLANDS LÄN</t>
        </is>
      </c>
      <c r="E628" t="inlineStr">
        <is>
          <t>ÖSTERSUND</t>
        </is>
      </c>
      <c r="G628" t="n">
        <v>1.5</v>
      </c>
      <c r="H628" t="n">
        <v>3</v>
      </c>
      <c r="I628" t="n">
        <v>1</v>
      </c>
      <c r="J628" t="n">
        <v>0</v>
      </c>
      <c r="K628" t="n">
        <v>1</v>
      </c>
      <c r="L628" t="n">
        <v>0</v>
      </c>
      <c r="M628" t="n">
        <v>0</v>
      </c>
      <c r="N628" t="n">
        <v>0</v>
      </c>
      <c r="O628" t="n">
        <v>1</v>
      </c>
      <c r="P628" t="n">
        <v>1</v>
      </c>
      <c r="Q628" t="n">
        <v>3</v>
      </c>
      <c r="R628" s="2" t="inlineStr">
        <is>
          <t>Knärot
Spindelblomster
Fläcknycklar</t>
        </is>
      </c>
      <c r="S628">
        <f>HYPERLINK("https://klasma.github.io/Logging_OSTERSUND/artfynd/A 21752-2023.xlsx")</f>
        <v/>
      </c>
      <c r="T628">
        <f>HYPERLINK("https://klasma.github.io/Logging_OSTERSUND/kartor/A 21752-2023.png")</f>
        <v/>
      </c>
      <c r="U628">
        <f>HYPERLINK("https://klasma.github.io/Logging_OSTERSUND/knärot/A 21752-2023.png")</f>
        <v/>
      </c>
      <c r="V628">
        <f>HYPERLINK("https://klasma.github.io/Logging_OSTERSUND/klagomål/A 21752-2023.docx")</f>
        <v/>
      </c>
      <c r="W628">
        <f>HYPERLINK("https://klasma.github.io/Logging_OSTERSUND/klagomålsmail/A 21752-2023.docx")</f>
        <v/>
      </c>
      <c r="X628">
        <f>HYPERLINK("https://klasma.github.io/Logging_OSTERSUND/tillsyn/A 21752-2023.docx")</f>
        <v/>
      </c>
      <c r="Y628">
        <f>HYPERLINK("https://klasma.github.io/Logging_OSTERSUND/tillsynsmail/A 21752-2023.docx")</f>
        <v/>
      </c>
    </row>
    <row r="629" ht="15" customHeight="1">
      <c r="A629" t="inlineStr">
        <is>
          <t>A 23638-2023</t>
        </is>
      </c>
      <c r="B629" s="1" t="n">
        <v>45072</v>
      </c>
      <c r="C629" s="1" t="n">
        <v>45182</v>
      </c>
      <c r="D629" t="inlineStr">
        <is>
          <t>JÄMTLANDS LÄN</t>
        </is>
      </c>
      <c r="E629" t="inlineStr">
        <is>
          <t>ÅRE</t>
        </is>
      </c>
      <c r="G629" t="n">
        <v>11.2</v>
      </c>
      <c r="H629" t="n">
        <v>1</v>
      </c>
      <c r="I629" t="n">
        <v>0</v>
      </c>
      <c r="J629" t="n">
        <v>3</v>
      </c>
      <c r="K629" t="n">
        <v>0</v>
      </c>
      <c r="L629" t="n">
        <v>0</v>
      </c>
      <c r="M629" t="n">
        <v>0</v>
      </c>
      <c r="N629" t="n">
        <v>0</v>
      </c>
      <c r="O629" t="n">
        <v>3</v>
      </c>
      <c r="P629" t="n">
        <v>0</v>
      </c>
      <c r="Q629" t="n">
        <v>3</v>
      </c>
      <c r="R629" s="2" t="inlineStr">
        <is>
          <t>Garnlav
Granticka
Tretåig hackspett</t>
        </is>
      </c>
      <c r="S629">
        <f>HYPERLINK("https://klasma.github.io/Logging_ARE/artfynd/A 23638-2023.xlsx")</f>
        <v/>
      </c>
      <c r="T629">
        <f>HYPERLINK("https://klasma.github.io/Logging_ARE/kartor/A 23638-2023.png")</f>
        <v/>
      </c>
      <c r="V629">
        <f>HYPERLINK("https://klasma.github.io/Logging_ARE/klagomål/A 23638-2023.docx")</f>
        <v/>
      </c>
      <c r="W629">
        <f>HYPERLINK("https://klasma.github.io/Logging_ARE/klagomålsmail/A 23638-2023.docx")</f>
        <v/>
      </c>
      <c r="X629">
        <f>HYPERLINK("https://klasma.github.io/Logging_ARE/tillsyn/A 23638-2023.docx")</f>
        <v/>
      </c>
      <c r="Y629">
        <f>HYPERLINK("https://klasma.github.io/Logging_ARE/tillsynsmail/A 23638-2023.docx")</f>
        <v/>
      </c>
    </row>
    <row r="630" ht="15" customHeight="1">
      <c r="A630" t="inlineStr">
        <is>
          <t>A 23729-2023</t>
        </is>
      </c>
      <c r="B630" s="1" t="n">
        <v>45072</v>
      </c>
      <c r="C630" s="1" t="n">
        <v>45182</v>
      </c>
      <c r="D630" t="inlineStr">
        <is>
          <t>JÄMTLANDS LÄN</t>
        </is>
      </c>
      <c r="E630" t="inlineStr">
        <is>
          <t>ÅRE</t>
        </is>
      </c>
      <c r="G630" t="n">
        <v>4.3</v>
      </c>
      <c r="H630" t="n">
        <v>1</v>
      </c>
      <c r="I630" t="n">
        <v>0</v>
      </c>
      <c r="J630" t="n">
        <v>3</v>
      </c>
      <c r="K630" t="n">
        <v>0</v>
      </c>
      <c r="L630" t="n">
        <v>0</v>
      </c>
      <c r="M630" t="n">
        <v>0</v>
      </c>
      <c r="N630" t="n">
        <v>0</v>
      </c>
      <c r="O630" t="n">
        <v>3</v>
      </c>
      <c r="P630" t="n">
        <v>0</v>
      </c>
      <c r="Q630" t="n">
        <v>3</v>
      </c>
      <c r="R630" s="2" t="inlineStr">
        <is>
          <t>Granticka
Lunglav
Tretåig hackspett</t>
        </is>
      </c>
      <c r="S630">
        <f>HYPERLINK("https://klasma.github.io/Logging_ARE/artfynd/A 23729-2023.xlsx")</f>
        <v/>
      </c>
      <c r="T630">
        <f>HYPERLINK("https://klasma.github.io/Logging_ARE/kartor/A 23729-2023.png")</f>
        <v/>
      </c>
      <c r="V630">
        <f>HYPERLINK("https://klasma.github.io/Logging_ARE/klagomål/A 23729-2023.docx")</f>
        <v/>
      </c>
      <c r="W630">
        <f>HYPERLINK("https://klasma.github.io/Logging_ARE/klagomålsmail/A 23729-2023.docx")</f>
        <v/>
      </c>
      <c r="X630">
        <f>HYPERLINK("https://klasma.github.io/Logging_ARE/tillsyn/A 23729-2023.docx")</f>
        <v/>
      </c>
      <c r="Y630">
        <f>HYPERLINK("https://klasma.github.io/Logging_ARE/tillsynsmail/A 23729-2023.docx")</f>
        <v/>
      </c>
    </row>
    <row r="631" ht="15" customHeight="1">
      <c r="A631" t="inlineStr">
        <is>
          <t>A 24549-2023</t>
        </is>
      </c>
      <c r="B631" s="1" t="n">
        <v>45082</v>
      </c>
      <c r="C631" s="1" t="n">
        <v>45182</v>
      </c>
      <c r="D631" t="inlineStr">
        <is>
          <t>JÄMTLANDS LÄN</t>
        </is>
      </c>
      <c r="E631" t="inlineStr">
        <is>
          <t>ÅRE</t>
        </is>
      </c>
      <c r="G631" t="n">
        <v>6.4</v>
      </c>
      <c r="H631" t="n">
        <v>2</v>
      </c>
      <c r="I631" t="n">
        <v>2</v>
      </c>
      <c r="J631" t="n">
        <v>0</v>
      </c>
      <c r="K631" t="n">
        <v>0</v>
      </c>
      <c r="L631" t="n">
        <v>0</v>
      </c>
      <c r="M631" t="n">
        <v>0</v>
      </c>
      <c r="N631" t="n">
        <v>0</v>
      </c>
      <c r="O631" t="n">
        <v>0</v>
      </c>
      <c r="P631" t="n">
        <v>0</v>
      </c>
      <c r="Q631" t="n">
        <v>3</v>
      </c>
      <c r="R631" s="2" t="inlineStr">
        <is>
          <t>Spindelblomster
Ögonpyrola
Revlummer</t>
        </is>
      </c>
      <c r="S631">
        <f>HYPERLINK("https://klasma.github.io/Logging_ARE/artfynd/A 24549-2023.xlsx")</f>
        <v/>
      </c>
      <c r="T631">
        <f>HYPERLINK("https://klasma.github.io/Logging_ARE/kartor/A 24549-2023.png")</f>
        <v/>
      </c>
      <c r="V631">
        <f>HYPERLINK("https://klasma.github.io/Logging_ARE/klagomål/A 24549-2023.docx")</f>
        <v/>
      </c>
      <c r="W631">
        <f>HYPERLINK("https://klasma.github.io/Logging_ARE/klagomålsmail/A 24549-2023.docx")</f>
        <v/>
      </c>
      <c r="X631">
        <f>HYPERLINK("https://klasma.github.io/Logging_ARE/tillsyn/A 24549-2023.docx")</f>
        <v/>
      </c>
      <c r="Y631">
        <f>HYPERLINK("https://klasma.github.io/Logging_ARE/tillsynsmail/A 24549-2023.docx")</f>
        <v/>
      </c>
    </row>
    <row r="632" ht="15" customHeight="1">
      <c r="A632" t="inlineStr">
        <is>
          <t>A 24836-2023</t>
        </is>
      </c>
      <c r="B632" s="1" t="n">
        <v>45084</v>
      </c>
      <c r="C632" s="1" t="n">
        <v>45182</v>
      </c>
      <c r="D632" t="inlineStr">
        <is>
          <t>JÄMTLANDS LÄN</t>
        </is>
      </c>
      <c r="E632" t="inlineStr">
        <is>
          <t>STRÖMSUND</t>
        </is>
      </c>
      <c r="F632" t="inlineStr">
        <is>
          <t>SCA</t>
        </is>
      </c>
      <c r="G632" t="n">
        <v>8.800000000000001</v>
      </c>
      <c r="H632" t="n">
        <v>0</v>
      </c>
      <c r="I632" t="n">
        <v>2</v>
      </c>
      <c r="J632" t="n">
        <v>1</v>
      </c>
      <c r="K632" t="n">
        <v>0</v>
      </c>
      <c r="L632" t="n">
        <v>0</v>
      </c>
      <c r="M632" t="n">
        <v>0</v>
      </c>
      <c r="N632" t="n">
        <v>0</v>
      </c>
      <c r="O632" t="n">
        <v>1</v>
      </c>
      <c r="P632" t="n">
        <v>0</v>
      </c>
      <c r="Q632" t="n">
        <v>3</v>
      </c>
      <c r="R632" s="2" t="inlineStr">
        <is>
          <t>Lunglav
Skinnlav
Stuplav</t>
        </is>
      </c>
      <c r="S632">
        <f>HYPERLINK("https://klasma.github.io/Logging_STROMSUND/artfynd/A 24836-2023.xlsx")</f>
        <v/>
      </c>
      <c r="T632">
        <f>HYPERLINK("https://klasma.github.io/Logging_STROMSUND/kartor/A 24836-2023.png")</f>
        <v/>
      </c>
      <c r="V632">
        <f>HYPERLINK("https://klasma.github.io/Logging_STROMSUND/klagomål/A 24836-2023.docx")</f>
        <v/>
      </c>
      <c r="W632">
        <f>HYPERLINK("https://klasma.github.io/Logging_STROMSUND/klagomålsmail/A 24836-2023.docx")</f>
        <v/>
      </c>
      <c r="X632">
        <f>HYPERLINK("https://klasma.github.io/Logging_STROMSUND/tillsyn/A 24836-2023.docx")</f>
        <v/>
      </c>
      <c r="Y632">
        <f>HYPERLINK("https://klasma.github.io/Logging_STROMSUND/tillsynsmail/A 24836-2023.docx")</f>
        <v/>
      </c>
    </row>
    <row r="633" ht="15" customHeight="1">
      <c r="A633" t="inlineStr">
        <is>
          <t>A 24955-2023</t>
        </is>
      </c>
      <c r="B633" s="1" t="n">
        <v>45085</v>
      </c>
      <c r="C633" s="1" t="n">
        <v>45182</v>
      </c>
      <c r="D633" t="inlineStr">
        <is>
          <t>JÄMTLANDS LÄN</t>
        </is>
      </c>
      <c r="E633" t="inlineStr">
        <is>
          <t>HÄRJEDALEN</t>
        </is>
      </c>
      <c r="G633" t="n">
        <v>7.7</v>
      </c>
      <c r="H633" t="n">
        <v>1</v>
      </c>
      <c r="I633" t="n">
        <v>0</v>
      </c>
      <c r="J633" t="n">
        <v>3</v>
      </c>
      <c r="K633" t="n">
        <v>0</v>
      </c>
      <c r="L633" t="n">
        <v>0</v>
      </c>
      <c r="M633" t="n">
        <v>0</v>
      </c>
      <c r="N633" t="n">
        <v>0</v>
      </c>
      <c r="O633" t="n">
        <v>3</v>
      </c>
      <c r="P633" t="n">
        <v>0</v>
      </c>
      <c r="Q633" t="n">
        <v>3</v>
      </c>
      <c r="R633" s="2" t="inlineStr">
        <is>
          <t>Brunpudrad nållav
Dvärgbägarlav
Tretåig hackspett</t>
        </is>
      </c>
      <c r="S633">
        <f>HYPERLINK("https://klasma.github.io/Logging_HARJEDALEN/artfynd/A 24955-2023.xlsx")</f>
        <v/>
      </c>
      <c r="T633">
        <f>HYPERLINK("https://klasma.github.io/Logging_HARJEDALEN/kartor/A 24955-2023.png")</f>
        <v/>
      </c>
      <c r="V633">
        <f>HYPERLINK("https://klasma.github.io/Logging_HARJEDALEN/klagomål/A 24955-2023.docx")</f>
        <v/>
      </c>
      <c r="W633">
        <f>HYPERLINK("https://klasma.github.io/Logging_HARJEDALEN/klagomålsmail/A 24955-2023.docx")</f>
        <v/>
      </c>
      <c r="X633">
        <f>HYPERLINK("https://klasma.github.io/Logging_HARJEDALEN/tillsyn/A 24955-2023.docx")</f>
        <v/>
      </c>
      <c r="Y633">
        <f>HYPERLINK("https://klasma.github.io/Logging_HARJEDALEN/tillsynsmail/A 24955-2023.docx")</f>
        <v/>
      </c>
    </row>
    <row r="634" ht="15" customHeight="1">
      <c r="A634" t="inlineStr">
        <is>
          <t>A 26651-2023</t>
        </is>
      </c>
      <c r="B634" s="1" t="n">
        <v>45092</v>
      </c>
      <c r="C634" s="1" t="n">
        <v>45182</v>
      </c>
      <c r="D634" t="inlineStr">
        <is>
          <t>JÄMTLANDS LÄN</t>
        </is>
      </c>
      <c r="E634" t="inlineStr">
        <is>
          <t>STRÖMSUND</t>
        </is>
      </c>
      <c r="F634" t="inlineStr">
        <is>
          <t>SCA</t>
        </is>
      </c>
      <c r="G634" t="n">
        <v>3.6</v>
      </c>
      <c r="H634" t="n">
        <v>1</v>
      </c>
      <c r="I634" t="n">
        <v>1</v>
      </c>
      <c r="J634" t="n">
        <v>2</v>
      </c>
      <c r="K634" t="n">
        <v>0</v>
      </c>
      <c r="L634" t="n">
        <v>0</v>
      </c>
      <c r="M634" t="n">
        <v>0</v>
      </c>
      <c r="N634" t="n">
        <v>0</v>
      </c>
      <c r="O634" t="n">
        <v>2</v>
      </c>
      <c r="P634" t="n">
        <v>0</v>
      </c>
      <c r="Q634" t="n">
        <v>3</v>
      </c>
      <c r="R634" s="2" t="inlineStr">
        <is>
          <t>Gammelgransskål
Gränsticka
Lappranunkel</t>
        </is>
      </c>
      <c r="S634">
        <f>HYPERLINK("https://klasma.github.io/Logging_STROMSUND/artfynd/A 26651-2023.xlsx")</f>
        <v/>
      </c>
      <c r="T634">
        <f>HYPERLINK("https://klasma.github.io/Logging_STROMSUND/kartor/A 26651-2023.png")</f>
        <v/>
      </c>
      <c r="V634">
        <f>HYPERLINK("https://klasma.github.io/Logging_STROMSUND/klagomål/A 26651-2023.docx")</f>
        <v/>
      </c>
      <c r="W634">
        <f>HYPERLINK("https://klasma.github.io/Logging_STROMSUND/klagomålsmail/A 26651-2023.docx")</f>
        <v/>
      </c>
      <c r="X634">
        <f>HYPERLINK("https://klasma.github.io/Logging_STROMSUND/tillsyn/A 26651-2023.docx")</f>
        <v/>
      </c>
      <c r="Y634">
        <f>HYPERLINK("https://klasma.github.io/Logging_STROMSUND/tillsynsmail/A 26651-2023.docx")</f>
        <v/>
      </c>
    </row>
    <row r="635" ht="15" customHeight="1">
      <c r="A635" t="inlineStr">
        <is>
          <t>A 27686-2023</t>
        </is>
      </c>
      <c r="B635" s="1" t="n">
        <v>45097</v>
      </c>
      <c r="C635" s="1" t="n">
        <v>45182</v>
      </c>
      <c r="D635" t="inlineStr">
        <is>
          <t>JÄMTLANDS LÄN</t>
        </is>
      </c>
      <c r="E635" t="inlineStr">
        <is>
          <t>STRÖMSUND</t>
        </is>
      </c>
      <c r="F635" t="inlineStr">
        <is>
          <t>SCA</t>
        </is>
      </c>
      <c r="G635" t="n">
        <v>8.699999999999999</v>
      </c>
      <c r="H635" t="n">
        <v>0</v>
      </c>
      <c r="I635" t="n">
        <v>0</v>
      </c>
      <c r="J635" t="n">
        <v>3</v>
      </c>
      <c r="K635" t="n">
        <v>0</v>
      </c>
      <c r="L635" t="n">
        <v>0</v>
      </c>
      <c r="M635" t="n">
        <v>0</v>
      </c>
      <c r="N635" t="n">
        <v>0</v>
      </c>
      <c r="O635" t="n">
        <v>3</v>
      </c>
      <c r="P635" t="n">
        <v>0</v>
      </c>
      <c r="Q635" t="n">
        <v>3</v>
      </c>
      <c r="R635" s="2" t="inlineStr">
        <is>
          <t>Gammelgransskål
Garnlav
Harticka</t>
        </is>
      </c>
      <c r="S635">
        <f>HYPERLINK("https://klasma.github.io/Logging_STROMSUND/artfynd/A 27686-2023.xlsx")</f>
        <v/>
      </c>
      <c r="T635">
        <f>HYPERLINK("https://klasma.github.io/Logging_STROMSUND/kartor/A 27686-2023.png")</f>
        <v/>
      </c>
      <c r="V635">
        <f>HYPERLINK("https://klasma.github.io/Logging_STROMSUND/klagomål/A 27686-2023.docx")</f>
        <v/>
      </c>
      <c r="W635">
        <f>HYPERLINK("https://klasma.github.io/Logging_STROMSUND/klagomålsmail/A 27686-2023.docx")</f>
        <v/>
      </c>
      <c r="X635">
        <f>HYPERLINK("https://klasma.github.io/Logging_STROMSUND/tillsyn/A 27686-2023.docx")</f>
        <v/>
      </c>
      <c r="Y635">
        <f>HYPERLINK("https://klasma.github.io/Logging_STROMSUND/tillsynsmail/A 27686-2023.docx")</f>
        <v/>
      </c>
    </row>
    <row r="636" ht="15" customHeight="1">
      <c r="A636" t="inlineStr">
        <is>
          <t>A 29072-2023</t>
        </is>
      </c>
      <c r="B636" s="1" t="n">
        <v>45104</v>
      </c>
      <c r="C636" s="1" t="n">
        <v>45182</v>
      </c>
      <c r="D636" t="inlineStr">
        <is>
          <t>JÄMTLANDS LÄN</t>
        </is>
      </c>
      <c r="E636" t="inlineStr">
        <is>
          <t>STRÖMSUND</t>
        </is>
      </c>
      <c r="F636" t="inlineStr">
        <is>
          <t>SCA</t>
        </is>
      </c>
      <c r="G636" t="n">
        <v>12.6</v>
      </c>
      <c r="H636" t="n">
        <v>0</v>
      </c>
      <c r="I636" t="n">
        <v>1</v>
      </c>
      <c r="J636" t="n">
        <v>1</v>
      </c>
      <c r="K636" t="n">
        <v>1</v>
      </c>
      <c r="L636" t="n">
        <v>0</v>
      </c>
      <c r="M636" t="n">
        <v>0</v>
      </c>
      <c r="N636" t="n">
        <v>0</v>
      </c>
      <c r="O636" t="n">
        <v>2</v>
      </c>
      <c r="P636" t="n">
        <v>1</v>
      </c>
      <c r="Q636" t="n">
        <v>3</v>
      </c>
      <c r="R636" s="2" t="inlineStr">
        <is>
          <t>Rynkskinn
Rosenticka
Stor aspticka</t>
        </is>
      </c>
      <c r="S636">
        <f>HYPERLINK("https://klasma.github.io/Logging_STROMSUND/artfynd/A 29072-2023.xlsx")</f>
        <v/>
      </c>
      <c r="T636">
        <f>HYPERLINK("https://klasma.github.io/Logging_STROMSUND/kartor/A 29072-2023.png")</f>
        <v/>
      </c>
      <c r="V636">
        <f>HYPERLINK("https://klasma.github.io/Logging_STROMSUND/klagomål/A 29072-2023.docx")</f>
        <v/>
      </c>
      <c r="W636">
        <f>HYPERLINK("https://klasma.github.io/Logging_STROMSUND/klagomålsmail/A 29072-2023.docx")</f>
        <v/>
      </c>
      <c r="X636">
        <f>HYPERLINK("https://klasma.github.io/Logging_STROMSUND/tillsyn/A 29072-2023.docx")</f>
        <v/>
      </c>
      <c r="Y636">
        <f>HYPERLINK("https://klasma.github.io/Logging_STROMSUND/tillsynsmail/A 29072-2023.docx")</f>
        <v/>
      </c>
    </row>
    <row r="637" ht="15" customHeight="1">
      <c r="A637" t="inlineStr">
        <is>
          <t>A 29606-2023</t>
        </is>
      </c>
      <c r="B637" s="1" t="n">
        <v>45106</v>
      </c>
      <c r="C637" s="1" t="n">
        <v>45182</v>
      </c>
      <c r="D637" t="inlineStr">
        <is>
          <t>JÄMTLANDS LÄN</t>
        </is>
      </c>
      <c r="E637" t="inlineStr">
        <is>
          <t>STRÖMSUND</t>
        </is>
      </c>
      <c r="F637" t="inlineStr">
        <is>
          <t>SCA</t>
        </is>
      </c>
      <c r="G637" t="n">
        <v>5.2</v>
      </c>
      <c r="H637" t="n">
        <v>0</v>
      </c>
      <c r="I637" t="n">
        <v>0</v>
      </c>
      <c r="J637" t="n">
        <v>3</v>
      </c>
      <c r="K637" t="n">
        <v>0</v>
      </c>
      <c r="L637" t="n">
        <v>0</v>
      </c>
      <c r="M637" t="n">
        <v>0</v>
      </c>
      <c r="N637" t="n">
        <v>0</v>
      </c>
      <c r="O637" t="n">
        <v>3</v>
      </c>
      <c r="P637" t="n">
        <v>0</v>
      </c>
      <c r="Q637" t="n">
        <v>3</v>
      </c>
      <c r="R637" s="2" t="inlineStr">
        <is>
          <t>Doftskinn
Garnlav
Ullticka</t>
        </is>
      </c>
      <c r="S637">
        <f>HYPERLINK("https://klasma.github.io/Logging_STROMSUND/artfynd/A 29606-2023.xlsx")</f>
        <v/>
      </c>
      <c r="T637">
        <f>HYPERLINK("https://klasma.github.io/Logging_STROMSUND/kartor/A 29606-2023.png")</f>
        <v/>
      </c>
      <c r="V637">
        <f>HYPERLINK("https://klasma.github.io/Logging_STROMSUND/klagomål/A 29606-2023.docx")</f>
        <v/>
      </c>
      <c r="W637">
        <f>HYPERLINK("https://klasma.github.io/Logging_STROMSUND/klagomålsmail/A 29606-2023.docx")</f>
        <v/>
      </c>
      <c r="X637">
        <f>HYPERLINK("https://klasma.github.io/Logging_STROMSUND/tillsyn/A 29606-2023.docx")</f>
        <v/>
      </c>
      <c r="Y637">
        <f>HYPERLINK("https://klasma.github.io/Logging_STROMSUND/tillsynsmail/A 29606-2023.docx")</f>
        <v/>
      </c>
    </row>
    <row r="638" ht="15" customHeight="1">
      <c r="A638" t="inlineStr">
        <is>
          <t>A 33329-2023</t>
        </is>
      </c>
      <c r="B638" s="1" t="n">
        <v>45127</v>
      </c>
      <c r="C638" s="1" t="n">
        <v>45182</v>
      </c>
      <c r="D638" t="inlineStr">
        <is>
          <t>JÄMTLANDS LÄN</t>
        </is>
      </c>
      <c r="E638" t="inlineStr">
        <is>
          <t>STRÖMSUND</t>
        </is>
      </c>
      <c r="F638" t="inlineStr">
        <is>
          <t>SCA</t>
        </is>
      </c>
      <c r="G638" t="n">
        <v>6.4</v>
      </c>
      <c r="H638" t="n">
        <v>0</v>
      </c>
      <c r="I638" t="n">
        <v>0</v>
      </c>
      <c r="J638" t="n">
        <v>3</v>
      </c>
      <c r="K638" t="n">
        <v>0</v>
      </c>
      <c r="L638" t="n">
        <v>0</v>
      </c>
      <c r="M638" t="n">
        <v>0</v>
      </c>
      <c r="N638" t="n">
        <v>0</v>
      </c>
      <c r="O638" t="n">
        <v>3</v>
      </c>
      <c r="P638" t="n">
        <v>0</v>
      </c>
      <c r="Q638" t="n">
        <v>3</v>
      </c>
      <c r="R638" s="2" t="inlineStr">
        <is>
          <t>Dvärgbägarlav
Kortskaftad ärgspik
Vedflamlav</t>
        </is>
      </c>
      <c r="S638">
        <f>HYPERLINK("https://klasma.github.io/Logging_STROMSUND/artfynd/A 33329-2023.xlsx")</f>
        <v/>
      </c>
      <c r="T638">
        <f>HYPERLINK("https://klasma.github.io/Logging_STROMSUND/kartor/A 33329-2023.png")</f>
        <v/>
      </c>
      <c r="V638">
        <f>HYPERLINK("https://klasma.github.io/Logging_STROMSUND/klagomål/A 33329-2023.docx")</f>
        <v/>
      </c>
      <c r="W638">
        <f>HYPERLINK("https://klasma.github.io/Logging_STROMSUND/klagomålsmail/A 33329-2023.docx")</f>
        <v/>
      </c>
      <c r="X638">
        <f>HYPERLINK("https://klasma.github.io/Logging_STROMSUND/tillsyn/A 33329-2023.docx")</f>
        <v/>
      </c>
      <c r="Y638">
        <f>HYPERLINK("https://klasma.github.io/Logging_STROMSUND/tillsynsmail/A 33329-2023.docx")</f>
        <v/>
      </c>
    </row>
    <row r="639" ht="15" customHeight="1">
      <c r="A639" t="inlineStr">
        <is>
          <t>A 40107-2023</t>
        </is>
      </c>
      <c r="B639" s="1" t="n">
        <v>45168</v>
      </c>
      <c r="C639" s="1" t="n">
        <v>45182</v>
      </c>
      <c r="D639" t="inlineStr">
        <is>
          <t>JÄMTLANDS LÄN</t>
        </is>
      </c>
      <c r="E639" t="inlineStr">
        <is>
          <t>STRÖMSUND</t>
        </is>
      </c>
      <c r="F639" t="inlineStr">
        <is>
          <t>SCA</t>
        </is>
      </c>
      <c r="G639" t="n">
        <v>4.6</v>
      </c>
      <c r="H639" t="n">
        <v>1</v>
      </c>
      <c r="I639" t="n">
        <v>1</v>
      </c>
      <c r="J639" t="n">
        <v>2</v>
      </c>
      <c r="K639" t="n">
        <v>0</v>
      </c>
      <c r="L639" t="n">
        <v>0</v>
      </c>
      <c r="M639" t="n">
        <v>0</v>
      </c>
      <c r="N639" t="n">
        <v>0</v>
      </c>
      <c r="O639" t="n">
        <v>2</v>
      </c>
      <c r="P639" t="n">
        <v>0</v>
      </c>
      <c r="Q639" t="n">
        <v>3</v>
      </c>
      <c r="R639" s="2" t="inlineStr">
        <is>
          <t>Gammelgransskål
Ullticka
Korallrot</t>
        </is>
      </c>
      <c r="S639">
        <f>HYPERLINK("https://klasma.github.io/Logging_STROMSUND/artfynd/A 40107-2023.xlsx")</f>
        <v/>
      </c>
      <c r="T639">
        <f>HYPERLINK("https://klasma.github.io/Logging_STROMSUND/kartor/A 40107-2023.png")</f>
        <v/>
      </c>
      <c r="V639">
        <f>HYPERLINK("https://klasma.github.io/Logging_STROMSUND/klagomål/A 40107-2023.docx")</f>
        <v/>
      </c>
      <c r="W639">
        <f>HYPERLINK("https://klasma.github.io/Logging_STROMSUND/klagomålsmail/A 40107-2023.docx")</f>
        <v/>
      </c>
      <c r="X639">
        <f>HYPERLINK("https://klasma.github.io/Logging_STROMSUND/tillsyn/A 40107-2023.docx")</f>
        <v/>
      </c>
      <c r="Y639">
        <f>HYPERLINK("https://klasma.github.io/Logging_STROMSUND/tillsynsmail/A 40107-2023.docx")</f>
        <v/>
      </c>
    </row>
    <row r="640" ht="15" customHeight="1">
      <c r="A640" t="inlineStr">
        <is>
          <t>A 36701-2018</t>
        </is>
      </c>
      <c r="B640" s="1" t="n">
        <v>43329</v>
      </c>
      <c r="C640" s="1" t="n">
        <v>45182</v>
      </c>
      <c r="D640" t="inlineStr">
        <is>
          <t>JÄMTLANDS LÄN</t>
        </is>
      </c>
      <c r="E640" t="inlineStr">
        <is>
          <t>RAGUNDA</t>
        </is>
      </c>
      <c r="G640" t="n">
        <v>39.9</v>
      </c>
      <c r="H640" t="n">
        <v>0</v>
      </c>
      <c r="I640" t="n">
        <v>0</v>
      </c>
      <c r="J640" t="n">
        <v>2</v>
      </c>
      <c r="K640" t="n">
        <v>0</v>
      </c>
      <c r="L640" t="n">
        <v>0</v>
      </c>
      <c r="M640" t="n">
        <v>0</v>
      </c>
      <c r="N640" t="n">
        <v>0</v>
      </c>
      <c r="O640" t="n">
        <v>2</v>
      </c>
      <c r="P640" t="n">
        <v>0</v>
      </c>
      <c r="Q640" t="n">
        <v>2</v>
      </c>
      <c r="R640" s="2" t="inlineStr">
        <is>
          <t>Lunglav
Ullticka</t>
        </is>
      </c>
      <c r="S640">
        <f>HYPERLINK("https://klasma.github.io/Logging_RAGUNDA/artfynd/A 36701-2018.xlsx")</f>
        <v/>
      </c>
      <c r="T640">
        <f>HYPERLINK("https://klasma.github.io/Logging_RAGUNDA/kartor/A 36701-2018.png")</f>
        <v/>
      </c>
      <c r="V640">
        <f>HYPERLINK("https://klasma.github.io/Logging_RAGUNDA/klagomål/A 36701-2018.docx")</f>
        <v/>
      </c>
      <c r="W640">
        <f>HYPERLINK("https://klasma.github.io/Logging_RAGUNDA/klagomålsmail/A 36701-2018.docx")</f>
        <v/>
      </c>
      <c r="X640">
        <f>HYPERLINK("https://klasma.github.io/Logging_RAGUNDA/tillsyn/A 36701-2018.docx")</f>
        <v/>
      </c>
      <c r="Y640">
        <f>HYPERLINK("https://klasma.github.io/Logging_RAGUNDA/tillsynsmail/A 36701-2018.docx")</f>
        <v/>
      </c>
    </row>
    <row r="641" ht="15" customHeight="1">
      <c r="A641" t="inlineStr">
        <is>
          <t>A 45382-2018</t>
        </is>
      </c>
      <c r="B641" s="1" t="n">
        <v>43362</v>
      </c>
      <c r="C641" s="1" t="n">
        <v>45182</v>
      </c>
      <c r="D641" t="inlineStr">
        <is>
          <t>JÄMTLANDS LÄN</t>
        </is>
      </c>
      <c r="E641" t="inlineStr">
        <is>
          <t>KROKOM</t>
        </is>
      </c>
      <c r="G641" t="n">
        <v>8.199999999999999</v>
      </c>
      <c r="H641" t="n">
        <v>0</v>
      </c>
      <c r="I641" t="n">
        <v>1</v>
      </c>
      <c r="J641" t="n">
        <v>1</v>
      </c>
      <c r="K641" t="n">
        <v>0</v>
      </c>
      <c r="L641" t="n">
        <v>0</v>
      </c>
      <c r="M641" t="n">
        <v>0</v>
      </c>
      <c r="N641" t="n">
        <v>0</v>
      </c>
      <c r="O641" t="n">
        <v>1</v>
      </c>
      <c r="P641" t="n">
        <v>0</v>
      </c>
      <c r="Q641" t="n">
        <v>2</v>
      </c>
      <c r="R641" s="2" t="inlineStr">
        <is>
          <t>Gammelgransskål
Stuplav</t>
        </is>
      </c>
      <c r="S641">
        <f>HYPERLINK("https://klasma.github.io/Logging_KROKOM/artfynd/A 45382-2018.xlsx")</f>
        <v/>
      </c>
      <c r="T641">
        <f>HYPERLINK("https://klasma.github.io/Logging_KROKOM/kartor/A 45382-2018.png")</f>
        <v/>
      </c>
      <c r="V641">
        <f>HYPERLINK("https://klasma.github.io/Logging_KROKOM/klagomål/A 45382-2018.docx")</f>
        <v/>
      </c>
      <c r="W641">
        <f>HYPERLINK("https://klasma.github.io/Logging_KROKOM/klagomålsmail/A 45382-2018.docx")</f>
        <v/>
      </c>
      <c r="X641">
        <f>HYPERLINK("https://klasma.github.io/Logging_KROKOM/tillsyn/A 45382-2018.docx")</f>
        <v/>
      </c>
      <c r="Y641">
        <f>HYPERLINK("https://klasma.github.io/Logging_KROKOM/tillsynsmail/A 45382-2018.docx")</f>
        <v/>
      </c>
    </row>
    <row r="642" ht="15" customHeight="1">
      <c r="A642" t="inlineStr">
        <is>
          <t>A 46950-2018</t>
        </is>
      </c>
      <c r="B642" s="1" t="n">
        <v>43369</v>
      </c>
      <c r="C642" s="1" t="n">
        <v>45182</v>
      </c>
      <c r="D642" t="inlineStr">
        <is>
          <t>JÄMTLANDS LÄN</t>
        </is>
      </c>
      <c r="E642" t="inlineStr">
        <is>
          <t>STRÖMSUND</t>
        </is>
      </c>
      <c r="G642" t="n">
        <v>19.3</v>
      </c>
      <c r="H642" t="n">
        <v>0</v>
      </c>
      <c r="I642" t="n">
        <v>1</v>
      </c>
      <c r="J642" t="n">
        <v>1</v>
      </c>
      <c r="K642" t="n">
        <v>0</v>
      </c>
      <c r="L642" t="n">
        <v>0</v>
      </c>
      <c r="M642" t="n">
        <v>0</v>
      </c>
      <c r="N642" t="n">
        <v>0</v>
      </c>
      <c r="O642" t="n">
        <v>1</v>
      </c>
      <c r="P642" t="n">
        <v>0</v>
      </c>
      <c r="Q642" t="n">
        <v>2</v>
      </c>
      <c r="R642" s="2" t="inlineStr">
        <is>
          <t>Garnlav
Källpraktmossa</t>
        </is>
      </c>
      <c r="S642">
        <f>HYPERLINK("https://klasma.github.io/Logging_STROMSUND/artfynd/A 46950-2018.xlsx")</f>
        <v/>
      </c>
      <c r="T642">
        <f>HYPERLINK("https://klasma.github.io/Logging_STROMSUND/kartor/A 46950-2018.png")</f>
        <v/>
      </c>
      <c r="V642">
        <f>HYPERLINK("https://klasma.github.io/Logging_STROMSUND/klagomål/A 46950-2018.docx")</f>
        <v/>
      </c>
      <c r="W642">
        <f>HYPERLINK("https://klasma.github.io/Logging_STROMSUND/klagomålsmail/A 46950-2018.docx")</f>
        <v/>
      </c>
      <c r="X642">
        <f>HYPERLINK("https://klasma.github.io/Logging_STROMSUND/tillsyn/A 46950-2018.docx")</f>
        <v/>
      </c>
      <c r="Y642">
        <f>HYPERLINK("https://klasma.github.io/Logging_STROMSUND/tillsynsmail/A 46950-2018.docx")</f>
        <v/>
      </c>
    </row>
    <row r="643" ht="15" customHeight="1">
      <c r="A643" t="inlineStr">
        <is>
          <t>A 50332-2018</t>
        </is>
      </c>
      <c r="B643" s="1" t="n">
        <v>43378</v>
      </c>
      <c r="C643" s="1" t="n">
        <v>45182</v>
      </c>
      <c r="D643" t="inlineStr">
        <is>
          <t>JÄMTLANDS LÄN</t>
        </is>
      </c>
      <c r="E643" t="inlineStr">
        <is>
          <t>ÖSTERSUND</t>
        </is>
      </c>
      <c r="G643" t="n">
        <v>15.9</v>
      </c>
      <c r="H643" t="n">
        <v>0</v>
      </c>
      <c r="I643" t="n">
        <v>0</v>
      </c>
      <c r="J643" t="n">
        <v>1</v>
      </c>
      <c r="K643" t="n">
        <v>1</v>
      </c>
      <c r="L643" t="n">
        <v>0</v>
      </c>
      <c r="M643" t="n">
        <v>0</v>
      </c>
      <c r="N643" t="n">
        <v>0</v>
      </c>
      <c r="O643" t="n">
        <v>2</v>
      </c>
      <c r="P643" t="n">
        <v>1</v>
      </c>
      <c r="Q643" t="n">
        <v>2</v>
      </c>
      <c r="R643" s="2" t="inlineStr">
        <is>
          <t>Liten aspgelélav
Lunglav</t>
        </is>
      </c>
      <c r="S643">
        <f>HYPERLINK("https://klasma.github.io/Logging_OSTERSUND/artfynd/A 50332-2018.xlsx")</f>
        <v/>
      </c>
      <c r="T643">
        <f>HYPERLINK("https://klasma.github.io/Logging_OSTERSUND/kartor/A 50332-2018.png")</f>
        <v/>
      </c>
      <c r="V643">
        <f>HYPERLINK("https://klasma.github.io/Logging_OSTERSUND/klagomål/A 50332-2018.docx")</f>
        <v/>
      </c>
      <c r="W643">
        <f>HYPERLINK("https://klasma.github.io/Logging_OSTERSUND/klagomålsmail/A 50332-2018.docx")</f>
        <v/>
      </c>
      <c r="X643">
        <f>HYPERLINK("https://klasma.github.io/Logging_OSTERSUND/tillsyn/A 50332-2018.docx")</f>
        <v/>
      </c>
      <c r="Y643">
        <f>HYPERLINK("https://klasma.github.io/Logging_OSTERSUND/tillsynsmail/A 50332-2018.docx")</f>
        <v/>
      </c>
    </row>
    <row r="644" ht="15" customHeight="1">
      <c r="A644" t="inlineStr">
        <is>
          <t>A 59960-2018</t>
        </is>
      </c>
      <c r="B644" s="1" t="n">
        <v>43411</v>
      </c>
      <c r="C644" s="1" t="n">
        <v>45182</v>
      </c>
      <c r="D644" t="inlineStr">
        <is>
          <t>JÄMTLANDS LÄN</t>
        </is>
      </c>
      <c r="E644" t="inlineStr">
        <is>
          <t>RAGUNDA</t>
        </is>
      </c>
      <c r="G644" t="n">
        <v>5</v>
      </c>
      <c r="H644" t="n">
        <v>0</v>
      </c>
      <c r="I644" t="n">
        <v>0</v>
      </c>
      <c r="J644" t="n">
        <v>2</v>
      </c>
      <c r="K644" t="n">
        <v>0</v>
      </c>
      <c r="L644" t="n">
        <v>0</v>
      </c>
      <c r="M644" t="n">
        <v>0</v>
      </c>
      <c r="N644" t="n">
        <v>0</v>
      </c>
      <c r="O644" t="n">
        <v>2</v>
      </c>
      <c r="P644" t="n">
        <v>0</v>
      </c>
      <c r="Q644" t="n">
        <v>2</v>
      </c>
      <c r="R644" s="2" t="inlineStr">
        <is>
          <t>Garnlav
Lunglav</t>
        </is>
      </c>
      <c r="S644">
        <f>HYPERLINK("https://klasma.github.io/Logging_RAGUNDA/artfynd/A 59960-2018.xlsx")</f>
        <v/>
      </c>
      <c r="T644">
        <f>HYPERLINK("https://klasma.github.io/Logging_RAGUNDA/kartor/A 59960-2018.png")</f>
        <v/>
      </c>
      <c r="V644">
        <f>HYPERLINK("https://klasma.github.io/Logging_RAGUNDA/klagomål/A 59960-2018.docx")</f>
        <v/>
      </c>
      <c r="W644">
        <f>HYPERLINK("https://klasma.github.io/Logging_RAGUNDA/klagomålsmail/A 59960-2018.docx")</f>
        <v/>
      </c>
      <c r="X644">
        <f>HYPERLINK("https://klasma.github.io/Logging_RAGUNDA/tillsyn/A 59960-2018.docx")</f>
        <v/>
      </c>
      <c r="Y644">
        <f>HYPERLINK("https://klasma.github.io/Logging_RAGUNDA/tillsynsmail/A 59960-2018.docx")</f>
        <v/>
      </c>
    </row>
    <row r="645" ht="15" customHeight="1">
      <c r="A645" t="inlineStr">
        <is>
          <t>A 65834-2018</t>
        </is>
      </c>
      <c r="B645" s="1" t="n">
        <v>43433</v>
      </c>
      <c r="C645" s="1" t="n">
        <v>45182</v>
      </c>
      <c r="D645" t="inlineStr">
        <is>
          <t>JÄMTLANDS LÄN</t>
        </is>
      </c>
      <c r="E645" t="inlineStr">
        <is>
          <t>BERG</t>
        </is>
      </c>
      <c r="F645" t="inlineStr">
        <is>
          <t>SCA</t>
        </is>
      </c>
      <c r="G645" t="n">
        <v>2.8</v>
      </c>
      <c r="H645" t="n">
        <v>0</v>
      </c>
      <c r="I645" t="n">
        <v>0</v>
      </c>
      <c r="J645" t="n">
        <v>2</v>
      </c>
      <c r="K645" t="n">
        <v>0</v>
      </c>
      <c r="L645" t="n">
        <v>0</v>
      </c>
      <c r="M645" t="n">
        <v>0</v>
      </c>
      <c r="N645" t="n">
        <v>0</v>
      </c>
      <c r="O645" t="n">
        <v>2</v>
      </c>
      <c r="P645" t="n">
        <v>0</v>
      </c>
      <c r="Q645" t="n">
        <v>2</v>
      </c>
      <c r="R645" s="2" t="inlineStr">
        <is>
          <t>Garnlav
Lunglav</t>
        </is>
      </c>
      <c r="S645">
        <f>HYPERLINK("https://klasma.github.io/Logging_BERG/artfynd/A 65834-2018.xlsx")</f>
        <v/>
      </c>
      <c r="T645">
        <f>HYPERLINK("https://klasma.github.io/Logging_BERG/kartor/A 65834-2018.png")</f>
        <v/>
      </c>
      <c r="V645">
        <f>HYPERLINK("https://klasma.github.io/Logging_BERG/klagomål/A 65834-2018.docx")</f>
        <v/>
      </c>
      <c r="W645">
        <f>HYPERLINK("https://klasma.github.io/Logging_BERG/klagomålsmail/A 65834-2018.docx")</f>
        <v/>
      </c>
      <c r="X645">
        <f>HYPERLINK("https://klasma.github.io/Logging_BERG/tillsyn/A 65834-2018.docx")</f>
        <v/>
      </c>
      <c r="Y645">
        <f>HYPERLINK("https://klasma.github.io/Logging_BERG/tillsynsmail/A 65834-2018.docx")</f>
        <v/>
      </c>
    </row>
    <row r="646" ht="15" customHeight="1">
      <c r="A646" t="inlineStr">
        <is>
          <t>A 65468-2018</t>
        </is>
      </c>
      <c r="B646" s="1" t="n">
        <v>43433</v>
      </c>
      <c r="C646" s="1" t="n">
        <v>45182</v>
      </c>
      <c r="D646" t="inlineStr">
        <is>
          <t>JÄMTLANDS LÄN</t>
        </is>
      </c>
      <c r="E646" t="inlineStr">
        <is>
          <t>KROKOM</t>
        </is>
      </c>
      <c r="G646" t="n">
        <v>1.5</v>
      </c>
      <c r="H646" t="n">
        <v>2</v>
      </c>
      <c r="I646" t="n">
        <v>0</v>
      </c>
      <c r="J646" t="n">
        <v>0</v>
      </c>
      <c r="K646" t="n">
        <v>1</v>
      </c>
      <c r="L646" t="n">
        <v>0</v>
      </c>
      <c r="M646" t="n">
        <v>0</v>
      </c>
      <c r="N646" t="n">
        <v>0</v>
      </c>
      <c r="O646" t="n">
        <v>1</v>
      </c>
      <c r="P646" t="n">
        <v>1</v>
      </c>
      <c r="Q646" t="n">
        <v>2</v>
      </c>
      <c r="R646" s="2" t="inlineStr">
        <is>
          <t>Knärot
Blåsippa</t>
        </is>
      </c>
      <c r="S646">
        <f>HYPERLINK("https://klasma.github.io/Logging_KROKOM/artfynd/A 65468-2018.xlsx")</f>
        <v/>
      </c>
      <c r="T646">
        <f>HYPERLINK("https://klasma.github.io/Logging_KROKOM/kartor/A 65468-2018.png")</f>
        <v/>
      </c>
      <c r="U646">
        <f>HYPERLINK("https://klasma.github.io/Logging_KROKOM/knärot/A 65468-2018.png")</f>
        <v/>
      </c>
      <c r="V646">
        <f>HYPERLINK("https://klasma.github.io/Logging_KROKOM/klagomål/A 65468-2018.docx")</f>
        <v/>
      </c>
      <c r="W646">
        <f>HYPERLINK("https://klasma.github.io/Logging_KROKOM/klagomålsmail/A 65468-2018.docx")</f>
        <v/>
      </c>
      <c r="X646">
        <f>HYPERLINK("https://klasma.github.io/Logging_KROKOM/tillsyn/A 65468-2018.docx")</f>
        <v/>
      </c>
      <c r="Y646">
        <f>HYPERLINK("https://klasma.github.io/Logging_KROKOM/tillsynsmail/A 65468-2018.docx")</f>
        <v/>
      </c>
    </row>
    <row r="647" ht="15" customHeight="1">
      <c r="A647" t="inlineStr">
        <is>
          <t>A 70401-2018</t>
        </is>
      </c>
      <c r="B647" s="1" t="n">
        <v>43446</v>
      </c>
      <c r="C647" s="1" t="n">
        <v>45182</v>
      </c>
      <c r="D647" t="inlineStr">
        <is>
          <t>JÄMTLANDS LÄN</t>
        </is>
      </c>
      <c r="E647" t="inlineStr">
        <is>
          <t>ÖSTERSUND</t>
        </is>
      </c>
      <c r="G647" t="n">
        <v>2.8</v>
      </c>
      <c r="H647" t="n">
        <v>1</v>
      </c>
      <c r="I647" t="n">
        <v>1</v>
      </c>
      <c r="J647" t="n">
        <v>0</v>
      </c>
      <c r="K647" t="n">
        <v>0</v>
      </c>
      <c r="L647" t="n">
        <v>0</v>
      </c>
      <c r="M647" t="n">
        <v>0</v>
      </c>
      <c r="N647" t="n">
        <v>0</v>
      </c>
      <c r="O647" t="n">
        <v>0</v>
      </c>
      <c r="P647" t="n">
        <v>0</v>
      </c>
      <c r="Q647" t="n">
        <v>2</v>
      </c>
      <c r="R647" s="2" t="inlineStr">
        <is>
          <t>Svart trolldruva
Blåsippa</t>
        </is>
      </c>
      <c r="S647">
        <f>HYPERLINK("https://klasma.github.io/Logging_OSTERSUND/artfynd/A 70401-2018.xlsx")</f>
        <v/>
      </c>
      <c r="T647">
        <f>HYPERLINK("https://klasma.github.io/Logging_OSTERSUND/kartor/A 70401-2018.png")</f>
        <v/>
      </c>
      <c r="V647">
        <f>HYPERLINK("https://klasma.github.io/Logging_OSTERSUND/klagomål/A 70401-2018.docx")</f>
        <v/>
      </c>
      <c r="W647">
        <f>HYPERLINK("https://klasma.github.io/Logging_OSTERSUND/klagomålsmail/A 70401-2018.docx")</f>
        <v/>
      </c>
      <c r="X647">
        <f>HYPERLINK("https://klasma.github.io/Logging_OSTERSUND/tillsyn/A 70401-2018.docx")</f>
        <v/>
      </c>
      <c r="Y647">
        <f>HYPERLINK("https://klasma.github.io/Logging_OSTERSUND/tillsynsmail/A 70401-2018.docx")</f>
        <v/>
      </c>
    </row>
    <row r="648" ht="15" customHeight="1">
      <c r="A648" t="inlineStr">
        <is>
          <t>A 8266-2019</t>
        </is>
      </c>
      <c r="B648" s="1" t="n">
        <v>43501</v>
      </c>
      <c r="C648" s="1" t="n">
        <v>45182</v>
      </c>
      <c r="D648" t="inlineStr">
        <is>
          <t>JÄMTLANDS LÄN</t>
        </is>
      </c>
      <c r="E648" t="inlineStr">
        <is>
          <t>STRÖMSUND</t>
        </is>
      </c>
      <c r="G648" t="n">
        <v>15.1</v>
      </c>
      <c r="H648" t="n">
        <v>1</v>
      </c>
      <c r="I648" t="n">
        <v>0</v>
      </c>
      <c r="J648" t="n">
        <v>1</v>
      </c>
      <c r="K648" t="n">
        <v>0</v>
      </c>
      <c r="L648" t="n">
        <v>0</v>
      </c>
      <c r="M648" t="n">
        <v>0</v>
      </c>
      <c r="N648" t="n">
        <v>0</v>
      </c>
      <c r="O648" t="n">
        <v>1</v>
      </c>
      <c r="P648" t="n">
        <v>0</v>
      </c>
      <c r="Q648" t="n">
        <v>2</v>
      </c>
      <c r="R648" s="2" t="inlineStr">
        <is>
          <t>Garnlav
Vanlig groda</t>
        </is>
      </c>
      <c r="S648">
        <f>HYPERLINK("https://klasma.github.io/Logging_STROMSUND/artfynd/A 8266-2019.xlsx")</f>
        <v/>
      </c>
      <c r="T648">
        <f>HYPERLINK("https://klasma.github.io/Logging_STROMSUND/kartor/A 8266-2019.png")</f>
        <v/>
      </c>
      <c r="V648">
        <f>HYPERLINK("https://klasma.github.io/Logging_STROMSUND/klagomål/A 8266-2019.docx")</f>
        <v/>
      </c>
      <c r="W648">
        <f>HYPERLINK("https://klasma.github.io/Logging_STROMSUND/klagomålsmail/A 8266-2019.docx")</f>
        <v/>
      </c>
      <c r="X648">
        <f>HYPERLINK("https://klasma.github.io/Logging_STROMSUND/tillsyn/A 8266-2019.docx")</f>
        <v/>
      </c>
      <c r="Y648">
        <f>HYPERLINK("https://klasma.github.io/Logging_STROMSUND/tillsynsmail/A 8266-2019.docx")</f>
        <v/>
      </c>
    </row>
    <row r="649" ht="15" customHeight="1">
      <c r="A649" t="inlineStr">
        <is>
          <t>A 8909-2019</t>
        </is>
      </c>
      <c r="B649" s="1" t="n">
        <v>43503</v>
      </c>
      <c r="C649" s="1" t="n">
        <v>45182</v>
      </c>
      <c r="D649" t="inlineStr">
        <is>
          <t>JÄMTLANDS LÄN</t>
        </is>
      </c>
      <c r="E649" t="inlineStr">
        <is>
          <t>KROKOM</t>
        </is>
      </c>
      <c r="F649" t="inlineStr">
        <is>
          <t>Övriga Aktiebolag</t>
        </is>
      </c>
      <c r="G649" t="n">
        <v>22.7</v>
      </c>
      <c r="H649" t="n">
        <v>0</v>
      </c>
      <c r="I649" t="n">
        <v>1</v>
      </c>
      <c r="J649" t="n">
        <v>1</v>
      </c>
      <c r="K649" t="n">
        <v>0</v>
      </c>
      <c r="L649" t="n">
        <v>0</v>
      </c>
      <c r="M649" t="n">
        <v>0</v>
      </c>
      <c r="N649" t="n">
        <v>0</v>
      </c>
      <c r="O649" t="n">
        <v>1</v>
      </c>
      <c r="P649" t="n">
        <v>0</v>
      </c>
      <c r="Q649" t="n">
        <v>2</v>
      </c>
      <c r="R649" s="2" t="inlineStr">
        <is>
          <t>Granticka
Luddlav</t>
        </is>
      </c>
      <c r="S649">
        <f>HYPERLINK("https://klasma.github.io/Logging_KROKOM/artfynd/A 8909-2019.xlsx")</f>
        <v/>
      </c>
      <c r="T649">
        <f>HYPERLINK("https://klasma.github.io/Logging_KROKOM/kartor/A 8909-2019.png")</f>
        <v/>
      </c>
      <c r="V649">
        <f>HYPERLINK("https://klasma.github.io/Logging_KROKOM/klagomål/A 8909-2019.docx")</f>
        <v/>
      </c>
      <c r="W649">
        <f>HYPERLINK("https://klasma.github.io/Logging_KROKOM/klagomålsmail/A 8909-2019.docx")</f>
        <v/>
      </c>
      <c r="X649">
        <f>HYPERLINK("https://klasma.github.io/Logging_KROKOM/tillsyn/A 8909-2019.docx")</f>
        <v/>
      </c>
      <c r="Y649">
        <f>HYPERLINK("https://klasma.github.io/Logging_KROKOM/tillsynsmail/A 8909-2019.docx")</f>
        <v/>
      </c>
    </row>
    <row r="650" ht="15" customHeight="1">
      <c r="A650" t="inlineStr">
        <is>
          <t>A 12120-2019</t>
        </is>
      </c>
      <c r="B650" s="1" t="n">
        <v>43522</v>
      </c>
      <c r="C650" s="1" t="n">
        <v>45182</v>
      </c>
      <c r="D650" t="inlineStr">
        <is>
          <t>JÄMTLANDS LÄN</t>
        </is>
      </c>
      <c r="E650" t="inlineStr">
        <is>
          <t>ÅRE</t>
        </is>
      </c>
      <c r="G650" t="n">
        <v>2.5</v>
      </c>
      <c r="H650" t="n">
        <v>1</v>
      </c>
      <c r="I650" t="n">
        <v>1</v>
      </c>
      <c r="J650" t="n">
        <v>1</v>
      </c>
      <c r="K650" t="n">
        <v>0</v>
      </c>
      <c r="L650" t="n">
        <v>0</v>
      </c>
      <c r="M650" t="n">
        <v>0</v>
      </c>
      <c r="N650" t="n">
        <v>0</v>
      </c>
      <c r="O650" t="n">
        <v>1</v>
      </c>
      <c r="P650" t="n">
        <v>0</v>
      </c>
      <c r="Q650" t="n">
        <v>2</v>
      </c>
      <c r="R650" s="2" t="inlineStr">
        <is>
          <t>Gränsticka
Spindelblomster</t>
        </is>
      </c>
      <c r="S650">
        <f>HYPERLINK("https://klasma.github.io/Logging_ARE/artfynd/A 12120-2019.xlsx")</f>
        <v/>
      </c>
      <c r="T650">
        <f>HYPERLINK("https://klasma.github.io/Logging_ARE/kartor/A 12120-2019.png")</f>
        <v/>
      </c>
      <c r="V650">
        <f>HYPERLINK("https://klasma.github.io/Logging_ARE/klagomål/A 12120-2019.docx")</f>
        <v/>
      </c>
      <c r="W650">
        <f>HYPERLINK("https://klasma.github.io/Logging_ARE/klagomålsmail/A 12120-2019.docx")</f>
        <v/>
      </c>
      <c r="X650">
        <f>HYPERLINK("https://klasma.github.io/Logging_ARE/tillsyn/A 12120-2019.docx")</f>
        <v/>
      </c>
      <c r="Y650">
        <f>HYPERLINK("https://klasma.github.io/Logging_ARE/tillsynsmail/A 12120-2019.docx")</f>
        <v/>
      </c>
    </row>
    <row r="651" ht="15" customHeight="1">
      <c r="A651" t="inlineStr">
        <is>
          <t>A 16861-2019</t>
        </is>
      </c>
      <c r="B651" s="1" t="n">
        <v>43549</v>
      </c>
      <c r="C651" s="1" t="n">
        <v>45182</v>
      </c>
      <c r="D651" t="inlineStr">
        <is>
          <t>JÄMTLANDS LÄN</t>
        </is>
      </c>
      <c r="E651" t="inlineStr">
        <is>
          <t>BRÄCKE</t>
        </is>
      </c>
      <c r="G651" t="n">
        <v>3.7</v>
      </c>
      <c r="H651" t="n">
        <v>0</v>
      </c>
      <c r="I651" t="n">
        <v>2</v>
      </c>
      <c r="J651" t="n">
        <v>0</v>
      </c>
      <c r="K651" t="n">
        <v>0</v>
      </c>
      <c r="L651" t="n">
        <v>0</v>
      </c>
      <c r="M651" t="n">
        <v>0</v>
      </c>
      <c r="N651" t="n">
        <v>0</v>
      </c>
      <c r="O651" t="n">
        <v>0</v>
      </c>
      <c r="P651" t="n">
        <v>0</v>
      </c>
      <c r="Q651" t="n">
        <v>2</v>
      </c>
      <c r="R651" s="2" t="inlineStr">
        <is>
          <t>Robust tickgnagare
Skinnlav</t>
        </is>
      </c>
      <c r="S651">
        <f>HYPERLINK("https://klasma.github.io/Logging_BRACKE/artfynd/A 16861-2019.xlsx")</f>
        <v/>
      </c>
      <c r="T651">
        <f>HYPERLINK("https://klasma.github.io/Logging_BRACKE/kartor/A 16861-2019.png")</f>
        <v/>
      </c>
      <c r="V651">
        <f>HYPERLINK("https://klasma.github.io/Logging_BRACKE/klagomål/A 16861-2019.docx")</f>
        <v/>
      </c>
      <c r="W651">
        <f>HYPERLINK("https://klasma.github.io/Logging_BRACKE/klagomålsmail/A 16861-2019.docx")</f>
        <v/>
      </c>
      <c r="X651">
        <f>HYPERLINK("https://klasma.github.io/Logging_BRACKE/tillsyn/A 16861-2019.docx")</f>
        <v/>
      </c>
      <c r="Y651">
        <f>HYPERLINK("https://klasma.github.io/Logging_BRACKE/tillsynsmail/A 16861-2019.docx")</f>
        <v/>
      </c>
    </row>
    <row r="652" ht="15" customHeight="1">
      <c r="A652" t="inlineStr">
        <is>
          <t>A 25930-2019</t>
        </is>
      </c>
      <c r="B652" s="1" t="n">
        <v>43608</v>
      </c>
      <c r="C652" s="1" t="n">
        <v>45182</v>
      </c>
      <c r="D652" t="inlineStr">
        <is>
          <t>JÄMTLANDS LÄN</t>
        </is>
      </c>
      <c r="E652" t="inlineStr">
        <is>
          <t>KROKOM</t>
        </is>
      </c>
      <c r="F652" t="inlineStr">
        <is>
          <t>Övriga Aktiebolag</t>
        </is>
      </c>
      <c r="G652" t="n">
        <v>34.6</v>
      </c>
      <c r="H652" t="n">
        <v>0</v>
      </c>
      <c r="I652" t="n">
        <v>2</v>
      </c>
      <c r="J652" t="n">
        <v>0</v>
      </c>
      <c r="K652" t="n">
        <v>0</v>
      </c>
      <c r="L652" t="n">
        <v>0</v>
      </c>
      <c r="M652" t="n">
        <v>0</v>
      </c>
      <c r="N652" t="n">
        <v>0</v>
      </c>
      <c r="O652" t="n">
        <v>0</v>
      </c>
      <c r="P652" t="n">
        <v>0</v>
      </c>
      <c r="Q652" t="n">
        <v>2</v>
      </c>
      <c r="R652" s="2" t="inlineStr">
        <is>
          <t>Finbräken
Kransrams</t>
        </is>
      </c>
      <c r="S652">
        <f>HYPERLINK("https://klasma.github.io/Logging_KROKOM/artfynd/A 25930-2019.xlsx")</f>
        <v/>
      </c>
      <c r="T652">
        <f>HYPERLINK("https://klasma.github.io/Logging_KROKOM/kartor/A 25930-2019.png")</f>
        <v/>
      </c>
      <c r="V652">
        <f>HYPERLINK("https://klasma.github.io/Logging_KROKOM/klagomål/A 25930-2019.docx")</f>
        <v/>
      </c>
      <c r="W652">
        <f>HYPERLINK("https://klasma.github.io/Logging_KROKOM/klagomålsmail/A 25930-2019.docx")</f>
        <v/>
      </c>
      <c r="X652">
        <f>HYPERLINK("https://klasma.github.io/Logging_KROKOM/tillsyn/A 25930-2019.docx")</f>
        <v/>
      </c>
      <c r="Y652">
        <f>HYPERLINK("https://klasma.github.io/Logging_KROKOM/tillsynsmail/A 25930-2019.docx")</f>
        <v/>
      </c>
    </row>
    <row r="653" ht="15" customHeight="1">
      <c r="A653" t="inlineStr">
        <is>
          <t>A 26194-2019</t>
        </is>
      </c>
      <c r="B653" s="1" t="n">
        <v>43609</v>
      </c>
      <c r="C653" s="1" t="n">
        <v>45182</v>
      </c>
      <c r="D653" t="inlineStr">
        <is>
          <t>JÄMTLANDS LÄN</t>
        </is>
      </c>
      <c r="E653" t="inlineStr">
        <is>
          <t>BERG</t>
        </is>
      </c>
      <c r="G653" t="n">
        <v>11</v>
      </c>
      <c r="H653" t="n">
        <v>0</v>
      </c>
      <c r="I653" t="n">
        <v>0</v>
      </c>
      <c r="J653" t="n">
        <v>2</v>
      </c>
      <c r="K653" t="n">
        <v>0</v>
      </c>
      <c r="L653" t="n">
        <v>0</v>
      </c>
      <c r="M653" t="n">
        <v>0</v>
      </c>
      <c r="N653" t="n">
        <v>0</v>
      </c>
      <c r="O653" t="n">
        <v>2</v>
      </c>
      <c r="P653" t="n">
        <v>0</v>
      </c>
      <c r="Q653" t="n">
        <v>2</v>
      </c>
      <c r="R653" s="2" t="inlineStr">
        <is>
          <t>Vedflamlav
Vedskivlav</t>
        </is>
      </c>
      <c r="S653">
        <f>HYPERLINK("https://klasma.github.io/Logging_BERG/artfynd/A 26194-2019.xlsx")</f>
        <v/>
      </c>
      <c r="T653">
        <f>HYPERLINK("https://klasma.github.io/Logging_BERG/kartor/A 26194-2019.png")</f>
        <v/>
      </c>
      <c r="V653">
        <f>HYPERLINK("https://klasma.github.io/Logging_BERG/klagomål/A 26194-2019.docx")</f>
        <v/>
      </c>
      <c r="W653">
        <f>HYPERLINK("https://klasma.github.io/Logging_BERG/klagomålsmail/A 26194-2019.docx")</f>
        <v/>
      </c>
      <c r="X653">
        <f>HYPERLINK("https://klasma.github.io/Logging_BERG/tillsyn/A 26194-2019.docx")</f>
        <v/>
      </c>
      <c r="Y653">
        <f>HYPERLINK("https://klasma.github.io/Logging_BERG/tillsynsmail/A 26194-2019.docx")</f>
        <v/>
      </c>
    </row>
    <row r="654" ht="15" customHeight="1">
      <c r="A654" t="inlineStr">
        <is>
          <t>A 28341-2019</t>
        </is>
      </c>
      <c r="B654" s="1" t="n">
        <v>43623</v>
      </c>
      <c r="C654" s="1" t="n">
        <v>45182</v>
      </c>
      <c r="D654" t="inlineStr">
        <is>
          <t>JÄMTLANDS LÄN</t>
        </is>
      </c>
      <c r="E654" t="inlineStr">
        <is>
          <t>BRÄCKE</t>
        </is>
      </c>
      <c r="F654" t="inlineStr">
        <is>
          <t>SCA</t>
        </is>
      </c>
      <c r="G654" t="n">
        <v>5.4</v>
      </c>
      <c r="H654" t="n">
        <v>0</v>
      </c>
      <c r="I654" t="n">
        <v>1</v>
      </c>
      <c r="J654" t="n">
        <v>0</v>
      </c>
      <c r="K654" t="n">
        <v>1</v>
      </c>
      <c r="L654" t="n">
        <v>0</v>
      </c>
      <c r="M654" t="n">
        <v>0</v>
      </c>
      <c r="N654" t="n">
        <v>0</v>
      </c>
      <c r="O654" t="n">
        <v>1</v>
      </c>
      <c r="P654" t="n">
        <v>1</v>
      </c>
      <c r="Q654" t="n">
        <v>2</v>
      </c>
      <c r="R654" s="2" t="inlineStr">
        <is>
          <t>Liten hornflikmossa
Stor aspticka</t>
        </is>
      </c>
      <c r="S654">
        <f>HYPERLINK("https://klasma.github.io/Logging_BRACKE/artfynd/A 28341-2019.xlsx")</f>
        <v/>
      </c>
      <c r="T654">
        <f>HYPERLINK("https://klasma.github.io/Logging_BRACKE/kartor/A 28341-2019.png")</f>
        <v/>
      </c>
      <c r="V654">
        <f>HYPERLINK("https://klasma.github.io/Logging_BRACKE/klagomål/A 28341-2019.docx")</f>
        <v/>
      </c>
      <c r="W654">
        <f>HYPERLINK("https://klasma.github.io/Logging_BRACKE/klagomålsmail/A 28341-2019.docx")</f>
        <v/>
      </c>
      <c r="X654">
        <f>HYPERLINK("https://klasma.github.io/Logging_BRACKE/tillsyn/A 28341-2019.docx")</f>
        <v/>
      </c>
      <c r="Y654">
        <f>HYPERLINK("https://klasma.github.io/Logging_BRACKE/tillsynsmail/A 28341-2019.docx")</f>
        <v/>
      </c>
    </row>
    <row r="655" ht="15" customHeight="1">
      <c r="A655" t="inlineStr">
        <is>
          <t>A 28321-2019</t>
        </is>
      </c>
      <c r="B655" s="1" t="n">
        <v>43623</v>
      </c>
      <c r="C655" s="1" t="n">
        <v>45182</v>
      </c>
      <c r="D655" t="inlineStr">
        <is>
          <t>JÄMTLANDS LÄN</t>
        </is>
      </c>
      <c r="E655" t="inlineStr">
        <is>
          <t>HÄRJEDALEN</t>
        </is>
      </c>
      <c r="F655" t="inlineStr">
        <is>
          <t>Sveaskog</t>
        </is>
      </c>
      <c r="G655" t="n">
        <v>3.3</v>
      </c>
      <c r="H655" t="n">
        <v>0</v>
      </c>
      <c r="I655" t="n">
        <v>0</v>
      </c>
      <c r="J655" t="n">
        <v>2</v>
      </c>
      <c r="K655" t="n">
        <v>0</v>
      </c>
      <c r="L655" t="n">
        <v>0</v>
      </c>
      <c r="M655" t="n">
        <v>0</v>
      </c>
      <c r="N655" t="n">
        <v>0</v>
      </c>
      <c r="O655" t="n">
        <v>2</v>
      </c>
      <c r="P655" t="n">
        <v>0</v>
      </c>
      <c r="Q655" t="n">
        <v>2</v>
      </c>
      <c r="R655" s="2" t="inlineStr">
        <is>
          <t>Garnlav
Kolflarnlav</t>
        </is>
      </c>
      <c r="S655">
        <f>HYPERLINK("https://klasma.github.io/Logging_HARJEDALEN/artfynd/A 28321-2019.xlsx")</f>
        <v/>
      </c>
      <c r="T655">
        <f>HYPERLINK("https://klasma.github.io/Logging_HARJEDALEN/kartor/A 28321-2019.png")</f>
        <v/>
      </c>
      <c r="V655">
        <f>HYPERLINK("https://klasma.github.io/Logging_HARJEDALEN/klagomål/A 28321-2019.docx")</f>
        <v/>
      </c>
      <c r="W655">
        <f>HYPERLINK("https://klasma.github.io/Logging_HARJEDALEN/klagomålsmail/A 28321-2019.docx")</f>
        <v/>
      </c>
      <c r="X655">
        <f>HYPERLINK("https://klasma.github.io/Logging_HARJEDALEN/tillsyn/A 28321-2019.docx")</f>
        <v/>
      </c>
      <c r="Y655">
        <f>HYPERLINK("https://klasma.github.io/Logging_HARJEDALEN/tillsynsmail/A 28321-2019.docx")</f>
        <v/>
      </c>
    </row>
    <row r="656" ht="15" customHeight="1">
      <c r="A656" t="inlineStr">
        <is>
          <t>A 29265-2019</t>
        </is>
      </c>
      <c r="B656" s="1" t="n">
        <v>43629</v>
      </c>
      <c r="C656" s="1" t="n">
        <v>45182</v>
      </c>
      <c r="D656" t="inlineStr">
        <is>
          <t>JÄMTLANDS LÄN</t>
        </is>
      </c>
      <c r="E656" t="inlineStr">
        <is>
          <t>HÄRJEDALEN</t>
        </is>
      </c>
      <c r="F656" t="inlineStr">
        <is>
          <t>Holmen skog AB</t>
        </is>
      </c>
      <c r="G656" t="n">
        <v>2.2</v>
      </c>
      <c r="H656" t="n">
        <v>0</v>
      </c>
      <c r="I656" t="n">
        <v>0</v>
      </c>
      <c r="J656" t="n">
        <v>1</v>
      </c>
      <c r="K656" t="n">
        <v>1</v>
      </c>
      <c r="L656" t="n">
        <v>0</v>
      </c>
      <c r="M656" t="n">
        <v>0</v>
      </c>
      <c r="N656" t="n">
        <v>0</v>
      </c>
      <c r="O656" t="n">
        <v>2</v>
      </c>
      <c r="P656" t="n">
        <v>1</v>
      </c>
      <c r="Q656" t="n">
        <v>2</v>
      </c>
      <c r="R656" s="2" t="inlineStr">
        <is>
          <t>Goliatmusseron
Blå taggsvamp</t>
        </is>
      </c>
      <c r="S656">
        <f>HYPERLINK("https://klasma.github.io/Logging_HARJEDALEN/artfynd/A 29265-2019.xlsx")</f>
        <v/>
      </c>
      <c r="T656">
        <f>HYPERLINK("https://klasma.github.io/Logging_HARJEDALEN/kartor/A 29265-2019.png")</f>
        <v/>
      </c>
      <c r="V656">
        <f>HYPERLINK("https://klasma.github.io/Logging_HARJEDALEN/klagomål/A 29265-2019.docx")</f>
        <v/>
      </c>
      <c r="W656">
        <f>HYPERLINK("https://klasma.github.io/Logging_HARJEDALEN/klagomålsmail/A 29265-2019.docx")</f>
        <v/>
      </c>
      <c r="X656">
        <f>HYPERLINK("https://klasma.github.io/Logging_HARJEDALEN/tillsyn/A 29265-2019.docx")</f>
        <v/>
      </c>
      <c r="Y656">
        <f>HYPERLINK("https://klasma.github.io/Logging_HARJEDALEN/tillsynsmail/A 29265-2019.docx")</f>
        <v/>
      </c>
    </row>
    <row r="657" ht="15" customHeight="1">
      <c r="A657" t="inlineStr">
        <is>
          <t>A 32481-2019</t>
        </is>
      </c>
      <c r="B657" s="1" t="n">
        <v>43644</v>
      </c>
      <c r="C657" s="1" t="n">
        <v>45182</v>
      </c>
      <c r="D657" t="inlineStr">
        <is>
          <t>JÄMTLANDS LÄN</t>
        </is>
      </c>
      <c r="E657" t="inlineStr">
        <is>
          <t>HÄRJEDALEN</t>
        </is>
      </c>
      <c r="F657" t="inlineStr">
        <is>
          <t>SCA</t>
        </is>
      </c>
      <c r="G657" t="n">
        <v>2.3</v>
      </c>
      <c r="H657" t="n">
        <v>0</v>
      </c>
      <c r="I657" t="n">
        <v>0</v>
      </c>
      <c r="J657" t="n">
        <v>2</v>
      </c>
      <c r="K657" t="n">
        <v>0</v>
      </c>
      <c r="L657" t="n">
        <v>0</v>
      </c>
      <c r="M657" t="n">
        <v>0</v>
      </c>
      <c r="N657" t="n">
        <v>0</v>
      </c>
      <c r="O657" t="n">
        <v>2</v>
      </c>
      <c r="P657" t="n">
        <v>0</v>
      </c>
      <c r="Q657" t="n">
        <v>2</v>
      </c>
      <c r="R657" s="2" t="inlineStr">
        <is>
          <t>Blågrå svartspik
Mörk kolflarnlav</t>
        </is>
      </c>
      <c r="S657">
        <f>HYPERLINK("https://klasma.github.io/Logging_HARJEDALEN/artfynd/A 32481-2019.xlsx")</f>
        <v/>
      </c>
      <c r="T657">
        <f>HYPERLINK("https://klasma.github.io/Logging_HARJEDALEN/kartor/A 32481-2019.png")</f>
        <v/>
      </c>
      <c r="V657">
        <f>HYPERLINK("https://klasma.github.io/Logging_HARJEDALEN/klagomål/A 32481-2019.docx")</f>
        <v/>
      </c>
      <c r="W657">
        <f>HYPERLINK("https://klasma.github.io/Logging_HARJEDALEN/klagomålsmail/A 32481-2019.docx")</f>
        <v/>
      </c>
      <c r="X657">
        <f>HYPERLINK("https://klasma.github.io/Logging_HARJEDALEN/tillsyn/A 32481-2019.docx")</f>
        <v/>
      </c>
      <c r="Y657">
        <f>HYPERLINK("https://klasma.github.io/Logging_HARJEDALEN/tillsynsmail/A 32481-2019.docx")</f>
        <v/>
      </c>
    </row>
    <row r="658" ht="15" customHeight="1">
      <c r="A658" t="inlineStr">
        <is>
          <t>A 35996-2019</t>
        </is>
      </c>
      <c r="B658" s="1" t="n">
        <v>43656</v>
      </c>
      <c r="C658" s="1" t="n">
        <v>45182</v>
      </c>
      <c r="D658" t="inlineStr">
        <is>
          <t>JÄMTLANDS LÄN</t>
        </is>
      </c>
      <c r="E658" t="inlineStr">
        <is>
          <t>ÖSTERSUND</t>
        </is>
      </c>
      <c r="F658" t="inlineStr">
        <is>
          <t>SCA</t>
        </is>
      </c>
      <c r="G658" t="n">
        <v>1.4</v>
      </c>
      <c r="H658" t="n">
        <v>1</v>
      </c>
      <c r="I658" t="n">
        <v>0</v>
      </c>
      <c r="J658" t="n">
        <v>1</v>
      </c>
      <c r="K658" t="n">
        <v>0</v>
      </c>
      <c r="L658" t="n">
        <v>0</v>
      </c>
      <c r="M658" t="n">
        <v>0</v>
      </c>
      <c r="N658" t="n">
        <v>0</v>
      </c>
      <c r="O658" t="n">
        <v>1</v>
      </c>
      <c r="P658" t="n">
        <v>0</v>
      </c>
      <c r="Q658" t="n">
        <v>2</v>
      </c>
      <c r="R658" s="2" t="inlineStr">
        <is>
          <t>Kolflarnlav
Blåsippa</t>
        </is>
      </c>
      <c r="S658">
        <f>HYPERLINK("https://klasma.github.io/Logging_OSTERSUND/artfynd/A 35996-2019.xlsx")</f>
        <v/>
      </c>
      <c r="T658">
        <f>HYPERLINK("https://klasma.github.io/Logging_OSTERSUND/kartor/A 35996-2019.png")</f>
        <v/>
      </c>
      <c r="V658">
        <f>HYPERLINK("https://klasma.github.io/Logging_OSTERSUND/klagomål/A 35996-2019.docx")</f>
        <v/>
      </c>
      <c r="W658">
        <f>HYPERLINK("https://klasma.github.io/Logging_OSTERSUND/klagomålsmail/A 35996-2019.docx")</f>
        <v/>
      </c>
      <c r="X658">
        <f>HYPERLINK("https://klasma.github.io/Logging_OSTERSUND/tillsyn/A 35996-2019.docx")</f>
        <v/>
      </c>
      <c r="Y658">
        <f>HYPERLINK("https://klasma.github.io/Logging_OSTERSUND/tillsynsmail/A 35996-2019.docx")</f>
        <v/>
      </c>
    </row>
    <row r="659" ht="15" customHeight="1">
      <c r="A659" t="inlineStr">
        <is>
          <t>A 35409-2019</t>
        </is>
      </c>
      <c r="B659" s="1" t="n">
        <v>43661</v>
      </c>
      <c r="C659" s="1" t="n">
        <v>45182</v>
      </c>
      <c r="D659" t="inlineStr">
        <is>
          <t>JÄMTLANDS LÄN</t>
        </is>
      </c>
      <c r="E659" t="inlineStr">
        <is>
          <t>ÅRE</t>
        </is>
      </c>
      <c r="G659" t="n">
        <v>2.5</v>
      </c>
      <c r="H659" t="n">
        <v>0</v>
      </c>
      <c r="I659" t="n">
        <v>1</v>
      </c>
      <c r="J659" t="n">
        <v>1</v>
      </c>
      <c r="K659" t="n">
        <v>0</v>
      </c>
      <c r="L659" t="n">
        <v>0</v>
      </c>
      <c r="M659" t="n">
        <v>0</v>
      </c>
      <c r="N659" t="n">
        <v>0</v>
      </c>
      <c r="O659" t="n">
        <v>1</v>
      </c>
      <c r="P659" t="n">
        <v>0</v>
      </c>
      <c r="Q659" t="n">
        <v>2</v>
      </c>
      <c r="R659" s="2" t="inlineStr">
        <is>
          <t>Garnlav
Trådticka</t>
        </is>
      </c>
      <c r="S659">
        <f>HYPERLINK("https://klasma.github.io/Logging_ARE/artfynd/A 35409-2019.xlsx")</f>
        <v/>
      </c>
      <c r="T659">
        <f>HYPERLINK("https://klasma.github.io/Logging_ARE/kartor/A 35409-2019.png")</f>
        <v/>
      </c>
      <c r="V659">
        <f>HYPERLINK("https://klasma.github.io/Logging_ARE/klagomål/A 35409-2019.docx")</f>
        <v/>
      </c>
      <c r="W659">
        <f>HYPERLINK("https://klasma.github.io/Logging_ARE/klagomålsmail/A 35409-2019.docx")</f>
        <v/>
      </c>
      <c r="X659">
        <f>HYPERLINK("https://klasma.github.io/Logging_ARE/tillsyn/A 35409-2019.docx")</f>
        <v/>
      </c>
      <c r="Y659">
        <f>HYPERLINK("https://klasma.github.io/Logging_ARE/tillsynsmail/A 35409-2019.docx")</f>
        <v/>
      </c>
    </row>
    <row r="660" ht="15" customHeight="1">
      <c r="A660" t="inlineStr">
        <is>
          <t>A 37877-2019</t>
        </is>
      </c>
      <c r="B660" s="1" t="n">
        <v>43682</v>
      </c>
      <c r="C660" s="1" t="n">
        <v>45182</v>
      </c>
      <c r="D660" t="inlineStr">
        <is>
          <t>JÄMTLANDS LÄN</t>
        </is>
      </c>
      <c r="E660" t="inlineStr">
        <is>
          <t>KROKOM</t>
        </is>
      </c>
      <c r="F660" t="inlineStr">
        <is>
          <t>SCA</t>
        </is>
      </c>
      <c r="G660" t="n">
        <v>4.1</v>
      </c>
      <c r="H660" t="n">
        <v>0</v>
      </c>
      <c r="I660" t="n">
        <v>1</v>
      </c>
      <c r="J660" t="n">
        <v>1</v>
      </c>
      <c r="K660" t="n">
        <v>0</v>
      </c>
      <c r="L660" t="n">
        <v>0</v>
      </c>
      <c r="M660" t="n">
        <v>0</v>
      </c>
      <c r="N660" t="n">
        <v>0</v>
      </c>
      <c r="O660" t="n">
        <v>1</v>
      </c>
      <c r="P660" t="n">
        <v>0</v>
      </c>
      <c r="Q660" t="n">
        <v>2</v>
      </c>
      <c r="R660" s="2" t="inlineStr">
        <is>
          <t>Skrovellav
Luddlav</t>
        </is>
      </c>
      <c r="S660">
        <f>HYPERLINK("https://klasma.github.io/Logging_KROKOM/artfynd/A 37877-2019.xlsx")</f>
        <v/>
      </c>
      <c r="T660">
        <f>HYPERLINK("https://klasma.github.io/Logging_KROKOM/kartor/A 37877-2019.png")</f>
        <v/>
      </c>
      <c r="V660">
        <f>HYPERLINK("https://klasma.github.io/Logging_KROKOM/klagomål/A 37877-2019.docx")</f>
        <v/>
      </c>
      <c r="W660">
        <f>HYPERLINK("https://klasma.github.io/Logging_KROKOM/klagomålsmail/A 37877-2019.docx")</f>
        <v/>
      </c>
      <c r="X660">
        <f>HYPERLINK("https://klasma.github.io/Logging_KROKOM/tillsyn/A 37877-2019.docx")</f>
        <v/>
      </c>
      <c r="Y660">
        <f>HYPERLINK("https://klasma.github.io/Logging_KROKOM/tillsynsmail/A 37877-2019.docx")</f>
        <v/>
      </c>
    </row>
    <row r="661" ht="15" customHeight="1">
      <c r="A661" t="inlineStr">
        <is>
          <t>A 41041-2019</t>
        </is>
      </c>
      <c r="B661" s="1" t="n">
        <v>43697</v>
      </c>
      <c r="C661" s="1" t="n">
        <v>45182</v>
      </c>
      <c r="D661" t="inlineStr">
        <is>
          <t>JÄMTLANDS LÄN</t>
        </is>
      </c>
      <c r="E661" t="inlineStr">
        <is>
          <t>STRÖMSUND</t>
        </is>
      </c>
      <c r="F661" t="inlineStr">
        <is>
          <t>SCA</t>
        </is>
      </c>
      <c r="G661" t="n">
        <v>23.9</v>
      </c>
      <c r="H661" t="n">
        <v>0</v>
      </c>
      <c r="I661" t="n">
        <v>0</v>
      </c>
      <c r="J661" t="n">
        <v>1</v>
      </c>
      <c r="K661" t="n">
        <v>1</v>
      </c>
      <c r="L661" t="n">
        <v>0</v>
      </c>
      <c r="M661" t="n">
        <v>0</v>
      </c>
      <c r="N661" t="n">
        <v>0</v>
      </c>
      <c r="O661" t="n">
        <v>2</v>
      </c>
      <c r="P661" t="n">
        <v>1</v>
      </c>
      <c r="Q661" t="n">
        <v>2</v>
      </c>
      <c r="R661" s="2" t="inlineStr">
        <is>
          <t>Ostticka
Granticka</t>
        </is>
      </c>
      <c r="S661">
        <f>HYPERLINK("https://klasma.github.io/Logging_STROMSUND/artfynd/A 41041-2019.xlsx")</f>
        <v/>
      </c>
      <c r="T661">
        <f>HYPERLINK("https://klasma.github.io/Logging_STROMSUND/kartor/A 41041-2019.png")</f>
        <v/>
      </c>
      <c r="V661">
        <f>HYPERLINK("https://klasma.github.io/Logging_STROMSUND/klagomål/A 41041-2019.docx")</f>
        <v/>
      </c>
      <c r="W661">
        <f>HYPERLINK("https://klasma.github.io/Logging_STROMSUND/klagomålsmail/A 41041-2019.docx")</f>
        <v/>
      </c>
      <c r="X661">
        <f>HYPERLINK("https://klasma.github.io/Logging_STROMSUND/tillsyn/A 41041-2019.docx")</f>
        <v/>
      </c>
      <c r="Y661">
        <f>HYPERLINK("https://klasma.github.io/Logging_STROMSUND/tillsynsmail/A 41041-2019.docx")</f>
        <v/>
      </c>
    </row>
    <row r="662" ht="15" customHeight="1">
      <c r="A662" t="inlineStr">
        <is>
          <t>A 42067-2019</t>
        </is>
      </c>
      <c r="B662" s="1" t="n">
        <v>43700</v>
      </c>
      <c r="C662" s="1" t="n">
        <v>45182</v>
      </c>
      <c r="D662" t="inlineStr">
        <is>
          <t>JÄMTLANDS LÄN</t>
        </is>
      </c>
      <c r="E662" t="inlineStr">
        <is>
          <t>STRÖMSUND</t>
        </is>
      </c>
      <c r="F662" t="inlineStr">
        <is>
          <t>SCA</t>
        </is>
      </c>
      <c r="G662" t="n">
        <v>1.9</v>
      </c>
      <c r="H662" t="n">
        <v>0</v>
      </c>
      <c r="I662" t="n">
        <v>1</v>
      </c>
      <c r="J662" t="n">
        <v>1</v>
      </c>
      <c r="K662" t="n">
        <v>0</v>
      </c>
      <c r="L662" t="n">
        <v>0</v>
      </c>
      <c r="M662" t="n">
        <v>0</v>
      </c>
      <c r="N662" t="n">
        <v>0</v>
      </c>
      <c r="O662" t="n">
        <v>1</v>
      </c>
      <c r="P662" t="n">
        <v>0</v>
      </c>
      <c r="Q662" t="n">
        <v>2</v>
      </c>
      <c r="R662" s="2" t="inlineStr">
        <is>
          <t>Gränsticka
Stuplav</t>
        </is>
      </c>
      <c r="S662">
        <f>HYPERLINK("https://klasma.github.io/Logging_STROMSUND/artfynd/A 42067-2019.xlsx")</f>
        <v/>
      </c>
      <c r="T662">
        <f>HYPERLINK("https://klasma.github.io/Logging_STROMSUND/kartor/A 42067-2019.png")</f>
        <v/>
      </c>
      <c r="V662">
        <f>HYPERLINK("https://klasma.github.io/Logging_STROMSUND/klagomål/A 42067-2019.docx")</f>
        <v/>
      </c>
      <c r="W662">
        <f>HYPERLINK("https://klasma.github.io/Logging_STROMSUND/klagomålsmail/A 42067-2019.docx")</f>
        <v/>
      </c>
      <c r="X662">
        <f>HYPERLINK("https://klasma.github.io/Logging_STROMSUND/tillsyn/A 42067-2019.docx")</f>
        <v/>
      </c>
      <c r="Y662">
        <f>HYPERLINK("https://klasma.github.io/Logging_STROMSUND/tillsynsmail/A 42067-2019.docx")</f>
        <v/>
      </c>
    </row>
    <row r="663" ht="15" customHeight="1">
      <c r="A663" t="inlineStr">
        <is>
          <t>A 43760-2019</t>
        </is>
      </c>
      <c r="B663" s="1" t="n">
        <v>43707</v>
      </c>
      <c r="C663" s="1" t="n">
        <v>45182</v>
      </c>
      <c r="D663" t="inlineStr">
        <is>
          <t>JÄMTLANDS LÄN</t>
        </is>
      </c>
      <c r="E663" t="inlineStr">
        <is>
          <t>RAGUNDA</t>
        </is>
      </c>
      <c r="G663" t="n">
        <v>3.5</v>
      </c>
      <c r="H663" t="n">
        <v>1</v>
      </c>
      <c r="I663" t="n">
        <v>0</v>
      </c>
      <c r="J663" t="n">
        <v>1</v>
      </c>
      <c r="K663" t="n">
        <v>1</v>
      </c>
      <c r="L663" t="n">
        <v>0</v>
      </c>
      <c r="M663" t="n">
        <v>0</v>
      </c>
      <c r="N663" t="n">
        <v>0</v>
      </c>
      <c r="O663" t="n">
        <v>2</v>
      </c>
      <c r="P663" t="n">
        <v>1</v>
      </c>
      <c r="Q663" t="n">
        <v>2</v>
      </c>
      <c r="R663" s="2" t="inlineStr">
        <is>
          <t>Knärot
Lunglav</t>
        </is>
      </c>
      <c r="S663">
        <f>HYPERLINK("https://klasma.github.io/Logging_RAGUNDA/artfynd/A 43760-2019.xlsx")</f>
        <v/>
      </c>
      <c r="T663">
        <f>HYPERLINK("https://klasma.github.io/Logging_RAGUNDA/kartor/A 43760-2019.png")</f>
        <v/>
      </c>
      <c r="U663">
        <f>HYPERLINK("https://klasma.github.io/Logging_RAGUNDA/knärot/A 43760-2019.png")</f>
        <v/>
      </c>
      <c r="V663">
        <f>HYPERLINK("https://klasma.github.io/Logging_RAGUNDA/klagomål/A 43760-2019.docx")</f>
        <v/>
      </c>
      <c r="W663">
        <f>HYPERLINK("https://klasma.github.io/Logging_RAGUNDA/klagomålsmail/A 43760-2019.docx")</f>
        <v/>
      </c>
      <c r="X663">
        <f>HYPERLINK("https://klasma.github.io/Logging_RAGUNDA/tillsyn/A 43760-2019.docx")</f>
        <v/>
      </c>
      <c r="Y663">
        <f>HYPERLINK("https://klasma.github.io/Logging_RAGUNDA/tillsynsmail/A 43760-2019.docx")</f>
        <v/>
      </c>
    </row>
    <row r="664" ht="15" customHeight="1">
      <c r="A664" t="inlineStr">
        <is>
          <t>A 44014-2019</t>
        </is>
      </c>
      <c r="B664" s="1" t="n">
        <v>43709</v>
      </c>
      <c r="C664" s="1" t="n">
        <v>45182</v>
      </c>
      <c r="D664" t="inlineStr">
        <is>
          <t>JÄMTLANDS LÄN</t>
        </is>
      </c>
      <c r="E664" t="inlineStr">
        <is>
          <t>STRÖMSUND</t>
        </is>
      </c>
      <c r="F664" t="inlineStr">
        <is>
          <t>SCA</t>
        </is>
      </c>
      <c r="G664" t="n">
        <v>6.7</v>
      </c>
      <c r="H664" t="n">
        <v>0</v>
      </c>
      <c r="I664" t="n">
        <v>0</v>
      </c>
      <c r="J664" t="n">
        <v>1</v>
      </c>
      <c r="K664" t="n">
        <v>1</v>
      </c>
      <c r="L664" t="n">
        <v>0</v>
      </c>
      <c r="M664" t="n">
        <v>0</v>
      </c>
      <c r="N664" t="n">
        <v>0</v>
      </c>
      <c r="O664" t="n">
        <v>2</v>
      </c>
      <c r="P664" t="n">
        <v>1</v>
      </c>
      <c r="Q664" t="n">
        <v>2</v>
      </c>
      <c r="R664" s="2" t="inlineStr">
        <is>
          <t>Liten sotlav
Gränsticka</t>
        </is>
      </c>
      <c r="S664">
        <f>HYPERLINK("https://klasma.github.io/Logging_STROMSUND/artfynd/A 44014-2019.xlsx")</f>
        <v/>
      </c>
      <c r="T664">
        <f>HYPERLINK("https://klasma.github.io/Logging_STROMSUND/kartor/A 44014-2019.png")</f>
        <v/>
      </c>
      <c r="V664">
        <f>HYPERLINK("https://klasma.github.io/Logging_STROMSUND/klagomål/A 44014-2019.docx")</f>
        <v/>
      </c>
      <c r="W664">
        <f>HYPERLINK("https://klasma.github.io/Logging_STROMSUND/klagomålsmail/A 44014-2019.docx")</f>
        <v/>
      </c>
      <c r="X664">
        <f>HYPERLINK("https://klasma.github.io/Logging_STROMSUND/tillsyn/A 44014-2019.docx")</f>
        <v/>
      </c>
      <c r="Y664">
        <f>HYPERLINK("https://klasma.github.io/Logging_STROMSUND/tillsynsmail/A 44014-2019.docx")</f>
        <v/>
      </c>
    </row>
    <row r="665" ht="15" customHeight="1">
      <c r="A665" t="inlineStr">
        <is>
          <t>A 46012-2019</t>
        </is>
      </c>
      <c r="B665" s="1" t="n">
        <v>43718</v>
      </c>
      <c r="C665" s="1" t="n">
        <v>45182</v>
      </c>
      <c r="D665" t="inlineStr">
        <is>
          <t>JÄMTLANDS LÄN</t>
        </is>
      </c>
      <c r="E665" t="inlineStr">
        <is>
          <t>ÅRE</t>
        </is>
      </c>
      <c r="F665" t="inlineStr">
        <is>
          <t>Kommuner</t>
        </is>
      </c>
      <c r="G665" t="n">
        <v>13.4</v>
      </c>
      <c r="H665" t="n">
        <v>1</v>
      </c>
      <c r="I665" t="n">
        <v>0</v>
      </c>
      <c r="J665" t="n">
        <v>1</v>
      </c>
      <c r="K665" t="n">
        <v>1</v>
      </c>
      <c r="L665" t="n">
        <v>0</v>
      </c>
      <c r="M665" t="n">
        <v>0</v>
      </c>
      <c r="N665" t="n">
        <v>0</v>
      </c>
      <c r="O665" t="n">
        <v>2</v>
      </c>
      <c r="P665" t="n">
        <v>1</v>
      </c>
      <c r="Q665" t="n">
        <v>2</v>
      </c>
      <c r="R665" s="2" t="inlineStr">
        <is>
          <t>Knärot
Ullticka</t>
        </is>
      </c>
      <c r="S665">
        <f>HYPERLINK("https://klasma.github.io/Logging_ARE/artfynd/A 46012-2019.xlsx")</f>
        <v/>
      </c>
      <c r="T665">
        <f>HYPERLINK("https://klasma.github.io/Logging_ARE/kartor/A 46012-2019.png")</f>
        <v/>
      </c>
      <c r="U665">
        <f>HYPERLINK("https://klasma.github.io/Logging_ARE/knärot/A 46012-2019.png")</f>
        <v/>
      </c>
      <c r="V665">
        <f>HYPERLINK("https://klasma.github.io/Logging_ARE/klagomål/A 46012-2019.docx")</f>
        <v/>
      </c>
      <c r="W665">
        <f>HYPERLINK("https://klasma.github.io/Logging_ARE/klagomålsmail/A 46012-2019.docx")</f>
        <v/>
      </c>
      <c r="X665">
        <f>HYPERLINK("https://klasma.github.io/Logging_ARE/tillsyn/A 46012-2019.docx")</f>
        <v/>
      </c>
      <c r="Y665">
        <f>HYPERLINK("https://klasma.github.io/Logging_ARE/tillsynsmail/A 46012-2019.docx")</f>
        <v/>
      </c>
    </row>
    <row r="666" ht="15" customHeight="1">
      <c r="A666" t="inlineStr">
        <is>
          <t>A 48992-2019</t>
        </is>
      </c>
      <c r="B666" s="1" t="n">
        <v>43729</v>
      </c>
      <c r="C666" s="1" t="n">
        <v>45182</v>
      </c>
      <c r="D666" t="inlineStr">
        <is>
          <t>JÄMTLANDS LÄN</t>
        </is>
      </c>
      <c r="E666" t="inlineStr">
        <is>
          <t>BRÄCKE</t>
        </is>
      </c>
      <c r="F666" t="inlineStr">
        <is>
          <t>SCA</t>
        </is>
      </c>
      <c r="G666" t="n">
        <v>7.2</v>
      </c>
      <c r="H666" t="n">
        <v>0</v>
      </c>
      <c r="I666" t="n">
        <v>1</v>
      </c>
      <c r="J666" t="n">
        <v>0</v>
      </c>
      <c r="K666" t="n">
        <v>0</v>
      </c>
      <c r="L666" t="n">
        <v>1</v>
      </c>
      <c r="M666" t="n">
        <v>0</v>
      </c>
      <c r="N666" t="n">
        <v>0</v>
      </c>
      <c r="O666" t="n">
        <v>1</v>
      </c>
      <c r="P666" t="n">
        <v>1</v>
      </c>
      <c r="Q666" t="n">
        <v>2</v>
      </c>
      <c r="R666" s="2" t="inlineStr">
        <is>
          <t>Trolldruvemätare
Svart trolldruva</t>
        </is>
      </c>
      <c r="S666">
        <f>HYPERLINK("https://klasma.github.io/Logging_BRACKE/artfynd/A 48992-2019.xlsx")</f>
        <v/>
      </c>
      <c r="T666">
        <f>HYPERLINK("https://klasma.github.io/Logging_BRACKE/kartor/A 48992-2019.png")</f>
        <v/>
      </c>
      <c r="V666">
        <f>HYPERLINK("https://klasma.github.io/Logging_BRACKE/klagomål/A 48992-2019.docx")</f>
        <v/>
      </c>
      <c r="W666">
        <f>HYPERLINK("https://klasma.github.io/Logging_BRACKE/klagomålsmail/A 48992-2019.docx")</f>
        <v/>
      </c>
      <c r="X666">
        <f>HYPERLINK("https://klasma.github.io/Logging_BRACKE/tillsyn/A 48992-2019.docx")</f>
        <v/>
      </c>
      <c r="Y666">
        <f>HYPERLINK("https://klasma.github.io/Logging_BRACKE/tillsynsmail/A 48992-2019.docx")</f>
        <v/>
      </c>
    </row>
    <row r="667" ht="15" customHeight="1">
      <c r="A667" t="inlineStr">
        <is>
          <t>A 59325-2019</t>
        </is>
      </c>
      <c r="B667" s="1" t="n">
        <v>43775</v>
      </c>
      <c r="C667" s="1" t="n">
        <v>45182</v>
      </c>
      <c r="D667" t="inlineStr">
        <is>
          <t>JÄMTLANDS LÄN</t>
        </is>
      </c>
      <c r="E667" t="inlineStr">
        <is>
          <t>BRÄCKE</t>
        </is>
      </c>
      <c r="G667" t="n">
        <v>2.3</v>
      </c>
      <c r="H667" t="n">
        <v>0</v>
      </c>
      <c r="I667" t="n">
        <v>0</v>
      </c>
      <c r="J667" t="n">
        <v>2</v>
      </c>
      <c r="K667" t="n">
        <v>0</v>
      </c>
      <c r="L667" t="n">
        <v>0</v>
      </c>
      <c r="M667" t="n">
        <v>0</v>
      </c>
      <c r="N667" t="n">
        <v>0</v>
      </c>
      <c r="O667" t="n">
        <v>2</v>
      </c>
      <c r="P667" t="n">
        <v>0</v>
      </c>
      <c r="Q667" t="n">
        <v>2</v>
      </c>
      <c r="R667" s="2" t="inlineStr">
        <is>
          <t>Dvärgbägarlav
Vedskivlav</t>
        </is>
      </c>
      <c r="S667">
        <f>HYPERLINK("https://klasma.github.io/Logging_BRACKE/artfynd/A 59325-2019.xlsx")</f>
        <v/>
      </c>
      <c r="T667">
        <f>HYPERLINK("https://klasma.github.io/Logging_BRACKE/kartor/A 59325-2019.png")</f>
        <v/>
      </c>
      <c r="V667">
        <f>HYPERLINK("https://klasma.github.io/Logging_BRACKE/klagomål/A 59325-2019.docx")</f>
        <v/>
      </c>
      <c r="W667">
        <f>HYPERLINK("https://klasma.github.io/Logging_BRACKE/klagomålsmail/A 59325-2019.docx")</f>
        <v/>
      </c>
      <c r="X667">
        <f>HYPERLINK("https://klasma.github.io/Logging_BRACKE/tillsyn/A 59325-2019.docx")</f>
        <v/>
      </c>
      <c r="Y667">
        <f>HYPERLINK("https://klasma.github.io/Logging_BRACKE/tillsynsmail/A 59325-2019.docx")</f>
        <v/>
      </c>
    </row>
    <row r="668" ht="15" customHeight="1">
      <c r="A668" t="inlineStr">
        <is>
          <t>A 64471-2019</t>
        </is>
      </c>
      <c r="B668" s="1" t="n">
        <v>43797</v>
      </c>
      <c r="C668" s="1" t="n">
        <v>45182</v>
      </c>
      <c r="D668" t="inlineStr">
        <is>
          <t>JÄMTLANDS LÄN</t>
        </is>
      </c>
      <c r="E668" t="inlineStr">
        <is>
          <t>BRÄCKE</t>
        </is>
      </c>
      <c r="F668" t="inlineStr">
        <is>
          <t>SCA</t>
        </is>
      </c>
      <c r="G668" t="n">
        <v>6.4</v>
      </c>
      <c r="H668" t="n">
        <v>1</v>
      </c>
      <c r="I668" t="n">
        <v>1</v>
      </c>
      <c r="J668" t="n">
        <v>1</v>
      </c>
      <c r="K668" t="n">
        <v>0</v>
      </c>
      <c r="L668" t="n">
        <v>0</v>
      </c>
      <c r="M668" t="n">
        <v>0</v>
      </c>
      <c r="N668" t="n">
        <v>0</v>
      </c>
      <c r="O668" t="n">
        <v>1</v>
      </c>
      <c r="P668" t="n">
        <v>0</v>
      </c>
      <c r="Q668" t="n">
        <v>2</v>
      </c>
      <c r="R668" s="2" t="inlineStr">
        <is>
          <t>Garnlav
Korallrot</t>
        </is>
      </c>
      <c r="S668">
        <f>HYPERLINK("https://klasma.github.io/Logging_BRACKE/artfynd/A 64471-2019.xlsx")</f>
        <v/>
      </c>
      <c r="T668">
        <f>HYPERLINK("https://klasma.github.io/Logging_BRACKE/kartor/A 64471-2019.png")</f>
        <v/>
      </c>
      <c r="V668">
        <f>HYPERLINK("https://klasma.github.io/Logging_BRACKE/klagomål/A 64471-2019.docx")</f>
        <v/>
      </c>
      <c r="W668">
        <f>HYPERLINK("https://klasma.github.io/Logging_BRACKE/klagomålsmail/A 64471-2019.docx")</f>
        <v/>
      </c>
      <c r="X668">
        <f>HYPERLINK("https://klasma.github.io/Logging_BRACKE/tillsyn/A 64471-2019.docx")</f>
        <v/>
      </c>
      <c r="Y668">
        <f>HYPERLINK("https://klasma.github.io/Logging_BRACKE/tillsynsmail/A 64471-2019.docx")</f>
        <v/>
      </c>
    </row>
    <row r="669" ht="15" customHeight="1">
      <c r="A669" t="inlineStr">
        <is>
          <t>A 67215-2019</t>
        </is>
      </c>
      <c r="B669" s="1" t="n">
        <v>43811</v>
      </c>
      <c r="C669" s="1" t="n">
        <v>45182</v>
      </c>
      <c r="D669" t="inlineStr">
        <is>
          <t>JÄMTLANDS LÄN</t>
        </is>
      </c>
      <c r="E669" t="inlineStr">
        <is>
          <t>KROKOM</t>
        </is>
      </c>
      <c r="G669" t="n">
        <v>6.7</v>
      </c>
      <c r="H669" t="n">
        <v>0</v>
      </c>
      <c r="I669" t="n">
        <v>1</v>
      </c>
      <c r="J669" t="n">
        <v>0</v>
      </c>
      <c r="K669" t="n">
        <v>1</v>
      </c>
      <c r="L669" t="n">
        <v>0</v>
      </c>
      <c r="M669" t="n">
        <v>0</v>
      </c>
      <c r="N669" t="n">
        <v>0</v>
      </c>
      <c r="O669" t="n">
        <v>1</v>
      </c>
      <c r="P669" t="n">
        <v>1</v>
      </c>
      <c r="Q669" t="n">
        <v>2</v>
      </c>
      <c r="R669" s="2" t="inlineStr">
        <is>
          <t>Blåfotad fagerspindling
Svavelriska</t>
        </is>
      </c>
      <c r="S669">
        <f>HYPERLINK("https://klasma.github.io/Logging_KROKOM/artfynd/A 67215-2019.xlsx")</f>
        <v/>
      </c>
      <c r="T669">
        <f>HYPERLINK("https://klasma.github.io/Logging_KROKOM/kartor/A 67215-2019.png")</f>
        <v/>
      </c>
      <c r="V669">
        <f>HYPERLINK("https://klasma.github.io/Logging_KROKOM/klagomål/A 67215-2019.docx")</f>
        <v/>
      </c>
      <c r="W669">
        <f>HYPERLINK("https://klasma.github.io/Logging_KROKOM/klagomålsmail/A 67215-2019.docx")</f>
        <v/>
      </c>
      <c r="X669">
        <f>HYPERLINK("https://klasma.github.io/Logging_KROKOM/tillsyn/A 67215-2019.docx")</f>
        <v/>
      </c>
      <c r="Y669">
        <f>HYPERLINK("https://klasma.github.io/Logging_KROKOM/tillsynsmail/A 67215-2019.docx")</f>
        <v/>
      </c>
    </row>
    <row r="670" ht="15" customHeight="1">
      <c r="A670" t="inlineStr">
        <is>
          <t>A 68075-2019</t>
        </is>
      </c>
      <c r="B670" s="1" t="n">
        <v>43816</v>
      </c>
      <c r="C670" s="1" t="n">
        <v>45182</v>
      </c>
      <c r="D670" t="inlineStr">
        <is>
          <t>JÄMTLANDS LÄN</t>
        </is>
      </c>
      <c r="E670" t="inlineStr">
        <is>
          <t>KROKOM</t>
        </is>
      </c>
      <c r="F670" t="inlineStr">
        <is>
          <t>SCA</t>
        </is>
      </c>
      <c r="G670" t="n">
        <v>11.3</v>
      </c>
      <c r="H670" t="n">
        <v>0</v>
      </c>
      <c r="I670" t="n">
        <v>0</v>
      </c>
      <c r="J670" t="n">
        <v>2</v>
      </c>
      <c r="K670" t="n">
        <v>0</v>
      </c>
      <c r="L670" t="n">
        <v>0</v>
      </c>
      <c r="M670" t="n">
        <v>0</v>
      </c>
      <c r="N670" t="n">
        <v>0</v>
      </c>
      <c r="O670" t="n">
        <v>2</v>
      </c>
      <c r="P670" t="n">
        <v>0</v>
      </c>
      <c r="Q670" t="n">
        <v>2</v>
      </c>
      <c r="R670" s="2" t="inlineStr">
        <is>
          <t>Garnlav
Lunglav</t>
        </is>
      </c>
      <c r="S670">
        <f>HYPERLINK("https://klasma.github.io/Logging_KROKOM/artfynd/A 68075-2019.xlsx")</f>
        <v/>
      </c>
      <c r="T670">
        <f>HYPERLINK("https://klasma.github.io/Logging_KROKOM/kartor/A 68075-2019.png")</f>
        <v/>
      </c>
      <c r="V670">
        <f>HYPERLINK("https://klasma.github.io/Logging_KROKOM/klagomål/A 68075-2019.docx")</f>
        <v/>
      </c>
      <c r="W670">
        <f>HYPERLINK("https://klasma.github.io/Logging_KROKOM/klagomålsmail/A 68075-2019.docx")</f>
        <v/>
      </c>
      <c r="X670">
        <f>HYPERLINK("https://klasma.github.io/Logging_KROKOM/tillsyn/A 68075-2019.docx")</f>
        <v/>
      </c>
      <c r="Y670">
        <f>HYPERLINK("https://klasma.github.io/Logging_KROKOM/tillsynsmail/A 68075-2019.docx")</f>
        <v/>
      </c>
    </row>
    <row r="671" ht="15" customHeight="1">
      <c r="A671" t="inlineStr">
        <is>
          <t>A 6884-2020</t>
        </is>
      </c>
      <c r="B671" s="1" t="n">
        <v>43867</v>
      </c>
      <c r="C671" s="1" t="n">
        <v>45182</v>
      </c>
      <c r="D671" t="inlineStr">
        <is>
          <t>JÄMTLANDS LÄN</t>
        </is>
      </c>
      <c r="E671" t="inlineStr">
        <is>
          <t>STRÖMSUND</t>
        </is>
      </c>
      <c r="F671" t="inlineStr">
        <is>
          <t>SCA</t>
        </is>
      </c>
      <c r="G671" t="n">
        <v>10.1</v>
      </c>
      <c r="H671" t="n">
        <v>0</v>
      </c>
      <c r="I671" t="n">
        <v>0</v>
      </c>
      <c r="J671" t="n">
        <v>1</v>
      </c>
      <c r="K671" t="n">
        <v>1</v>
      </c>
      <c r="L671" t="n">
        <v>0</v>
      </c>
      <c r="M671" t="n">
        <v>0</v>
      </c>
      <c r="N671" t="n">
        <v>0</v>
      </c>
      <c r="O671" t="n">
        <v>2</v>
      </c>
      <c r="P671" t="n">
        <v>1</v>
      </c>
      <c r="Q671" t="n">
        <v>2</v>
      </c>
      <c r="R671" s="2" t="inlineStr">
        <is>
          <t>Rynkskinn
Brunpudrad nållav</t>
        </is>
      </c>
      <c r="S671">
        <f>HYPERLINK("https://klasma.github.io/Logging_STROMSUND/artfynd/A 6884-2020.xlsx")</f>
        <v/>
      </c>
      <c r="T671">
        <f>HYPERLINK("https://klasma.github.io/Logging_STROMSUND/kartor/A 6884-2020.png")</f>
        <v/>
      </c>
      <c r="V671">
        <f>HYPERLINK("https://klasma.github.io/Logging_STROMSUND/klagomål/A 6884-2020.docx")</f>
        <v/>
      </c>
      <c r="W671">
        <f>HYPERLINK("https://klasma.github.io/Logging_STROMSUND/klagomålsmail/A 6884-2020.docx")</f>
        <v/>
      </c>
      <c r="X671">
        <f>HYPERLINK("https://klasma.github.io/Logging_STROMSUND/tillsyn/A 6884-2020.docx")</f>
        <v/>
      </c>
      <c r="Y671">
        <f>HYPERLINK("https://klasma.github.io/Logging_STROMSUND/tillsynsmail/A 6884-2020.docx")</f>
        <v/>
      </c>
    </row>
    <row r="672" ht="15" customHeight="1">
      <c r="A672" t="inlineStr">
        <is>
          <t>A 12954-2020</t>
        </is>
      </c>
      <c r="B672" s="1" t="n">
        <v>43900</v>
      </c>
      <c r="C672" s="1" t="n">
        <v>45182</v>
      </c>
      <c r="D672" t="inlineStr">
        <is>
          <t>JÄMTLANDS LÄN</t>
        </is>
      </c>
      <c r="E672" t="inlineStr">
        <is>
          <t>HÄRJEDALEN</t>
        </is>
      </c>
      <c r="F672" t="inlineStr">
        <is>
          <t>Bergvik skog väst AB</t>
        </is>
      </c>
      <c r="G672" t="n">
        <v>12.1</v>
      </c>
      <c r="H672" t="n">
        <v>0</v>
      </c>
      <c r="I672" t="n">
        <v>2</v>
      </c>
      <c r="J672" t="n">
        <v>0</v>
      </c>
      <c r="K672" t="n">
        <v>0</v>
      </c>
      <c r="L672" t="n">
        <v>0</v>
      </c>
      <c r="M672" t="n">
        <v>0</v>
      </c>
      <c r="N672" t="n">
        <v>0</v>
      </c>
      <c r="O672" t="n">
        <v>0</v>
      </c>
      <c r="P672" t="n">
        <v>0</v>
      </c>
      <c r="Q672" t="n">
        <v>2</v>
      </c>
      <c r="R672" s="2" t="inlineStr">
        <is>
          <t>Blodticka
Vedticka</t>
        </is>
      </c>
      <c r="S672">
        <f>HYPERLINK("https://klasma.github.io/Logging_HARJEDALEN/artfynd/A 12954-2020.xlsx")</f>
        <v/>
      </c>
      <c r="T672">
        <f>HYPERLINK("https://klasma.github.io/Logging_HARJEDALEN/kartor/A 12954-2020.png")</f>
        <v/>
      </c>
      <c r="V672">
        <f>HYPERLINK("https://klasma.github.io/Logging_HARJEDALEN/klagomål/A 12954-2020.docx")</f>
        <v/>
      </c>
      <c r="W672">
        <f>HYPERLINK("https://klasma.github.io/Logging_HARJEDALEN/klagomålsmail/A 12954-2020.docx")</f>
        <v/>
      </c>
      <c r="X672">
        <f>HYPERLINK("https://klasma.github.io/Logging_HARJEDALEN/tillsyn/A 12954-2020.docx")</f>
        <v/>
      </c>
      <c r="Y672">
        <f>HYPERLINK("https://klasma.github.io/Logging_HARJEDALEN/tillsynsmail/A 12954-2020.docx")</f>
        <v/>
      </c>
    </row>
    <row r="673" ht="15" customHeight="1">
      <c r="A673" t="inlineStr">
        <is>
          <t>A 20477-2020</t>
        </is>
      </c>
      <c r="B673" s="1" t="n">
        <v>43948</v>
      </c>
      <c r="C673" s="1" t="n">
        <v>45182</v>
      </c>
      <c r="D673" t="inlineStr">
        <is>
          <t>JÄMTLANDS LÄN</t>
        </is>
      </c>
      <c r="E673" t="inlineStr">
        <is>
          <t>RAGUNDA</t>
        </is>
      </c>
      <c r="G673" t="n">
        <v>33.6</v>
      </c>
      <c r="H673" t="n">
        <v>0</v>
      </c>
      <c r="I673" t="n">
        <v>1</v>
      </c>
      <c r="J673" t="n">
        <v>1</v>
      </c>
      <c r="K673" t="n">
        <v>0</v>
      </c>
      <c r="L673" t="n">
        <v>0</v>
      </c>
      <c r="M673" t="n">
        <v>0</v>
      </c>
      <c r="N673" t="n">
        <v>0</v>
      </c>
      <c r="O673" t="n">
        <v>1</v>
      </c>
      <c r="P673" t="n">
        <v>0</v>
      </c>
      <c r="Q673" t="n">
        <v>2</v>
      </c>
      <c r="R673" s="2" t="inlineStr">
        <is>
          <t>Lunglav
Luddlav</t>
        </is>
      </c>
      <c r="S673">
        <f>HYPERLINK("https://klasma.github.io/Logging_RAGUNDA/artfynd/A 20477-2020.xlsx")</f>
        <v/>
      </c>
      <c r="T673">
        <f>HYPERLINK("https://klasma.github.io/Logging_RAGUNDA/kartor/A 20477-2020.png")</f>
        <v/>
      </c>
      <c r="V673">
        <f>HYPERLINK("https://klasma.github.io/Logging_RAGUNDA/klagomål/A 20477-2020.docx")</f>
        <v/>
      </c>
      <c r="W673">
        <f>HYPERLINK("https://klasma.github.io/Logging_RAGUNDA/klagomålsmail/A 20477-2020.docx")</f>
        <v/>
      </c>
      <c r="X673">
        <f>HYPERLINK("https://klasma.github.io/Logging_RAGUNDA/tillsyn/A 20477-2020.docx")</f>
        <v/>
      </c>
      <c r="Y673">
        <f>HYPERLINK("https://klasma.github.io/Logging_RAGUNDA/tillsynsmail/A 20477-2020.docx")</f>
        <v/>
      </c>
    </row>
    <row r="674" ht="15" customHeight="1">
      <c r="A674" t="inlineStr">
        <is>
          <t>A 24421-2020</t>
        </is>
      </c>
      <c r="B674" s="1" t="n">
        <v>43976</v>
      </c>
      <c r="C674" s="1" t="n">
        <v>45182</v>
      </c>
      <c r="D674" t="inlineStr">
        <is>
          <t>JÄMTLANDS LÄN</t>
        </is>
      </c>
      <c r="E674" t="inlineStr">
        <is>
          <t>BERG</t>
        </is>
      </c>
      <c r="F674" t="inlineStr">
        <is>
          <t>SCA</t>
        </is>
      </c>
      <c r="G674" t="n">
        <v>15.8</v>
      </c>
      <c r="H674" t="n">
        <v>0</v>
      </c>
      <c r="I674" t="n">
        <v>0</v>
      </c>
      <c r="J674" t="n">
        <v>2</v>
      </c>
      <c r="K674" t="n">
        <v>0</v>
      </c>
      <c r="L674" t="n">
        <v>0</v>
      </c>
      <c r="M674" t="n">
        <v>0</v>
      </c>
      <c r="N674" t="n">
        <v>0</v>
      </c>
      <c r="O674" t="n">
        <v>2</v>
      </c>
      <c r="P674" t="n">
        <v>0</v>
      </c>
      <c r="Q674" t="n">
        <v>2</v>
      </c>
      <c r="R674" s="2" t="inlineStr">
        <is>
          <t>Blanksvart spiklav
Vedflamlav</t>
        </is>
      </c>
      <c r="S674">
        <f>HYPERLINK("https://klasma.github.io/Logging_BERG/artfynd/A 24421-2020.xlsx")</f>
        <v/>
      </c>
      <c r="T674">
        <f>HYPERLINK("https://klasma.github.io/Logging_BERG/kartor/A 24421-2020.png")</f>
        <v/>
      </c>
      <c r="V674">
        <f>HYPERLINK("https://klasma.github.io/Logging_BERG/klagomål/A 24421-2020.docx")</f>
        <v/>
      </c>
      <c r="W674">
        <f>HYPERLINK("https://klasma.github.io/Logging_BERG/klagomålsmail/A 24421-2020.docx")</f>
        <v/>
      </c>
      <c r="X674">
        <f>HYPERLINK("https://klasma.github.io/Logging_BERG/tillsyn/A 24421-2020.docx")</f>
        <v/>
      </c>
      <c r="Y674">
        <f>HYPERLINK("https://klasma.github.io/Logging_BERG/tillsynsmail/A 24421-2020.docx")</f>
        <v/>
      </c>
    </row>
    <row r="675" ht="15" customHeight="1">
      <c r="A675" t="inlineStr">
        <is>
          <t>A 32091-2020</t>
        </is>
      </c>
      <c r="B675" s="1" t="n">
        <v>44015</v>
      </c>
      <c r="C675" s="1" t="n">
        <v>45182</v>
      </c>
      <c r="D675" t="inlineStr">
        <is>
          <t>JÄMTLANDS LÄN</t>
        </is>
      </c>
      <c r="E675" t="inlineStr">
        <is>
          <t>STRÖMSUND</t>
        </is>
      </c>
      <c r="F675" t="inlineStr">
        <is>
          <t>Holmen skog AB</t>
        </is>
      </c>
      <c r="G675" t="n">
        <v>3.6</v>
      </c>
      <c r="H675" t="n">
        <v>0</v>
      </c>
      <c r="I675" t="n">
        <v>0</v>
      </c>
      <c r="J675" t="n">
        <v>2</v>
      </c>
      <c r="K675" t="n">
        <v>0</v>
      </c>
      <c r="L675" t="n">
        <v>0</v>
      </c>
      <c r="M675" t="n">
        <v>0</v>
      </c>
      <c r="N675" t="n">
        <v>0</v>
      </c>
      <c r="O675" t="n">
        <v>2</v>
      </c>
      <c r="P675" t="n">
        <v>0</v>
      </c>
      <c r="Q675" t="n">
        <v>2</v>
      </c>
      <c r="R675" s="2" t="inlineStr">
        <is>
          <t>Lunglav
Skrovellav</t>
        </is>
      </c>
      <c r="S675">
        <f>HYPERLINK("https://klasma.github.io/Logging_STROMSUND/artfynd/A 32091-2020.xlsx")</f>
        <v/>
      </c>
      <c r="T675">
        <f>HYPERLINK("https://klasma.github.io/Logging_STROMSUND/kartor/A 32091-2020.png")</f>
        <v/>
      </c>
      <c r="V675">
        <f>HYPERLINK("https://klasma.github.io/Logging_STROMSUND/klagomål/A 32091-2020.docx")</f>
        <v/>
      </c>
      <c r="W675">
        <f>HYPERLINK("https://klasma.github.io/Logging_STROMSUND/klagomålsmail/A 32091-2020.docx")</f>
        <v/>
      </c>
      <c r="X675">
        <f>HYPERLINK("https://klasma.github.io/Logging_STROMSUND/tillsyn/A 32091-2020.docx")</f>
        <v/>
      </c>
      <c r="Y675">
        <f>HYPERLINK("https://klasma.github.io/Logging_STROMSUND/tillsynsmail/A 32091-2020.docx")</f>
        <v/>
      </c>
    </row>
    <row r="676" ht="15" customHeight="1">
      <c r="A676" t="inlineStr">
        <is>
          <t>A 32661-2020</t>
        </is>
      </c>
      <c r="B676" s="1" t="n">
        <v>44018</v>
      </c>
      <c r="C676" s="1" t="n">
        <v>45182</v>
      </c>
      <c r="D676" t="inlineStr">
        <is>
          <t>JÄMTLANDS LÄN</t>
        </is>
      </c>
      <c r="E676" t="inlineStr">
        <is>
          <t>ÅRE</t>
        </is>
      </c>
      <c r="G676" t="n">
        <v>1.8</v>
      </c>
      <c r="H676" t="n">
        <v>0</v>
      </c>
      <c r="I676" t="n">
        <v>1</v>
      </c>
      <c r="J676" t="n">
        <v>1</v>
      </c>
      <c r="K676" t="n">
        <v>0</v>
      </c>
      <c r="L676" t="n">
        <v>0</v>
      </c>
      <c r="M676" t="n">
        <v>0</v>
      </c>
      <c r="N676" t="n">
        <v>0</v>
      </c>
      <c r="O676" t="n">
        <v>1</v>
      </c>
      <c r="P676" t="n">
        <v>0</v>
      </c>
      <c r="Q676" t="n">
        <v>2</v>
      </c>
      <c r="R676" s="2" t="inlineStr">
        <is>
          <t>Garnlav
Luddlav</t>
        </is>
      </c>
      <c r="S676">
        <f>HYPERLINK("https://klasma.github.io/Logging_ARE/artfynd/A 32661-2020.xlsx")</f>
        <v/>
      </c>
      <c r="T676">
        <f>HYPERLINK("https://klasma.github.io/Logging_ARE/kartor/A 32661-2020.png")</f>
        <v/>
      </c>
      <c r="V676">
        <f>HYPERLINK("https://klasma.github.io/Logging_ARE/klagomål/A 32661-2020.docx")</f>
        <v/>
      </c>
      <c r="W676">
        <f>HYPERLINK("https://klasma.github.io/Logging_ARE/klagomålsmail/A 32661-2020.docx")</f>
        <v/>
      </c>
      <c r="X676">
        <f>HYPERLINK("https://klasma.github.io/Logging_ARE/tillsyn/A 32661-2020.docx")</f>
        <v/>
      </c>
      <c r="Y676">
        <f>HYPERLINK("https://klasma.github.io/Logging_ARE/tillsynsmail/A 32661-2020.docx")</f>
        <v/>
      </c>
    </row>
    <row r="677" ht="15" customHeight="1">
      <c r="A677" t="inlineStr">
        <is>
          <t>A 32743-2020</t>
        </is>
      </c>
      <c r="B677" s="1" t="n">
        <v>44019</v>
      </c>
      <c r="C677" s="1" t="n">
        <v>45182</v>
      </c>
      <c r="D677" t="inlineStr">
        <is>
          <t>JÄMTLANDS LÄN</t>
        </is>
      </c>
      <c r="E677" t="inlineStr">
        <is>
          <t>BERG</t>
        </is>
      </c>
      <c r="F677" t="inlineStr">
        <is>
          <t>SCA</t>
        </is>
      </c>
      <c r="G677" t="n">
        <v>2.1</v>
      </c>
      <c r="H677" t="n">
        <v>0</v>
      </c>
      <c r="I677" t="n">
        <v>1</v>
      </c>
      <c r="J677" t="n">
        <v>1</v>
      </c>
      <c r="K677" t="n">
        <v>0</v>
      </c>
      <c r="L677" t="n">
        <v>0</v>
      </c>
      <c r="M677" t="n">
        <v>0</v>
      </c>
      <c r="N677" t="n">
        <v>0</v>
      </c>
      <c r="O677" t="n">
        <v>1</v>
      </c>
      <c r="P677" t="n">
        <v>0</v>
      </c>
      <c r="Q677" t="n">
        <v>2</v>
      </c>
      <c r="R677" s="2" t="inlineStr">
        <is>
          <t>Skrovellav
Barkkornlav</t>
        </is>
      </c>
      <c r="S677">
        <f>HYPERLINK("https://klasma.github.io/Logging_BERG/artfynd/A 32743-2020.xlsx")</f>
        <v/>
      </c>
      <c r="T677">
        <f>HYPERLINK("https://klasma.github.io/Logging_BERG/kartor/A 32743-2020.png")</f>
        <v/>
      </c>
      <c r="V677">
        <f>HYPERLINK("https://klasma.github.io/Logging_BERG/klagomål/A 32743-2020.docx")</f>
        <v/>
      </c>
      <c r="W677">
        <f>HYPERLINK("https://klasma.github.io/Logging_BERG/klagomålsmail/A 32743-2020.docx")</f>
        <v/>
      </c>
      <c r="X677">
        <f>HYPERLINK("https://klasma.github.io/Logging_BERG/tillsyn/A 32743-2020.docx")</f>
        <v/>
      </c>
      <c r="Y677">
        <f>HYPERLINK("https://klasma.github.io/Logging_BERG/tillsynsmail/A 32743-2020.docx")</f>
        <v/>
      </c>
    </row>
    <row r="678" ht="15" customHeight="1">
      <c r="A678" t="inlineStr">
        <is>
          <t>A 34577-2020</t>
        </is>
      </c>
      <c r="B678" s="1" t="n">
        <v>44033</v>
      </c>
      <c r="C678" s="1" t="n">
        <v>45182</v>
      </c>
      <c r="D678" t="inlineStr">
        <is>
          <t>JÄMTLANDS LÄN</t>
        </is>
      </c>
      <c r="E678" t="inlineStr">
        <is>
          <t>BERG</t>
        </is>
      </c>
      <c r="F678" t="inlineStr">
        <is>
          <t>SCA</t>
        </is>
      </c>
      <c r="G678" t="n">
        <v>7</v>
      </c>
      <c r="H678" t="n">
        <v>1</v>
      </c>
      <c r="I678" t="n">
        <v>0</v>
      </c>
      <c r="J678" t="n">
        <v>1</v>
      </c>
      <c r="K678" t="n">
        <v>1</v>
      </c>
      <c r="L678" t="n">
        <v>0</v>
      </c>
      <c r="M678" t="n">
        <v>0</v>
      </c>
      <c r="N678" t="n">
        <v>0</v>
      </c>
      <c r="O678" t="n">
        <v>2</v>
      </c>
      <c r="P678" t="n">
        <v>1</v>
      </c>
      <c r="Q678" t="n">
        <v>2</v>
      </c>
      <c r="R678" s="2" t="inlineStr">
        <is>
          <t>Doftticka
Skrovellav</t>
        </is>
      </c>
      <c r="S678">
        <f>HYPERLINK("https://klasma.github.io/Logging_BERG/artfynd/A 34577-2020.xlsx")</f>
        <v/>
      </c>
      <c r="T678">
        <f>HYPERLINK("https://klasma.github.io/Logging_BERG/kartor/A 34577-2020.png")</f>
        <v/>
      </c>
      <c r="V678">
        <f>HYPERLINK("https://klasma.github.io/Logging_BERG/klagomål/A 34577-2020.docx")</f>
        <v/>
      </c>
      <c r="W678">
        <f>HYPERLINK("https://klasma.github.io/Logging_BERG/klagomålsmail/A 34577-2020.docx")</f>
        <v/>
      </c>
      <c r="X678">
        <f>HYPERLINK("https://klasma.github.io/Logging_BERG/tillsyn/A 34577-2020.docx")</f>
        <v/>
      </c>
      <c r="Y678">
        <f>HYPERLINK("https://klasma.github.io/Logging_BERG/tillsynsmail/A 34577-2020.docx")</f>
        <v/>
      </c>
    </row>
    <row r="679" ht="15" customHeight="1">
      <c r="A679" t="inlineStr">
        <is>
          <t>A 35623-2020</t>
        </is>
      </c>
      <c r="B679" s="1" t="n">
        <v>44046</v>
      </c>
      <c r="C679" s="1" t="n">
        <v>45182</v>
      </c>
      <c r="D679" t="inlineStr">
        <is>
          <t>JÄMTLANDS LÄN</t>
        </is>
      </c>
      <c r="E679" t="inlineStr">
        <is>
          <t>ÅRE</t>
        </is>
      </c>
      <c r="G679" t="n">
        <v>15.8</v>
      </c>
      <c r="H679" t="n">
        <v>0</v>
      </c>
      <c r="I679" t="n">
        <v>0</v>
      </c>
      <c r="J679" t="n">
        <v>1</v>
      </c>
      <c r="K679" t="n">
        <v>1</v>
      </c>
      <c r="L679" t="n">
        <v>0</v>
      </c>
      <c r="M679" t="n">
        <v>0</v>
      </c>
      <c r="N679" t="n">
        <v>0</v>
      </c>
      <c r="O679" t="n">
        <v>2</v>
      </c>
      <c r="P679" t="n">
        <v>1</v>
      </c>
      <c r="Q679" t="n">
        <v>2</v>
      </c>
      <c r="R679" s="2" t="inlineStr">
        <is>
          <t>Norsk näverlav
Gammelgransskål</t>
        </is>
      </c>
      <c r="S679">
        <f>HYPERLINK("https://klasma.github.io/Logging_ARE/artfynd/A 35623-2020.xlsx")</f>
        <v/>
      </c>
      <c r="T679">
        <f>HYPERLINK("https://klasma.github.io/Logging_ARE/kartor/A 35623-2020.png")</f>
        <v/>
      </c>
      <c r="V679">
        <f>HYPERLINK("https://klasma.github.io/Logging_ARE/klagomål/A 35623-2020.docx")</f>
        <v/>
      </c>
      <c r="W679">
        <f>HYPERLINK("https://klasma.github.io/Logging_ARE/klagomålsmail/A 35623-2020.docx")</f>
        <v/>
      </c>
      <c r="X679">
        <f>HYPERLINK("https://klasma.github.io/Logging_ARE/tillsyn/A 35623-2020.docx")</f>
        <v/>
      </c>
      <c r="Y679">
        <f>HYPERLINK("https://klasma.github.io/Logging_ARE/tillsynsmail/A 35623-2020.docx")</f>
        <v/>
      </c>
    </row>
    <row r="680" ht="15" customHeight="1">
      <c r="A680" t="inlineStr">
        <is>
          <t>A 36883-2020</t>
        </is>
      </c>
      <c r="B680" s="1" t="n">
        <v>44053</v>
      </c>
      <c r="C680" s="1" t="n">
        <v>45182</v>
      </c>
      <c r="D680" t="inlineStr">
        <is>
          <t>JÄMTLANDS LÄN</t>
        </is>
      </c>
      <c r="E680" t="inlineStr">
        <is>
          <t>STRÖMSUND</t>
        </is>
      </c>
      <c r="F680" t="inlineStr">
        <is>
          <t>Holmen skog AB</t>
        </is>
      </c>
      <c r="G680" t="n">
        <v>11.1</v>
      </c>
      <c r="H680" t="n">
        <v>0</v>
      </c>
      <c r="I680" t="n">
        <v>0</v>
      </c>
      <c r="J680" t="n">
        <v>2</v>
      </c>
      <c r="K680" t="n">
        <v>0</v>
      </c>
      <c r="L680" t="n">
        <v>0</v>
      </c>
      <c r="M680" t="n">
        <v>0</v>
      </c>
      <c r="N680" t="n">
        <v>0</v>
      </c>
      <c r="O680" t="n">
        <v>2</v>
      </c>
      <c r="P680" t="n">
        <v>0</v>
      </c>
      <c r="Q680" t="n">
        <v>2</v>
      </c>
      <c r="R680" s="2" t="inlineStr">
        <is>
          <t>Lunglav
Skrovellav</t>
        </is>
      </c>
      <c r="S680">
        <f>HYPERLINK("https://klasma.github.io/Logging_STROMSUND/artfynd/A 36883-2020.xlsx")</f>
        <v/>
      </c>
      <c r="T680">
        <f>HYPERLINK("https://klasma.github.io/Logging_STROMSUND/kartor/A 36883-2020.png")</f>
        <v/>
      </c>
      <c r="V680">
        <f>HYPERLINK("https://klasma.github.io/Logging_STROMSUND/klagomål/A 36883-2020.docx")</f>
        <v/>
      </c>
      <c r="W680">
        <f>HYPERLINK("https://klasma.github.io/Logging_STROMSUND/klagomålsmail/A 36883-2020.docx")</f>
        <v/>
      </c>
      <c r="X680">
        <f>HYPERLINK("https://klasma.github.io/Logging_STROMSUND/tillsyn/A 36883-2020.docx")</f>
        <v/>
      </c>
      <c r="Y680">
        <f>HYPERLINK("https://klasma.github.io/Logging_STROMSUND/tillsynsmail/A 36883-2020.docx")</f>
        <v/>
      </c>
    </row>
    <row r="681" ht="15" customHeight="1">
      <c r="A681" t="inlineStr">
        <is>
          <t>A 38458-2020</t>
        </is>
      </c>
      <c r="B681" s="1" t="n">
        <v>44060</v>
      </c>
      <c r="C681" s="1" t="n">
        <v>45182</v>
      </c>
      <c r="D681" t="inlineStr">
        <is>
          <t>JÄMTLANDS LÄN</t>
        </is>
      </c>
      <c r="E681" t="inlineStr">
        <is>
          <t>BRÄCKE</t>
        </is>
      </c>
      <c r="G681" t="n">
        <v>5.4</v>
      </c>
      <c r="H681" t="n">
        <v>0</v>
      </c>
      <c r="I681" t="n">
        <v>1</v>
      </c>
      <c r="J681" t="n">
        <v>1</v>
      </c>
      <c r="K681" t="n">
        <v>0</v>
      </c>
      <c r="L681" t="n">
        <v>0</v>
      </c>
      <c r="M681" t="n">
        <v>0</v>
      </c>
      <c r="N681" t="n">
        <v>0</v>
      </c>
      <c r="O681" t="n">
        <v>1</v>
      </c>
      <c r="P681" t="n">
        <v>0</v>
      </c>
      <c r="Q681" t="n">
        <v>2</v>
      </c>
      <c r="R681" s="2" t="inlineStr">
        <is>
          <t>Lunglav
Luddlav</t>
        </is>
      </c>
      <c r="S681">
        <f>HYPERLINK("https://klasma.github.io/Logging_BRACKE/artfynd/A 38458-2020.xlsx")</f>
        <v/>
      </c>
      <c r="T681">
        <f>HYPERLINK("https://klasma.github.io/Logging_BRACKE/kartor/A 38458-2020.png")</f>
        <v/>
      </c>
      <c r="V681">
        <f>HYPERLINK("https://klasma.github.io/Logging_BRACKE/klagomål/A 38458-2020.docx")</f>
        <v/>
      </c>
      <c r="W681">
        <f>HYPERLINK("https://klasma.github.io/Logging_BRACKE/klagomålsmail/A 38458-2020.docx")</f>
        <v/>
      </c>
      <c r="X681">
        <f>HYPERLINK("https://klasma.github.io/Logging_BRACKE/tillsyn/A 38458-2020.docx")</f>
        <v/>
      </c>
      <c r="Y681">
        <f>HYPERLINK("https://klasma.github.io/Logging_BRACKE/tillsynsmail/A 38458-2020.docx")</f>
        <v/>
      </c>
    </row>
    <row r="682" ht="15" customHeight="1">
      <c r="A682" t="inlineStr">
        <is>
          <t>A 39356-2020</t>
        </is>
      </c>
      <c r="B682" s="1" t="n">
        <v>44063</v>
      </c>
      <c r="C682" s="1" t="n">
        <v>45182</v>
      </c>
      <c r="D682" t="inlineStr">
        <is>
          <t>JÄMTLANDS LÄN</t>
        </is>
      </c>
      <c r="E682" t="inlineStr">
        <is>
          <t>STRÖMSUND</t>
        </is>
      </c>
      <c r="F682" t="inlineStr">
        <is>
          <t>SCA</t>
        </is>
      </c>
      <c r="G682" t="n">
        <v>3.9</v>
      </c>
      <c r="H682" t="n">
        <v>0</v>
      </c>
      <c r="I682" t="n">
        <v>0</v>
      </c>
      <c r="J682" t="n">
        <v>2</v>
      </c>
      <c r="K682" t="n">
        <v>0</v>
      </c>
      <c r="L682" t="n">
        <v>0</v>
      </c>
      <c r="M682" t="n">
        <v>0</v>
      </c>
      <c r="N682" t="n">
        <v>0</v>
      </c>
      <c r="O682" t="n">
        <v>2</v>
      </c>
      <c r="P682" t="n">
        <v>0</v>
      </c>
      <c r="Q682" t="n">
        <v>2</v>
      </c>
      <c r="R682" s="2" t="inlineStr">
        <is>
          <t>Gammelgransskål
Skrovellav</t>
        </is>
      </c>
      <c r="S682">
        <f>HYPERLINK("https://klasma.github.io/Logging_STROMSUND/artfynd/A 39356-2020.xlsx")</f>
        <v/>
      </c>
      <c r="T682">
        <f>HYPERLINK("https://klasma.github.io/Logging_STROMSUND/kartor/A 39356-2020.png")</f>
        <v/>
      </c>
      <c r="V682">
        <f>HYPERLINK("https://klasma.github.io/Logging_STROMSUND/klagomål/A 39356-2020.docx")</f>
        <v/>
      </c>
      <c r="W682">
        <f>HYPERLINK("https://klasma.github.io/Logging_STROMSUND/klagomålsmail/A 39356-2020.docx")</f>
        <v/>
      </c>
      <c r="X682">
        <f>HYPERLINK("https://klasma.github.io/Logging_STROMSUND/tillsyn/A 39356-2020.docx")</f>
        <v/>
      </c>
      <c r="Y682">
        <f>HYPERLINK("https://klasma.github.io/Logging_STROMSUND/tillsynsmail/A 39356-2020.docx")</f>
        <v/>
      </c>
    </row>
    <row r="683" ht="15" customHeight="1">
      <c r="A683" t="inlineStr">
        <is>
          <t>A 52778-2020</t>
        </is>
      </c>
      <c r="B683" s="1" t="n">
        <v>44119</v>
      </c>
      <c r="C683" s="1" t="n">
        <v>45182</v>
      </c>
      <c r="D683" t="inlineStr">
        <is>
          <t>JÄMTLANDS LÄN</t>
        </is>
      </c>
      <c r="E683" t="inlineStr">
        <is>
          <t>ÅRE</t>
        </is>
      </c>
      <c r="G683" t="n">
        <v>16.5</v>
      </c>
      <c r="H683" t="n">
        <v>0</v>
      </c>
      <c r="I683" t="n">
        <v>0</v>
      </c>
      <c r="J683" t="n">
        <v>2</v>
      </c>
      <c r="K683" t="n">
        <v>0</v>
      </c>
      <c r="L683" t="n">
        <v>0</v>
      </c>
      <c r="M683" t="n">
        <v>0</v>
      </c>
      <c r="N683" t="n">
        <v>0</v>
      </c>
      <c r="O683" t="n">
        <v>2</v>
      </c>
      <c r="P683" t="n">
        <v>0</v>
      </c>
      <c r="Q683" t="n">
        <v>2</v>
      </c>
      <c r="R683" s="2" t="inlineStr">
        <is>
          <t>Garnlav
Granticka</t>
        </is>
      </c>
      <c r="S683">
        <f>HYPERLINK("https://klasma.github.io/Logging_ARE/artfynd/A 52778-2020.xlsx")</f>
        <v/>
      </c>
      <c r="T683">
        <f>HYPERLINK("https://klasma.github.io/Logging_ARE/kartor/A 52778-2020.png")</f>
        <v/>
      </c>
      <c r="V683">
        <f>HYPERLINK("https://klasma.github.io/Logging_ARE/klagomål/A 52778-2020.docx")</f>
        <v/>
      </c>
      <c r="W683">
        <f>HYPERLINK("https://klasma.github.io/Logging_ARE/klagomålsmail/A 52778-2020.docx")</f>
        <v/>
      </c>
      <c r="X683">
        <f>HYPERLINK("https://klasma.github.io/Logging_ARE/tillsyn/A 52778-2020.docx")</f>
        <v/>
      </c>
      <c r="Y683">
        <f>HYPERLINK("https://klasma.github.io/Logging_ARE/tillsynsmail/A 52778-2020.docx")</f>
        <v/>
      </c>
    </row>
    <row r="684" ht="15" customHeight="1">
      <c r="A684" t="inlineStr">
        <is>
          <t>A 54387-2020</t>
        </is>
      </c>
      <c r="B684" s="1" t="n">
        <v>44123</v>
      </c>
      <c r="C684" s="1" t="n">
        <v>45182</v>
      </c>
      <c r="D684" t="inlineStr">
        <is>
          <t>JÄMTLANDS LÄN</t>
        </is>
      </c>
      <c r="E684" t="inlineStr">
        <is>
          <t>KROKOM</t>
        </is>
      </c>
      <c r="G684" t="n">
        <v>4.3</v>
      </c>
      <c r="H684" t="n">
        <v>1</v>
      </c>
      <c r="I684" t="n">
        <v>1</v>
      </c>
      <c r="J684" t="n">
        <v>0</v>
      </c>
      <c r="K684" t="n">
        <v>0</v>
      </c>
      <c r="L684" t="n">
        <v>1</v>
      </c>
      <c r="M684" t="n">
        <v>0</v>
      </c>
      <c r="N684" t="n">
        <v>0</v>
      </c>
      <c r="O684" t="n">
        <v>1</v>
      </c>
      <c r="P684" t="n">
        <v>1</v>
      </c>
      <c r="Q684" t="n">
        <v>2</v>
      </c>
      <c r="R684" s="2" t="inlineStr">
        <is>
          <t>Violett guldvinge
Luddlav</t>
        </is>
      </c>
      <c r="S684">
        <f>HYPERLINK("https://klasma.github.io/Logging_KROKOM/artfynd/A 54387-2020.xlsx")</f>
        <v/>
      </c>
      <c r="T684">
        <f>HYPERLINK("https://klasma.github.io/Logging_KROKOM/kartor/A 54387-2020.png")</f>
        <v/>
      </c>
      <c r="V684">
        <f>HYPERLINK("https://klasma.github.io/Logging_KROKOM/klagomål/A 54387-2020.docx")</f>
        <v/>
      </c>
      <c r="W684">
        <f>HYPERLINK("https://klasma.github.io/Logging_KROKOM/klagomålsmail/A 54387-2020.docx")</f>
        <v/>
      </c>
      <c r="X684">
        <f>HYPERLINK("https://klasma.github.io/Logging_KROKOM/tillsyn/A 54387-2020.docx")</f>
        <v/>
      </c>
      <c r="Y684">
        <f>HYPERLINK("https://klasma.github.io/Logging_KROKOM/tillsynsmail/A 54387-2020.docx")</f>
        <v/>
      </c>
    </row>
    <row r="685" ht="15" customHeight="1">
      <c r="A685" t="inlineStr">
        <is>
          <t>A 55641-2020</t>
        </is>
      </c>
      <c r="B685" s="1" t="n">
        <v>44131</v>
      </c>
      <c r="C685" s="1" t="n">
        <v>45182</v>
      </c>
      <c r="D685" t="inlineStr">
        <is>
          <t>JÄMTLANDS LÄN</t>
        </is>
      </c>
      <c r="E685" t="inlineStr">
        <is>
          <t>STRÖMSUND</t>
        </is>
      </c>
      <c r="G685" t="n">
        <v>60.4</v>
      </c>
      <c r="H685" t="n">
        <v>0</v>
      </c>
      <c r="I685" t="n">
        <v>0</v>
      </c>
      <c r="J685" t="n">
        <v>1</v>
      </c>
      <c r="K685" t="n">
        <v>1</v>
      </c>
      <c r="L685" t="n">
        <v>0</v>
      </c>
      <c r="M685" t="n">
        <v>0</v>
      </c>
      <c r="N685" t="n">
        <v>0</v>
      </c>
      <c r="O685" t="n">
        <v>2</v>
      </c>
      <c r="P685" t="n">
        <v>1</v>
      </c>
      <c r="Q685" t="n">
        <v>2</v>
      </c>
      <c r="R685" s="2" t="inlineStr">
        <is>
          <t>Norsk näverlav
Luddfingersvamp</t>
        </is>
      </c>
      <c r="S685">
        <f>HYPERLINK("https://klasma.github.io/Logging_STROMSUND/artfynd/A 55641-2020.xlsx")</f>
        <v/>
      </c>
      <c r="T685">
        <f>HYPERLINK("https://klasma.github.io/Logging_STROMSUND/kartor/A 55641-2020.png")</f>
        <v/>
      </c>
      <c r="V685">
        <f>HYPERLINK("https://klasma.github.io/Logging_STROMSUND/klagomål/A 55641-2020.docx")</f>
        <v/>
      </c>
      <c r="W685">
        <f>HYPERLINK("https://klasma.github.io/Logging_STROMSUND/klagomålsmail/A 55641-2020.docx")</f>
        <v/>
      </c>
      <c r="X685">
        <f>HYPERLINK("https://klasma.github.io/Logging_STROMSUND/tillsyn/A 55641-2020.docx")</f>
        <v/>
      </c>
      <c r="Y685">
        <f>HYPERLINK("https://klasma.github.io/Logging_STROMSUND/tillsynsmail/A 55641-2020.docx")</f>
        <v/>
      </c>
    </row>
    <row r="686" ht="15" customHeight="1">
      <c r="A686" t="inlineStr">
        <is>
          <t>A 58228-2020</t>
        </is>
      </c>
      <c r="B686" s="1" t="n">
        <v>44144</v>
      </c>
      <c r="C686" s="1" t="n">
        <v>45182</v>
      </c>
      <c r="D686" t="inlineStr">
        <is>
          <t>JÄMTLANDS LÄN</t>
        </is>
      </c>
      <c r="E686" t="inlineStr">
        <is>
          <t>STRÖMSUND</t>
        </is>
      </c>
      <c r="F686" t="inlineStr">
        <is>
          <t>Holmen skog AB</t>
        </is>
      </c>
      <c r="G686" t="n">
        <v>9.199999999999999</v>
      </c>
      <c r="H686" t="n">
        <v>0</v>
      </c>
      <c r="I686" t="n">
        <v>0</v>
      </c>
      <c r="J686" t="n">
        <v>0</v>
      </c>
      <c r="K686" t="n">
        <v>2</v>
      </c>
      <c r="L686" t="n">
        <v>0</v>
      </c>
      <c r="M686" t="n">
        <v>0</v>
      </c>
      <c r="N686" t="n">
        <v>0</v>
      </c>
      <c r="O686" t="n">
        <v>2</v>
      </c>
      <c r="P686" t="n">
        <v>2</v>
      </c>
      <c r="Q686" t="n">
        <v>2</v>
      </c>
      <c r="R686" s="2" t="inlineStr">
        <is>
          <t>Norsk näverlav
Smalskaftslav</t>
        </is>
      </c>
      <c r="S686">
        <f>HYPERLINK("https://klasma.github.io/Logging_STROMSUND/artfynd/A 58228-2020.xlsx")</f>
        <v/>
      </c>
      <c r="T686">
        <f>HYPERLINK("https://klasma.github.io/Logging_STROMSUND/kartor/A 58228-2020.png")</f>
        <v/>
      </c>
      <c r="V686">
        <f>HYPERLINK("https://klasma.github.io/Logging_STROMSUND/klagomål/A 58228-2020.docx")</f>
        <v/>
      </c>
      <c r="W686">
        <f>HYPERLINK("https://klasma.github.io/Logging_STROMSUND/klagomålsmail/A 58228-2020.docx")</f>
        <v/>
      </c>
      <c r="X686">
        <f>HYPERLINK("https://klasma.github.io/Logging_STROMSUND/tillsyn/A 58228-2020.docx")</f>
        <v/>
      </c>
      <c r="Y686">
        <f>HYPERLINK("https://klasma.github.io/Logging_STROMSUND/tillsynsmail/A 58228-2020.docx")</f>
        <v/>
      </c>
    </row>
    <row r="687" ht="15" customHeight="1">
      <c r="A687" t="inlineStr">
        <is>
          <t>A 59786-2020</t>
        </is>
      </c>
      <c r="B687" s="1" t="n">
        <v>44148</v>
      </c>
      <c r="C687" s="1" t="n">
        <v>45182</v>
      </c>
      <c r="D687" t="inlineStr">
        <is>
          <t>JÄMTLANDS LÄN</t>
        </is>
      </c>
      <c r="E687" t="inlineStr">
        <is>
          <t>BERG</t>
        </is>
      </c>
      <c r="F687" t="inlineStr">
        <is>
          <t>Kommuner</t>
        </is>
      </c>
      <c r="G687" t="n">
        <v>9.1</v>
      </c>
      <c r="H687" t="n">
        <v>0</v>
      </c>
      <c r="I687" t="n">
        <v>0</v>
      </c>
      <c r="J687" t="n">
        <v>2</v>
      </c>
      <c r="K687" t="n">
        <v>0</v>
      </c>
      <c r="L687" t="n">
        <v>0</v>
      </c>
      <c r="M687" t="n">
        <v>0</v>
      </c>
      <c r="N687" t="n">
        <v>0</v>
      </c>
      <c r="O687" t="n">
        <v>2</v>
      </c>
      <c r="P687" t="n">
        <v>0</v>
      </c>
      <c r="Q687" t="n">
        <v>2</v>
      </c>
      <c r="R687" s="2" t="inlineStr">
        <is>
          <t>Gränsticka
Rosenticka</t>
        </is>
      </c>
      <c r="S687">
        <f>HYPERLINK("https://klasma.github.io/Logging_BERG/artfynd/A 59786-2020.xlsx")</f>
        <v/>
      </c>
      <c r="T687">
        <f>HYPERLINK("https://klasma.github.io/Logging_BERG/kartor/A 59786-2020.png")</f>
        <v/>
      </c>
      <c r="V687">
        <f>HYPERLINK("https://klasma.github.io/Logging_BERG/klagomål/A 59786-2020.docx")</f>
        <v/>
      </c>
      <c r="W687">
        <f>HYPERLINK("https://klasma.github.io/Logging_BERG/klagomålsmail/A 59786-2020.docx")</f>
        <v/>
      </c>
      <c r="X687">
        <f>HYPERLINK("https://klasma.github.io/Logging_BERG/tillsyn/A 59786-2020.docx")</f>
        <v/>
      </c>
      <c r="Y687">
        <f>HYPERLINK("https://klasma.github.io/Logging_BERG/tillsynsmail/A 59786-2020.docx")</f>
        <v/>
      </c>
    </row>
    <row r="688" ht="15" customHeight="1">
      <c r="A688" t="inlineStr">
        <is>
          <t>A 60116-2020</t>
        </is>
      </c>
      <c r="B688" s="1" t="n">
        <v>44151</v>
      </c>
      <c r="C688" s="1" t="n">
        <v>45182</v>
      </c>
      <c r="D688" t="inlineStr">
        <is>
          <t>JÄMTLANDS LÄN</t>
        </is>
      </c>
      <c r="E688" t="inlineStr">
        <is>
          <t>STRÖMSUND</t>
        </is>
      </c>
      <c r="G688" t="n">
        <v>13.7</v>
      </c>
      <c r="H688" t="n">
        <v>0</v>
      </c>
      <c r="I688" t="n">
        <v>1</v>
      </c>
      <c r="J688" t="n">
        <v>1</v>
      </c>
      <c r="K688" t="n">
        <v>0</v>
      </c>
      <c r="L688" t="n">
        <v>0</v>
      </c>
      <c r="M688" t="n">
        <v>0</v>
      </c>
      <c r="N688" t="n">
        <v>0</v>
      </c>
      <c r="O688" t="n">
        <v>1</v>
      </c>
      <c r="P688" t="n">
        <v>0</v>
      </c>
      <c r="Q688" t="n">
        <v>2</v>
      </c>
      <c r="R688" s="2" t="inlineStr">
        <is>
          <t>Skrovellav
Stuplav</t>
        </is>
      </c>
      <c r="S688">
        <f>HYPERLINK("https://klasma.github.io/Logging_STROMSUND/artfynd/A 60116-2020.xlsx")</f>
        <v/>
      </c>
      <c r="T688">
        <f>HYPERLINK("https://klasma.github.io/Logging_STROMSUND/kartor/A 60116-2020.png")</f>
        <v/>
      </c>
      <c r="V688">
        <f>HYPERLINK("https://klasma.github.io/Logging_STROMSUND/klagomål/A 60116-2020.docx")</f>
        <v/>
      </c>
      <c r="W688">
        <f>HYPERLINK("https://klasma.github.io/Logging_STROMSUND/klagomålsmail/A 60116-2020.docx")</f>
        <v/>
      </c>
      <c r="X688">
        <f>HYPERLINK("https://klasma.github.io/Logging_STROMSUND/tillsyn/A 60116-2020.docx")</f>
        <v/>
      </c>
      <c r="Y688">
        <f>HYPERLINK("https://klasma.github.io/Logging_STROMSUND/tillsynsmail/A 60116-2020.docx")</f>
        <v/>
      </c>
    </row>
    <row r="689" ht="15" customHeight="1">
      <c r="A689" t="inlineStr">
        <is>
          <t>A 62641-2020</t>
        </is>
      </c>
      <c r="B689" s="1" t="n">
        <v>44161</v>
      </c>
      <c r="C689" s="1" t="n">
        <v>45182</v>
      </c>
      <c r="D689" t="inlineStr">
        <is>
          <t>JÄMTLANDS LÄN</t>
        </is>
      </c>
      <c r="E689" t="inlineStr">
        <is>
          <t>KROKOM</t>
        </is>
      </c>
      <c r="G689" t="n">
        <v>5.3</v>
      </c>
      <c r="H689" t="n">
        <v>1</v>
      </c>
      <c r="I689" t="n">
        <v>1</v>
      </c>
      <c r="J689" t="n">
        <v>0</v>
      </c>
      <c r="K689" t="n">
        <v>0</v>
      </c>
      <c r="L689" t="n">
        <v>0</v>
      </c>
      <c r="M689" t="n">
        <v>0</v>
      </c>
      <c r="N689" t="n">
        <v>0</v>
      </c>
      <c r="O689" t="n">
        <v>0</v>
      </c>
      <c r="P689" t="n">
        <v>0</v>
      </c>
      <c r="Q689" t="n">
        <v>2</v>
      </c>
      <c r="R689" s="2" t="inlineStr">
        <is>
          <t>Svavelriska
Blåsippa</t>
        </is>
      </c>
      <c r="S689">
        <f>HYPERLINK("https://klasma.github.io/Logging_KROKOM/artfynd/A 62641-2020.xlsx")</f>
        <v/>
      </c>
      <c r="T689">
        <f>HYPERLINK("https://klasma.github.io/Logging_KROKOM/kartor/A 62641-2020.png")</f>
        <v/>
      </c>
      <c r="V689">
        <f>HYPERLINK("https://klasma.github.io/Logging_KROKOM/klagomål/A 62641-2020.docx")</f>
        <v/>
      </c>
      <c r="W689">
        <f>HYPERLINK("https://klasma.github.io/Logging_KROKOM/klagomålsmail/A 62641-2020.docx")</f>
        <v/>
      </c>
      <c r="X689">
        <f>HYPERLINK("https://klasma.github.io/Logging_KROKOM/tillsyn/A 62641-2020.docx")</f>
        <v/>
      </c>
      <c r="Y689">
        <f>HYPERLINK("https://klasma.github.io/Logging_KROKOM/tillsynsmail/A 62641-2020.docx")</f>
        <v/>
      </c>
    </row>
    <row r="690" ht="15" customHeight="1">
      <c r="A690" t="inlineStr">
        <is>
          <t>A 66707-2020</t>
        </is>
      </c>
      <c r="B690" s="1" t="n">
        <v>44179</v>
      </c>
      <c r="C690" s="1" t="n">
        <v>45182</v>
      </c>
      <c r="D690" t="inlineStr">
        <is>
          <t>JÄMTLANDS LÄN</t>
        </is>
      </c>
      <c r="E690" t="inlineStr">
        <is>
          <t>STRÖMSUND</t>
        </is>
      </c>
      <c r="G690" t="n">
        <v>29.6</v>
      </c>
      <c r="H690" t="n">
        <v>1</v>
      </c>
      <c r="I690" t="n">
        <v>1</v>
      </c>
      <c r="J690" t="n">
        <v>0</v>
      </c>
      <c r="K690" t="n">
        <v>0</v>
      </c>
      <c r="L690" t="n">
        <v>0</v>
      </c>
      <c r="M690" t="n">
        <v>0</v>
      </c>
      <c r="N690" t="n">
        <v>0</v>
      </c>
      <c r="O690" t="n">
        <v>0</v>
      </c>
      <c r="P690" t="n">
        <v>0</v>
      </c>
      <c r="Q690" t="n">
        <v>2</v>
      </c>
      <c r="R690" s="2" t="inlineStr">
        <is>
          <t>Kransrams
Blåsippa</t>
        </is>
      </c>
      <c r="S690">
        <f>HYPERLINK("https://klasma.github.io/Logging_STROMSUND/artfynd/A 66707-2020.xlsx")</f>
        <v/>
      </c>
      <c r="T690">
        <f>HYPERLINK("https://klasma.github.io/Logging_STROMSUND/kartor/A 66707-2020.png")</f>
        <v/>
      </c>
      <c r="V690">
        <f>HYPERLINK("https://klasma.github.io/Logging_STROMSUND/klagomål/A 66707-2020.docx")</f>
        <v/>
      </c>
      <c r="W690">
        <f>HYPERLINK("https://klasma.github.io/Logging_STROMSUND/klagomålsmail/A 66707-2020.docx")</f>
        <v/>
      </c>
      <c r="X690">
        <f>HYPERLINK("https://klasma.github.io/Logging_STROMSUND/tillsyn/A 66707-2020.docx")</f>
        <v/>
      </c>
      <c r="Y690">
        <f>HYPERLINK("https://klasma.github.io/Logging_STROMSUND/tillsynsmail/A 66707-2020.docx")</f>
        <v/>
      </c>
    </row>
    <row r="691" ht="15" customHeight="1">
      <c r="A691" t="inlineStr">
        <is>
          <t>A 68530-2020</t>
        </is>
      </c>
      <c r="B691" s="1" t="n">
        <v>44186</v>
      </c>
      <c r="C691" s="1" t="n">
        <v>45182</v>
      </c>
      <c r="D691" t="inlineStr">
        <is>
          <t>JÄMTLANDS LÄN</t>
        </is>
      </c>
      <c r="E691" t="inlineStr">
        <is>
          <t>STRÖMSUND</t>
        </is>
      </c>
      <c r="F691" t="inlineStr">
        <is>
          <t>Holmen skog AB</t>
        </is>
      </c>
      <c r="G691" t="n">
        <v>82.3</v>
      </c>
      <c r="H691" t="n">
        <v>0</v>
      </c>
      <c r="I691" t="n">
        <v>0</v>
      </c>
      <c r="J691" t="n">
        <v>1</v>
      </c>
      <c r="K691" t="n">
        <v>1</v>
      </c>
      <c r="L691" t="n">
        <v>0</v>
      </c>
      <c r="M691" t="n">
        <v>0</v>
      </c>
      <c r="N691" t="n">
        <v>0</v>
      </c>
      <c r="O691" t="n">
        <v>2</v>
      </c>
      <c r="P691" t="n">
        <v>1</v>
      </c>
      <c r="Q691" t="n">
        <v>2</v>
      </c>
      <c r="R691" s="2" t="inlineStr">
        <is>
          <t>Norsk näverlav
Gränsticka</t>
        </is>
      </c>
      <c r="S691">
        <f>HYPERLINK("https://klasma.github.io/Logging_STROMSUND/artfynd/A 68530-2020.xlsx")</f>
        <v/>
      </c>
      <c r="T691">
        <f>HYPERLINK("https://klasma.github.io/Logging_STROMSUND/kartor/A 68530-2020.png")</f>
        <v/>
      </c>
      <c r="V691">
        <f>HYPERLINK("https://klasma.github.io/Logging_STROMSUND/klagomål/A 68530-2020.docx")</f>
        <v/>
      </c>
      <c r="W691">
        <f>HYPERLINK("https://klasma.github.io/Logging_STROMSUND/klagomålsmail/A 68530-2020.docx")</f>
        <v/>
      </c>
      <c r="X691">
        <f>HYPERLINK("https://klasma.github.io/Logging_STROMSUND/tillsyn/A 68530-2020.docx")</f>
        <v/>
      </c>
      <c r="Y691">
        <f>HYPERLINK("https://klasma.github.io/Logging_STROMSUND/tillsynsmail/A 68530-2020.docx")</f>
        <v/>
      </c>
    </row>
    <row r="692" ht="15" customHeight="1">
      <c r="A692" t="inlineStr">
        <is>
          <t>A 68856-2020</t>
        </is>
      </c>
      <c r="B692" s="1" t="n">
        <v>44186</v>
      </c>
      <c r="C692" s="1" t="n">
        <v>45182</v>
      </c>
      <c r="D692" t="inlineStr">
        <is>
          <t>JÄMTLANDS LÄN</t>
        </is>
      </c>
      <c r="E692" t="inlineStr">
        <is>
          <t>HÄRJEDALEN</t>
        </is>
      </c>
      <c r="F692" t="inlineStr">
        <is>
          <t>Holmen skog AB</t>
        </is>
      </c>
      <c r="G692" t="n">
        <v>4.3</v>
      </c>
      <c r="H692" t="n">
        <v>1</v>
      </c>
      <c r="I692" t="n">
        <v>1</v>
      </c>
      <c r="J692" t="n">
        <v>0</v>
      </c>
      <c r="K692" t="n">
        <v>0</v>
      </c>
      <c r="L692" t="n">
        <v>0</v>
      </c>
      <c r="M692" t="n">
        <v>0</v>
      </c>
      <c r="N692" t="n">
        <v>0</v>
      </c>
      <c r="O692" t="n">
        <v>0</v>
      </c>
      <c r="P692" t="n">
        <v>0</v>
      </c>
      <c r="Q692" t="n">
        <v>2</v>
      </c>
      <c r="R692" s="2" t="inlineStr">
        <is>
          <t>Dvärgtufs
Nattviol</t>
        </is>
      </c>
      <c r="S692">
        <f>HYPERLINK("https://klasma.github.io/Logging_HARJEDALEN/artfynd/A 68856-2020.xlsx")</f>
        <v/>
      </c>
      <c r="T692">
        <f>HYPERLINK("https://klasma.github.io/Logging_HARJEDALEN/kartor/A 68856-2020.png")</f>
        <v/>
      </c>
      <c r="V692">
        <f>HYPERLINK("https://klasma.github.io/Logging_HARJEDALEN/klagomål/A 68856-2020.docx")</f>
        <v/>
      </c>
      <c r="W692">
        <f>HYPERLINK("https://klasma.github.io/Logging_HARJEDALEN/klagomålsmail/A 68856-2020.docx")</f>
        <v/>
      </c>
      <c r="X692">
        <f>HYPERLINK("https://klasma.github.io/Logging_HARJEDALEN/tillsyn/A 68856-2020.docx")</f>
        <v/>
      </c>
      <c r="Y692">
        <f>HYPERLINK("https://klasma.github.io/Logging_HARJEDALEN/tillsynsmail/A 68856-2020.docx")</f>
        <v/>
      </c>
    </row>
    <row r="693" ht="15" customHeight="1">
      <c r="A693" t="inlineStr">
        <is>
          <t>A 1698-2021</t>
        </is>
      </c>
      <c r="B693" s="1" t="n">
        <v>44209</v>
      </c>
      <c r="C693" s="1" t="n">
        <v>45182</v>
      </c>
      <c r="D693" t="inlineStr">
        <is>
          <t>JÄMTLANDS LÄN</t>
        </is>
      </c>
      <c r="E693" t="inlineStr">
        <is>
          <t>KROKOM</t>
        </is>
      </c>
      <c r="G693" t="n">
        <v>21</v>
      </c>
      <c r="H693" t="n">
        <v>2</v>
      </c>
      <c r="I693" t="n">
        <v>0</v>
      </c>
      <c r="J693" t="n">
        <v>2</v>
      </c>
      <c r="K693" t="n">
        <v>0</v>
      </c>
      <c r="L693" t="n">
        <v>0</v>
      </c>
      <c r="M693" t="n">
        <v>0</v>
      </c>
      <c r="N693" t="n">
        <v>0</v>
      </c>
      <c r="O693" t="n">
        <v>2</v>
      </c>
      <c r="P693" t="n">
        <v>0</v>
      </c>
      <c r="Q693" t="n">
        <v>2</v>
      </c>
      <c r="R693" s="2" t="inlineStr">
        <is>
          <t>Spillkråka
Tretåig hackspett</t>
        </is>
      </c>
      <c r="S693">
        <f>HYPERLINK("https://klasma.github.io/Logging_KROKOM/artfynd/A 1698-2021.xlsx")</f>
        <v/>
      </c>
      <c r="T693">
        <f>HYPERLINK("https://klasma.github.io/Logging_KROKOM/kartor/A 1698-2021.png")</f>
        <v/>
      </c>
      <c r="V693">
        <f>HYPERLINK("https://klasma.github.io/Logging_KROKOM/klagomål/A 1698-2021.docx")</f>
        <v/>
      </c>
      <c r="W693">
        <f>HYPERLINK("https://klasma.github.io/Logging_KROKOM/klagomålsmail/A 1698-2021.docx")</f>
        <v/>
      </c>
      <c r="X693">
        <f>HYPERLINK("https://klasma.github.io/Logging_KROKOM/tillsyn/A 1698-2021.docx")</f>
        <v/>
      </c>
      <c r="Y693">
        <f>HYPERLINK("https://klasma.github.io/Logging_KROKOM/tillsynsmail/A 1698-2021.docx")</f>
        <v/>
      </c>
    </row>
    <row r="694" ht="15" customHeight="1">
      <c r="A694" t="inlineStr">
        <is>
          <t>A 3699-2021</t>
        </is>
      </c>
      <c r="B694" s="1" t="n">
        <v>44221</v>
      </c>
      <c r="C694" s="1" t="n">
        <v>45182</v>
      </c>
      <c r="D694" t="inlineStr">
        <is>
          <t>JÄMTLANDS LÄN</t>
        </is>
      </c>
      <c r="E694" t="inlineStr">
        <is>
          <t>HÄRJEDALEN</t>
        </is>
      </c>
      <c r="G694" t="n">
        <v>10.1</v>
      </c>
      <c r="H694" t="n">
        <v>0</v>
      </c>
      <c r="I694" t="n">
        <v>0</v>
      </c>
      <c r="J694" t="n">
        <v>0</v>
      </c>
      <c r="K694" t="n">
        <v>2</v>
      </c>
      <c r="L694" t="n">
        <v>0</v>
      </c>
      <c r="M694" t="n">
        <v>0</v>
      </c>
      <c r="N694" t="n">
        <v>0</v>
      </c>
      <c r="O694" t="n">
        <v>2</v>
      </c>
      <c r="P694" t="n">
        <v>2</v>
      </c>
      <c r="Q694" t="n">
        <v>2</v>
      </c>
      <c r="R694" s="2" t="inlineStr">
        <is>
          <t>Fläckporing
Gräddporing</t>
        </is>
      </c>
      <c r="S694">
        <f>HYPERLINK("https://klasma.github.io/Logging_HARJEDALEN/artfynd/A 3699-2021.xlsx")</f>
        <v/>
      </c>
      <c r="T694">
        <f>HYPERLINK("https://klasma.github.io/Logging_HARJEDALEN/kartor/A 3699-2021.png")</f>
        <v/>
      </c>
      <c r="V694">
        <f>HYPERLINK("https://klasma.github.io/Logging_HARJEDALEN/klagomål/A 3699-2021.docx")</f>
        <v/>
      </c>
      <c r="W694">
        <f>HYPERLINK("https://klasma.github.io/Logging_HARJEDALEN/klagomålsmail/A 3699-2021.docx")</f>
        <v/>
      </c>
      <c r="X694">
        <f>HYPERLINK("https://klasma.github.io/Logging_HARJEDALEN/tillsyn/A 3699-2021.docx")</f>
        <v/>
      </c>
      <c r="Y694">
        <f>HYPERLINK("https://klasma.github.io/Logging_HARJEDALEN/tillsynsmail/A 3699-2021.docx")</f>
        <v/>
      </c>
    </row>
    <row r="695" ht="15" customHeight="1">
      <c r="A695" t="inlineStr">
        <is>
          <t>A 5388-2021</t>
        </is>
      </c>
      <c r="B695" s="1" t="n">
        <v>44229</v>
      </c>
      <c r="C695" s="1" t="n">
        <v>45182</v>
      </c>
      <c r="D695" t="inlineStr">
        <is>
          <t>JÄMTLANDS LÄN</t>
        </is>
      </c>
      <c r="E695" t="inlineStr">
        <is>
          <t>ÅRE</t>
        </is>
      </c>
      <c r="G695" t="n">
        <v>6.9</v>
      </c>
      <c r="H695" t="n">
        <v>1</v>
      </c>
      <c r="I695" t="n">
        <v>0</v>
      </c>
      <c r="J695" t="n">
        <v>2</v>
      </c>
      <c r="K695" t="n">
        <v>0</v>
      </c>
      <c r="L695" t="n">
        <v>0</v>
      </c>
      <c r="M695" t="n">
        <v>0</v>
      </c>
      <c r="N695" t="n">
        <v>0</v>
      </c>
      <c r="O695" t="n">
        <v>2</v>
      </c>
      <c r="P695" t="n">
        <v>0</v>
      </c>
      <c r="Q695" t="n">
        <v>2</v>
      </c>
      <c r="R695" s="2" t="inlineStr">
        <is>
          <t>Tretåig hackspett
Ullticka</t>
        </is>
      </c>
      <c r="S695">
        <f>HYPERLINK("https://klasma.github.io/Logging_ARE/artfynd/A 5388-2021.xlsx")</f>
        <v/>
      </c>
      <c r="T695">
        <f>HYPERLINK("https://klasma.github.io/Logging_ARE/kartor/A 5388-2021.png")</f>
        <v/>
      </c>
      <c r="V695">
        <f>HYPERLINK("https://klasma.github.io/Logging_ARE/klagomål/A 5388-2021.docx")</f>
        <v/>
      </c>
      <c r="W695">
        <f>HYPERLINK("https://klasma.github.io/Logging_ARE/klagomålsmail/A 5388-2021.docx")</f>
        <v/>
      </c>
      <c r="X695">
        <f>HYPERLINK("https://klasma.github.io/Logging_ARE/tillsyn/A 5388-2021.docx")</f>
        <v/>
      </c>
      <c r="Y695">
        <f>HYPERLINK("https://klasma.github.io/Logging_ARE/tillsynsmail/A 5388-2021.docx")</f>
        <v/>
      </c>
    </row>
    <row r="696" ht="15" customHeight="1">
      <c r="A696" t="inlineStr">
        <is>
          <t>A 14588-2021</t>
        </is>
      </c>
      <c r="B696" s="1" t="n">
        <v>44279</v>
      </c>
      <c r="C696" s="1" t="n">
        <v>45182</v>
      </c>
      <c r="D696" t="inlineStr">
        <is>
          <t>JÄMTLANDS LÄN</t>
        </is>
      </c>
      <c r="E696" t="inlineStr">
        <is>
          <t>BERG</t>
        </is>
      </c>
      <c r="G696" t="n">
        <v>6.3</v>
      </c>
      <c r="H696" t="n">
        <v>0</v>
      </c>
      <c r="I696" t="n">
        <v>0</v>
      </c>
      <c r="J696" t="n">
        <v>2</v>
      </c>
      <c r="K696" t="n">
        <v>0</v>
      </c>
      <c r="L696" t="n">
        <v>0</v>
      </c>
      <c r="M696" t="n">
        <v>0</v>
      </c>
      <c r="N696" t="n">
        <v>0</v>
      </c>
      <c r="O696" t="n">
        <v>2</v>
      </c>
      <c r="P696" t="n">
        <v>0</v>
      </c>
      <c r="Q696" t="n">
        <v>2</v>
      </c>
      <c r="R696" s="2" t="inlineStr">
        <is>
          <t>Garnlav
Harticka</t>
        </is>
      </c>
      <c r="S696">
        <f>HYPERLINK("https://klasma.github.io/Logging_BERG/artfynd/A 14588-2021.xlsx")</f>
        <v/>
      </c>
      <c r="T696">
        <f>HYPERLINK("https://klasma.github.io/Logging_BERG/kartor/A 14588-2021.png")</f>
        <v/>
      </c>
      <c r="V696">
        <f>HYPERLINK("https://klasma.github.io/Logging_BERG/klagomål/A 14588-2021.docx")</f>
        <v/>
      </c>
      <c r="W696">
        <f>HYPERLINK("https://klasma.github.io/Logging_BERG/klagomålsmail/A 14588-2021.docx")</f>
        <v/>
      </c>
      <c r="X696">
        <f>HYPERLINK("https://klasma.github.io/Logging_BERG/tillsyn/A 14588-2021.docx")</f>
        <v/>
      </c>
      <c r="Y696">
        <f>HYPERLINK("https://klasma.github.io/Logging_BERG/tillsynsmail/A 14588-2021.docx")</f>
        <v/>
      </c>
    </row>
    <row r="697" ht="15" customHeight="1">
      <c r="A697" t="inlineStr">
        <is>
          <t>A 14589-2021</t>
        </is>
      </c>
      <c r="B697" s="1" t="n">
        <v>44279</v>
      </c>
      <c r="C697" s="1" t="n">
        <v>45182</v>
      </c>
      <c r="D697" t="inlineStr">
        <is>
          <t>JÄMTLANDS LÄN</t>
        </is>
      </c>
      <c r="E697" t="inlineStr">
        <is>
          <t>KROKOM</t>
        </is>
      </c>
      <c r="G697" t="n">
        <v>8.800000000000001</v>
      </c>
      <c r="H697" t="n">
        <v>2</v>
      </c>
      <c r="I697" t="n">
        <v>0</v>
      </c>
      <c r="J697" t="n">
        <v>1</v>
      </c>
      <c r="K697" t="n">
        <v>0</v>
      </c>
      <c r="L697" t="n">
        <v>0</v>
      </c>
      <c r="M697" t="n">
        <v>0</v>
      </c>
      <c r="N697" t="n">
        <v>0</v>
      </c>
      <c r="O697" t="n">
        <v>1</v>
      </c>
      <c r="P697" t="n">
        <v>0</v>
      </c>
      <c r="Q697" t="n">
        <v>2</v>
      </c>
      <c r="R697" s="2" t="inlineStr">
        <is>
          <t>Utter
Fläcknycklar</t>
        </is>
      </c>
      <c r="S697">
        <f>HYPERLINK("https://klasma.github.io/Logging_KROKOM/artfynd/A 14589-2021.xlsx")</f>
        <v/>
      </c>
      <c r="T697">
        <f>HYPERLINK("https://klasma.github.io/Logging_KROKOM/kartor/A 14589-2021.png")</f>
        <v/>
      </c>
      <c r="V697">
        <f>HYPERLINK("https://klasma.github.io/Logging_KROKOM/klagomål/A 14589-2021.docx")</f>
        <v/>
      </c>
      <c r="W697">
        <f>HYPERLINK("https://klasma.github.io/Logging_KROKOM/klagomålsmail/A 14589-2021.docx")</f>
        <v/>
      </c>
      <c r="X697">
        <f>HYPERLINK("https://klasma.github.io/Logging_KROKOM/tillsyn/A 14589-2021.docx")</f>
        <v/>
      </c>
      <c r="Y697">
        <f>HYPERLINK("https://klasma.github.io/Logging_KROKOM/tillsynsmail/A 14589-2021.docx")</f>
        <v/>
      </c>
    </row>
    <row r="698" ht="15" customHeight="1">
      <c r="A698" t="inlineStr">
        <is>
          <t>A 15679-2021</t>
        </is>
      </c>
      <c r="B698" s="1" t="n">
        <v>44286</v>
      </c>
      <c r="C698" s="1" t="n">
        <v>45182</v>
      </c>
      <c r="D698" t="inlineStr">
        <is>
          <t>JÄMTLANDS LÄN</t>
        </is>
      </c>
      <c r="E698" t="inlineStr">
        <is>
          <t>HÄRJEDALEN</t>
        </is>
      </c>
      <c r="G698" t="n">
        <v>20.9</v>
      </c>
      <c r="H698" t="n">
        <v>0</v>
      </c>
      <c r="I698" t="n">
        <v>0</v>
      </c>
      <c r="J698" t="n">
        <v>2</v>
      </c>
      <c r="K698" t="n">
        <v>0</v>
      </c>
      <c r="L698" t="n">
        <v>0</v>
      </c>
      <c r="M698" t="n">
        <v>0</v>
      </c>
      <c r="N698" t="n">
        <v>0</v>
      </c>
      <c r="O698" t="n">
        <v>2</v>
      </c>
      <c r="P698" t="n">
        <v>0</v>
      </c>
      <c r="Q698" t="n">
        <v>2</v>
      </c>
      <c r="R698" s="2" t="inlineStr">
        <is>
          <t>Gränsticka
Hornvaxskinn</t>
        </is>
      </c>
      <c r="S698">
        <f>HYPERLINK("https://klasma.github.io/Logging_HARJEDALEN/artfynd/A 15679-2021.xlsx")</f>
        <v/>
      </c>
      <c r="T698">
        <f>HYPERLINK("https://klasma.github.io/Logging_HARJEDALEN/kartor/A 15679-2021.png")</f>
        <v/>
      </c>
      <c r="V698">
        <f>HYPERLINK("https://klasma.github.io/Logging_HARJEDALEN/klagomål/A 15679-2021.docx")</f>
        <v/>
      </c>
      <c r="W698">
        <f>HYPERLINK("https://klasma.github.io/Logging_HARJEDALEN/klagomålsmail/A 15679-2021.docx")</f>
        <v/>
      </c>
      <c r="X698">
        <f>HYPERLINK("https://klasma.github.io/Logging_HARJEDALEN/tillsyn/A 15679-2021.docx")</f>
        <v/>
      </c>
      <c r="Y698">
        <f>HYPERLINK("https://klasma.github.io/Logging_HARJEDALEN/tillsynsmail/A 15679-2021.docx")</f>
        <v/>
      </c>
    </row>
    <row r="699" ht="15" customHeight="1">
      <c r="A699" t="inlineStr">
        <is>
          <t>A 20981-2021</t>
        </is>
      </c>
      <c r="B699" s="1" t="n">
        <v>44316</v>
      </c>
      <c r="C699" s="1" t="n">
        <v>45182</v>
      </c>
      <c r="D699" t="inlineStr">
        <is>
          <t>JÄMTLANDS LÄN</t>
        </is>
      </c>
      <c r="E699" t="inlineStr">
        <is>
          <t>KROKOM</t>
        </is>
      </c>
      <c r="G699" t="n">
        <v>27.4</v>
      </c>
      <c r="H699" t="n">
        <v>0</v>
      </c>
      <c r="I699" t="n">
        <v>1</v>
      </c>
      <c r="J699" t="n">
        <v>1</v>
      </c>
      <c r="K699" t="n">
        <v>0</v>
      </c>
      <c r="L699" t="n">
        <v>0</v>
      </c>
      <c r="M699" t="n">
        <v>0</v>
      </c>
      <c r="N699" t="n">
        <v>0</v>
      </c>
      <c r="O699" t="n">
        <v>1</v>
      </c>
      <c r="P699" t="n">
        <v>0</v>
      </c>
      <c r="Q699" t="n">
        <v>2</v>
      </c>
      <c r="R699" s="2" t="inlineStr">
        <is>
          <t>Harticka
Trådticka</t>
        </is>
      </c>
      <c r="S699">
        <f>HYPERLINK("https://klasma.github.io/Logging_KROKOM/artfynd/A 20981-2021.xlsx")</f>
        <v/>
      </c>
      <c r="T699">
        <f>HYPERLINK("https://klasma.github.io/Logging_KROKOM/kartor/A 20981-2021.png")</f>
        <v/>
      </c>
      <c r="V699">
        <f>HYPERLINK("https://klasma.github.io/Logging_KROKOM/klagomål/A 20981-2021.docx")</f>
        <v/>
      </c>
      <c r="W699">
        <f>HYPERLINK("https://klasma.github.io/Logging_KROKOM/klagomålsmail/A 20981-2021.docx")</f>
        <v/>
      </c>
      <c r="X699">
        <f>HYPERLINK("https://klasma.github.io/Logging_KROKOM/tillsyn/A 20981-2021.docx")</f>
        <v/>
      </c>
      <c r="Y699">
        <f>HYPERLINK("https://klasma.github.io/Logging_KROKOM/tillsynsmail/A 20981-2021.docx")</f>
        <v/>
      </c>
    </row>
    <row r="700" ht="15" customHeight="1">
      <c r="A700" t="inlineStr">
        <is>
          <t>A 22526-2021</t>
        </is>
      </c>
      <c r="B700" s="1" t="n">
        <v>44326</v>
      </c>
      <c r="C700" s="1" t="n">
        <v>45182</v>
      </c>
      <c r="D700" t="inlineStr">
        <is>
          <t>JÄMTLANDS LÄN</t>
        </is>
      </c>
      <c r="E700" t="inlineStr">
        <is>
          <t>STRÖMSUND</t>
        </is>
      </c>
      <c r="F700" t="inlineStr">
        <is>
          <t>SCA</t>
        </is>
      </c>
      <c r="G700" t="n">
        <v>2.8</v>
      </c>
      <c r="H700" t="n">
        <v>0</v>
      </c>
      <c r="I700" t="n">
        <v>1</v>
      </c>
      <c r="J700" t="n">
        <v>1</v>
      </c>
      <c r="K700" t="n">
        <v>0</v>
      </c>
      <c r="L700" t="n">
        <v>0</v>
      </c>
      <c r="M700" t="n">
        <v>0</v>
      </c>
      <c r="N700" t="n">
        <v>0</v>
      </c>
      <c r="O700" t="n">
        <v>1</v>
      </c>
      <c r="P700" t="n">
        <v>0</v>
      </c>
      <c r="Q700" t="n">
        <v>2</v>
      </c>
      <c r="R700" s="2" t="inlineStr">
        <is>
          <t>Lunglav
Stuplav</t>
        </is>
      </c>
      <c r="S700">
        <f>HYPERLINK("https://klasma.github.io/Logging_STROMSUND/artfynd/A 22526-2021.xlsx")</f>
        <v/>
      </c>
      <c r="T700">
        <f>HYPERLINK("https://klasma.github.io/Logging_STROMSUND/kartor/A 22526-2021.png")</f>
        <v/>
      </c>
      <c r="V700">
        <f>HYPERLINK("https://klasma.github.io/Logging_STROMSUND/klagomål/A 22526-2021.docx")</f>
        <v/>
      </c>
      <c r="W700">
        <f>HYPERLINK("https://klasma.github.io/Logging_STROMSUND/klagomålsmail/A 22526-2021.docx")</f>
        <v/>
      </c>
      <c r="X700">
        <f>HYPERLINK("https://klasma.github.io/Logging_STROMSUND/tillsyn/A 22526-2021.docx")</f>
        <v/>
      </c>
      <c r="Y700">
        <f>HYPERLINK("https://klasma.github.io/Logging_STROMSUND/tillsynsmail/A 22526-2021.docx")</f>
        <v/>
      </c>
    </row>
    <row r="701" ht="15" customHeight="1">
      <c r="A701" t="inlineStr">
        <is>
          <t>A 23566-2021</t>
        </is>
      </c>
      <c r="B701" s="1" t="n">
        <v>44334</v>
      </c>
      <c r="C701" s="1" t="n">
        <v>45182</v>
      </c>
      <c r="D701" t="inlineStr">
        <is>
          <t>JÄMTLANDS LÄN</t>
        </is>
      </c>
      <c r="E701" t="inlineStr">
        <is>
          <t>ÅRE</t>
        </is>
      </c>
      <c r="G701" t="n">
        <v>20</v>
      </c>
      <c r="H701" t="n">
        <v>1</v>
      </c>
      <c r="I701" t="n">
        <v>1</v>
      </c>
      <c r="J701" t="n">
        <v>1</v>
      </c>
      <c r="K701" t="n">
        <v>0</v>
      </c>
      <c r="L701" t="n">
        <v>0</v>
      </c>
      <c r="M701" t="n">
        <v>0</v>
      </c>
      <c r="N701" t="n">
        <v>0</v>
      </c>
      <c r="O701" t="n">
        <v>1</v>
      </c>
      <c r="P701" t="n">
        <v>0</v>
      </c>
      <c r="Q701" t="n">
        <v>2</v>
      </c>
      <c r="R701" s="2" t="inlineStr">
        <is>
          <t>Skrovellav
Spindelblomster</t>
        </is>
      </c>
      <c r="S701">
        <f>HYPERLINK("https://klasma.github.io/Logging_ARE/artfynd/A 23566-2021.xlsx")</f>
        <v/>
      </c>
      <c r="T701">
        <f>HYPERLINK("https://klasma.github.io/Logging_ARE/kartor/A 23566-2021.png")</f>
        <v/>
      </c>
      <c r="V701">
        <f>HYPERLINK("https://klasma.github.io/Logging_ARE/klagomål/A 23566-2021.docx")</f>
        <v/>
      </c>
      <c r="W701">
        <f>HYPERLINK("https://klasma.github.io/Logging_ARE/klagomålsmail/A 23566-2021.docx")</f>
        <v/>
      </c>
      <c r="X701">
        <f>HYPERLINK("https://klasma.github.io/Logging_ARE/tillsyn/A 23566-2021.docx")</f>
        <v/>
      </c>
      <c r="Y701">
        <f>HYPERLINK("https://klasma.github.io/Logging_ARE/tillsynsmail/A 23566-2021.docx")</f>
        <v/>
      </c>
    </row>
    <row r="702" ht="15" customHeight="1">
      <c r="A702" t="inlineStr">
        <is>
          <t>A 25696-2021</t>
        </is>
      </c>
      <c r="B702" s="1" t="n">
        <v>44343</v>
      </c>
      <c r="C702" s="1" t="n">
        <v>45182</v>
      </c>
      <c r="D702" t="inlineStr">
        <is>
          <t>JÄMTLANDS LÄN</t>
        </is>
      </c>
      <c r="E702" t="inlineStr">
        <is>
          <t>BRÄCKE</t>
        </is>
      </c>
      <c r="G702" t="n">
        <v>13.4</v>
      </c>
      <c r="H702" t="n">
        <v>0</v>
      </c>
      <c r="I702" t="n">
        <v>0</v>
      </c>
      <c r="J702" t="n">
        <v>2</v>
      </c>
      <c r="K702" t="n">
        <v>0</v>
      </c>
      <c r="L702" t="n">
        <v>0</v>
      </c>
      <c r="M702" t="n">
        <v>0</v>
      </c>
      <c r="N702" t="n">
        <v>0</v>
      </c>
      <c r="O702" t="n">
        <v>2</v>
      </c>
      <c r="P702" t="n">
        <v>0</v>
      </c>
      <c r="Q702" t="n">
        <v>2</v>
      </c>
      <c r="R702" s="2" t="inlineStr">
        <is>
          <t>Rosenticka
Ullticka</t>
        </is>
      </c>
      <c r="S702">
        <f>HYPERLINK("https://klasma.github.io/Logging_BRACKE/artfynd/A 25696-2021.xlsx")</f>
        <v/>
      </c>
      <c r="T702">
        <f>HYPERLINK("https://klasma.github.io/Logging_BRACKE/kartor/A 25696-2021.png")</f>
        <v/>
      </c>
      <c r="V702">
        <f>HYPERLINK("https://klasma.github.io/Logging_BRACKE/klagomål/A 25696-2021.docx")</f>
        <v/>
      </c>
      <c r="W702">
        <f>HYPERLINK("https://klasma.github.io/Logging_BRACKE/klagomålsmail/A 25696-2021.docx")</f>
        <v/>
      </c>
      <c r="X702">
        <f>HYPERLINK("https://klasma.github.io/Logging_BRACKE/tillsyn/A 25696-2021.docx")</f>
        <v/>
      </c>
      <c r="Y702">
        <f>HYPERLINK("https://klasma.github.io/Logging_BRACKE/tillsynsmail/A 25696-2021.docx")</f>
        <v/>
      </c>
    </row>
    <row r="703" ht="15" customHeight="1">
      <c r="A703" t="inlineStr">
        <is>
          <t>A 26152-2021</t>
        </is>
      </c>
      <c r="B703" s="1" t="n">
        <v>44346</v>
      </c>
      <c r="C703" s="1" t="n">
        <v>45182</v>
      </c>
      <c r="D703" t="inlineStr">
        <is>
          <t>JÄMTLANDS LÄN</t>
        </is>
      </c>
      <c r="E703" t="inlineStr">
        <is>
          <t>STRÖMSUND</t>
        </is>
      </c>
      <c r="F703" t="inlineStr">
        <is>
          <t>SCA</t>
        </is>
      </c>
      <c r="G703" t="n">
        <v>3</v>
      </c>
      <c r="H703" t="n">
        <v>0</v>
      </c>
      <c r="I703" t="n">
        <v>2</v>
      </c>
      <c r="J703" t="n">
        <v>0</v>
      </c>
      <c r="K703" t="n">
        <v>0</v>
      </c>
      <c r="L703" t="n">
        <v>0</v>
      </c>
      <c r="M703" t="n">
        <v>0</v>
      </c>
      <c r="N703" t="n">
        <v>0</v>
      </c>
      <c r="O703" t="n">
        <v>0</v>
      </c>
      <c r="P703" t="n">
        <v>0</v>
      </c>
      <c r="Q703" t="n">
        <v>2</v>
      </c>
      <c r="R703" s="2" t="inlineStr">
        <is>
          <t>Skinnlav
Stor aspticka</t>
        </is>
      </c>
      <c r="S703">
        <f>HYPERLINK("https://klasma.github.io/Logging_STROMSUND/artfynd/A 26152-2021.xlsx")</f>
        <v/>
      </c>
      <c r="T703">
        <f>HYPERLINK("https://klasma.github.io/Logging_STROMSUND/kartor/A 26152-2021.png")</f>
        <v/>
      </c>
      <c r="V703">
        <f>HYPERLINK("https://klasma.github.io/Logging_STROMSUND/klagomål/A 26152-2021.docx")</f>
        <v/>
      </c>
      <c r="W703">
        <f>HYPERLINK("https://klasma.github.io/Logging_STROMSUND/klagomålsmail/A 26152-2021.docx")</f>
        <v/>
      </c>
      <c r="X703">
        <f>HYPERLINK("https://klasma.github.io/Logging_STROMSUND/tillsyn/A 26152-2021.docx")</f>
        <v/>
      </c>
      <c r="Y703">
        <f>HYPERLINK("https://klasma.github.io/Logging_STROMSUND/tillsynsmail/A 26152-2021.docx")</f>
        <v/>
      </c>
    </row>
    <row r="704" ht="15" customHeight="1">
      <c r="A704" t="inlineStr">
        <is>
          <t>A 28151-2021</t>
        </is>
      </c>
      <c r="B704" s="1" t="n">
        <v>44355</v>
      </c>
      <c r="C704" s="1" t="n">
        <v>45182</v>
      </c>
      <c r="D704" t="inlineStr">
        <is>
          <t>JÄMTLANDS LÄN</t>
        </is>
      </c>
      <c r="E704" t="inlineStr">
        <is>
          <t>KROKOM</t>
        </is>
      </c>
      <c r="G704" t="n">
        <v>19.6</v>
      </c>
      <c r="H704" t="n">
        <v>0</v>
      </c>
      <c r="I704" t="n">
        <v>0</v>
      </c>
      <c r="J704" t="n">
        <v>2</v>
      </c>
      <c r="K704" t="n">
        <v>0</v>
      </c>
      <c r="L704" t="n">
        <v>0</v>
      </c>
      <c r="M704" t="n">
        <v>0</v>
      </c>
      <c r="N704" t="n">
        <v>0</v>
      </c>
      <c r="O704" t="n">
        <v>2</v>
      </c>
      <c r="P704" t="n">
        <v>0</v>
      </c>
      <c r="Q704" t="n">
        <v>2</v>
      </c>
      <c r="R704" s="2" t="inlineStr">
        <is>
          <t>Granticka
Lunglav</t>
        </is>
      </c>
      <c r="S704">
        <f>HYPERLINK("https://klasma.github.io/Logging_KROKOM/artfynd/A 28151-2021.xlsx")</f>
        <v/>
      </c>
      <c r="T704">
        <f>HYPERLINK("https://klasma.github.io/Logging_KROKOM/kartor/A 28151-2021.png")</f>
        <v/>
      </c>
      <c r="V704">
        <f>HYPERLINK("https://klasma.github.io/Logging_KROKOM/klagomål/A 28151-2021.docx")</f>
        <v/>
      </c>
      <c r="W704">
        <f>HYPERLINK("https://klasma.github.io/Logging_KROKOM/klagomålsmail/A 28151-2021.docx")</f>
        <v/>
      </c>
      <c r="X704">
        <f>HYPERLINK("https://klasma.github.io/Logging_KROKOM/tillsyn/A 28151-2021.docx")</f>
        <v/>
      </c>
      <c r="Y704">
        <f>HYPERLINK("https://klasma.github.io/Logging_KROKOM/tillsynsmail/A 28151-2021.docx")</f>
        <v/>
      </c>
    </row>
    <row r="705" ht="15" customHeight="1">
      <c r="A705" t="inlineStr">
        <is>
          <t>A 28601-2021</t>
        </is>
      </c>
      <c r="B705" s="1" t="n">
        <v>44356</v>
      </c>
      <c r="C705" s="1" t="n">
        <v>45182</v>
      </c>
      <c r="D705" t="inlineStr">
        <is>
          <t>JÄMTLANDS LÄN</t>
        </is>
      </c>
      <c r="E705" t="inlineStr">
        <is>
          <t>BRÄCKE</t>
        </is>
      </c>
      <c r="F705" t="inlineStr">
        <is>
          <t>SCA</t>
        </is>
      </c>
      <c r="G705" t="n">
        <v>6.3</v>
      </c>
      <c r="H705" t="n">
        <v>1</v>
      </c>
      <c r="I705" t="n">
        <v>0</v>
      </c>
      <c r="J705" t="n">
        <v>2</v>
      </c>
      <c r="K705" t="n">
        <v>0</v>
      </c>
      <c r="L705" t="n">
        <v>0</v>
      </c>
      <c r="M705" t="n">
        <v>0</v>
      </c>
      <c r="N705" t="n">
        <v>0</v>
      </c>
      <c r="O705" t="n">
        <v>2</v>
      </c>
      <c r="P705" t="n">
        <v>0</v>
      </c>
      <c r="Q705" t="n">
        <v>2</v>
      </c>
      <c r="R705" s="2" t="inlineStr">
        <is>
          <t>Lunglav
Tretåig hackspett</t>
        </is>
      </c>
      <c r="S705">
        <f>HYPERLINK("https://klasma.github.io/Logging_BRACKE/artfynd/A 28601-2021.xlsx")</f>
        <v/>
      </c>
      <c r="T705">
        <f>HYPERLINK("https://klasma.github.io/Logging_BRACKE/kartor/A 28601-2021.png")</f>
        <v/>
      </c>
      <c r="V705">
        <f>HYPERLINK("https://klasma.github.io/Logging_BRACKE/klagomål/A 28601-2021.docx")</f>
        <v/>
      </c>
      <c r="W705">
        <f>HYPERLINK("https://klasma.github.io/Logging_BRACKE/klagomålsmail/A 28601-2021.docx")</f>
        <v/>
      </c>
      <c r="X705">
        <f>HYPERLINK("https://klasma.github.io/Logging_BRACKE/tillsyn/A 28601-2021.docx")</f>
        <v/>
      </c>
      <c r="Y705">
        <f>HYPERLINK("https://klasma.github.io/Logging_BRACKE/tillsynsmail/A 28601-2021.docx")</f>
        <v/>
      </c>
    </row>
    <row r="706" ht="15" customHeight="1">
      <c r="A706" t="inlineStr">
        <is>
          <t>A 29583-2021</t>
        </is>
      </c>
      <c r="B706" s="1" t="n">
        <v>44361</v>
      </c>
      <c r="C706" s="1" t="n">
        <v>45182</v>
      </c>
      <c r="D706" t="inlineStr">
        <is>
          <t>JÄMTLANDS LÄN</t>
        </is>
      </c>
      <c r="E706" t="inlineStr">
        <is>
          <t>ÖSTERSUND</t>
        </is>
      </c>
      <c r="G706" t="n">
        <v>11.7</v>
      </c>
      <c r="H706" t="n">
        <v>1</v>
      </c>
      <c r="I706" t="n">
        <v>1</v>
      </c>
      <c r="J706" t="n">
        <v>0</v>
      </c>
      <c r="K706" t="n">
        <v>0</v>
      </c>
      <c r="L706" t="n">
        <v>0</v>
      </c>
      <c r="M706" t="n">
        <v>0</v>
      </c>
      <c r="N706" t="n">
        <v>0</v>
      </c>
      <c r="O706" t="n">
        <v>0</v>
      </c>
      <c r="P706" t="n">
        <v>0</v>
      </c>
      <c r="Q706" t="n">
        <v>2</v>
      </c>
      <c r="R706" s="2" t="inlineStr">
        <is>
          <t>Kransrams
Blåsippa</t>
        </is>
      </c>
      <c r="S706">
        <f>HYPERLINK("https://klasma.github.io/Logging_OSTERSUND/artfynd/A 29583-2021.xlsx")</f>
        <v/>
      </c>
      <c r="T706">
        <f>HYPERLINK("https://klasma.github.io/Logging_OSTERSUND/kartor/A 29583-2021.png")</f>
        <v/>
      </c>
      <c r="V706">
        <f>HYPERLINK("https://klasma.github.io/Logging_OSTERSUND/klagomål/A 29583-2021.docx")</f>
        <v/>
      </c>
      <c r="W706">
        <f>HYPERLINK("https://klasma.github.io/Logging_OSTERSUND/klagomålsmail/A 29583-2021.docx")</f>
        <v/>
      </c>
      <c r="X706">
        <f>HYPERLINK("https://klasma.github.io/Logging_OSTERSUND/tillsyn/A 29583-2021.docx")</f>
        <v/>
      </c>
      <c r="Y706">
        <f>HYPERLINK("https://klasma.github.io/Logging_OSTERSUND/tillsynsmail/A 29583-2021.docx")</f>
        <v/>
      </c>
    </row>
    <row r="707" ht="15" customHeight="1">
      <c r="A707" t="inlineStr">
        <is>
          <t>A 30105-2021</t>
        </is>
      </c>
      <c r="B707" s="1" t="n">
        <v>44363</v>
      </c>
      <c r="C707" s="1" t="n">
        <v>45182</v>
      </c>
      <c r="D707" t="inlineStr">
        <is>
          <t>JÄMTLANDS LÄN</t>
        </is>
      </c>
      <c r="E707" t="inlineStr">
        <is>
          <t>ÖSTERSUND</t>
        </is>
      </c>
      <c r="G707" t="n">
        <v>2</v>
      </c>
      <c r="H707" t="n">
        <v>0</v>
      </c>
      <c r="I707" t="n">
        <v>2</v>
      </c>
      <c r="J707" t="n">
        <v>0</v>
      </c>
      <c r="K707" t="n">
        <v>0</v>
      </c>
      <c r="L707" t="n">
        <v>0</v>
      </c>
      <c r="M707" t="n">
        <v>0</v>
      </c>
      <c r="N707" t="n">
        <v>0</v>
      </c>
      <c r="O707" t="n">
        <v>0</v>
      </c>
      <c r="P707" t="n">
        <v>0</v>
      </c>
      <c r="Q707" t="n">
        <v>2</v>
      </c>
      <c r="R707" s="2" t="inlineStr">
        <is>
          <t>Grönpyrola
Ögonpyrola</t>
        </is>
      </c>
      <c r="S707">
        <f>HYPERLINK("https://klasma.github.io/Logging_OSTERSUND/artfynd/A 30105-2021.xlsx")</f>
        <v/>
      </c>
      <c r="T707">
        <f>HYPERLINK("https://klasma.github.io/Logging_OSTERSUND/kartor/A 30105-2021.png")</f>
        <v/>
      </c>
      <c r="V707">
        <f>HYPERLINK("https://klasma.github.io/Logging_OSTERSUND/klagomål/A 30105-2021.docx")</f>
        <v/>
      </c>
      <c r="W707">
        <f>HYPERLINK("https://klasma.github.io/Logging_OSTERSUND/klagomålsmail/A 30105-2021.docx")</f>
        <v/>
      </c>
      <c r="X707">
        <f>HYPERLINK("https://klasma.github.io/Logging_OSTERSUND/tillsyn/A 30105-2021.docx")</f>
        <v/>
      </c>
      <c r="Y707">
        <f>HYPERLINK("https://klasma.github.io/Logging_OSTERSUND/tillsynsmail/A 30105-2021.docx")</f>
        <v/>
      </c>
    </row>
    <row r="708" ht="15" customHeight="1">
      <c r="A708" t="inlineStr">
        <is>
          <t>A 33421-2021</t>
        </is>
      </c>
      <c r="B708" s="1" t="n">
        <v>44377</v>
      </c>
      <c r="C708" s="1" t="n">
        <v>45182</v>
      </c>
      <c r="D708" t="inlineStr">
        <is>
          <t>JÄMTLANDS LÄN</t>
        </is>
      </c>
      <c r="E708" t="inlineStr">
        <is>
          <t>HÄRJEDALEN</t>
        </is>
      </c>
      <c r="G708" t="n">
        <v>47.1</v>
      </c>
      <c r="H708" t="n">
        <v>1</v>
      </c>
      <c r="I708" t="n">
        <v>0</v>
      </c>
      <c r="J708" t="n">
        <v>2</v>
      </c>
      <c r="K708" t="n">
        <v>0</v>
      </c>
      <c r="L708" t="n">
        <v>0</v>
      </c>
      <c r="M708" t="n">
        <v>0</v>
      </c>
      <c r="N708" t="n">
        <v>0</v>
      </c>
      <c r="O708" t="n">
        <v>2</v>
      </c>
      <c r="P708" t="n">
        <v>0</v>
      </c>
      <c r="Q708" t="n">
        <v>2</v>
      </c>
      <c r="R708" s="2" t="inlineStr">
        <is>
          <t>Gultoppig fingersvamp
Talltita</t>
        </is>
      </c>
      <c r="S708">
        <f>HYPERLINK("https://klasma.github.io/Logging_HARJEDALEN/artfynd/A 33421-2021.xlsx")</f>
        <v/>
      </c>
      <c r="T708">
        <f>HYPERLINK("https://klasma.github.io/Logging_HARJEDALEN/kartor/A 33421-2021.png")</f>
        <v/>
      </c>
      <c r="V708">
        <f>HYPERLINK("https://klasma.github.io/Logging_HARJEDALEN/klagomål/A 33421-2021.docx")</f>
        <v/>
      </c>
      <c r="W708">
        <f>HYPERLINK("https://klasma.github.io/Logging_HARJEDALEN/klagomålsmail/A 33421-2021.docx")</f>
        <v/>
      </c>
      <c r="X708">
        <f>HYPERLINK("https://klasma.github.io/Logging_HARJEDALEN/tillsyn/A 33421-2021.docx")</f>
        <v/>
      </c>
      <c r="Y708">
        <f>HYPERLINK("https://klasma.github.io/Logging_HARJEDALEN/tillsynsmail/A 33421-2021.docx")</f>
        <v/>
      </c>
    </row>
    <row r="709" ht="15" customHeight="1">
      <c r="A709" t="inlineStr">
        <is>
          <t>A 33544-2021</t>
        </is>
      </c>
      <c r="B709" s="1" t="n">
        <v>44377</v>
      </c>
      <c r="C709" s="1" t="n">
        <v>45182</v>
      </c>
      <c r="D709" t="inlineStr">
        <is>
          <t>JÄMTLANDS LÄN</t>
        </is>
      </c>
      <c r="E709" t="inlineStr">
        <is>
          <t>STRÖMSUND</t>
        </is>
      </c>
      <c r="G709" t="n">
        <v>5.8</v>
      </c>
      <c r="H709" t="n">
        <v>0</v>
      </c>
      <c r="I709" t="n">
        <v>1</v>
      </c>
      <c r="J709" t="n">
        <v>1</v>
      </c>
      <c r="K709" t="n">
        <v>0</v>
      </c>
      <c r="L709" t="n">
        <v>0</v>
      </c>
      <c r="M709" t="n">
        <v>0</v>
      </c>
      <c r="N709" t="n">
        <v>0</v>
      </c>
      <c r="O709" t="n">
        <v>1</v>
      </c>
      <c r="P709" t="n">
        <v>0</v>
      </c>
      <c r="Q709" t="n">
        <v>2</v>
      </c>
      <c r="R709" s="2" t="inlineStr">
        <is>
          <t>Lunglav
Dvärgtufs</t>
        </is>
      </c>
      <c r="S709">
        <f>HYPERLINK("https://klasma.github.io/Logging_STROMSUND/artfynd/A 33544-2021.xlsx")</f>
        <v/>
      </c>
      <c r="T709">
        <f>HYPERLINK("https://klasma.github.io/Logging_STROMSUND/kartor/A 33544-2021.png")</f>
        <v/>
      </c>
      <c r="V709">
        <f>HYPERLINK("https://klasma.github.io/Logging_STROMSUND/klagomål/A 33544-2021.docx")</f>
        <v/>
      </c>
      <c r="W709">
        <f>HYPERLINK("https://klasma.github.io/Logging_STROMSUND/klagomålsmail/A 33544-2021.docx")</f>
        <v/>
      </c>
      <c r="X709">
        <f>HYPERLINK("https://klasma.github.io/Logging_STROMSUND/tillsyn/A 33544-2021.docx")</f>
        <v/>
      </c>
      <c r="Y709">
        <f>HYPERLINK("https://klasma.github.io/Logging_STROMSUND/tillsynsmail/A 33544-2021.docx")</f>
        <v/>
      </c>
    </row>
    <row r="710" ht="15" customHeight="1">
      <c r="A710" t="inlineStr">
        <is>
          <t>A 33874-2021</t>
        </is>
      </c>
      <c r="B710" s="1" t="n">
        <v>44378</v>
      </c>
      <c r="C710" s="1" t="n">
        <v>45182</v>
      </c>
      <c r="D710" t="inlineStr">
        <is>
          <t>JÄMTLANDS LÄN</t>
        </is>
      </c>
      <c r="E710" t="inlineStr">
        <is>
          <t>KROKOM</t>
        </is>
      </c>
      <c r="G710" t="n">
        <v>5.9</v>
      </c>
      <c r="H710" t="n">
        <v>1</v>
      </c>
      <c r="I710" t="n">
        <v>2</v>
      </c>
      <c r="J710" t="n">
        <v>0</v>
      </c>
      <c r="K710" t="n">
        <v>0</v>
      </c>
      <c r="L710" t="n">
        <v>0</v>
      </c>
      <c r="M710" t="n">
        <v>0</v>
      </c>
      <c r="N710" t="n">
        <v>0</v>
      </c>
      <c r="O710" t="n">
        <v>0</v>
      </c>
      <c r="P710" t="n">
        <v>0</v>
      </c>
      <c r="Q710" t="n">
        <v>2</v>
      </c>
      <c r="R710" s="2" t="inlineStr">
        <is>
          <t>Kransrams
Tvåblad</t>
        </is>
      </c>
      <c r="S710">
        <f>HYPERLINK("https://klasma.github.io/Logging_KROKOM/artfynd/A 33874-2021.xlsx")</f>
        <v/>
      </c>
      <c r="T710">
        <f>HYPERLINK("https://klasma.github.io/Logging_KROKOM/kartor/A 33874-2021.png")</f>
        <v/>
      </c>
      <c r="V710">
        <f>HYPERLINK("https://klasma.github.io/Logging_KROKOM/klagomål/A 33874-2021.docx")</f>
        <v/>
      </c>
      <c r="W710">
        <f>HYPERLINK("https://klasma.github.io/Logging_KROKOM/klagomålsmail/A 33874-2021.docx")</f>
        <v/>
      </c>
      <c r="X710">
        <f>HYPERLINK("https://klasma.github.io/Logging_KROKOM/tillsyn/A 33874-2021.docx")</f>
        <v/>
      </c>
      <c r="Y710">
        <f>HYPERLINK("https://klasma.github.io/Logging_KROKOM/tillsynsmail/A 33874-2021.docx")</f>
        <v/>
      </c>
    </row>
    <row r="711" ht="15" customHeight="1">
      <c r="A711" t="inlineStr">
        <is>
          <t>A 36456-2021</t>
        </is>
      </c>
      <c r="B711" s="1" t="n">
        <v>44390</v>
      </c>
      <c r="C711" s="1" t="n">
        <v>45182</v>
      </c>
      <c r="D711" t="inlineStr">
        <is>
          <t>JÄMTLANDS LÄN</t>
        </is>
      </c>
      <c r="E711" t="inlineStr">
        <is>
          <t>BRÄCKE</t>
        </is>
      </c>
      <c r="F711" t="inlineStr">
        <is>
          <t>SCA</t>
        </is>
      </c>
      <c r="G711" t="n">
        <v>2.7</v>
      </c>
      <c r="H711" t="n">
        <v>0</v>
      </c>
      <c r="I711" t="n">
        <v>0</v>
      </c>
      <c r="J711" t="n">
        <v>2</v>
      </c>
      <c r="K711" t="n">
        <v>0</v>
      </c>
      <c r="L711" t="n">
        <v>0</v>
      </c>
      <c r="M711" t="n">
        <v>0</v>
      </c>
      <c r="N711" t="n">
        <v>0</v>
      </c>
      <c r="O711" t="n">
        <v>2</v>
      </c>
      <c r="P711" t="n">
        <v>0</v>
      </c>
      <c r="Q711" t="n">
        <v>2</v>
      </c>
      <c r="R711" s="2" t="inlineStr">
        <is>
          <t>Garnlav
Kolflarnlav</t>
        </is>
      </c>
      <c r="S711">
        <f>HYPERLINK("https://klasma.github.io/Logging_BRACKE/artfynd/A 36456-2021.xlsx")</f>
        <v/>
      </c>
      <c r="T711">
        <f>HYPERLINK("https://klasma.github.io/Logging_BRACKE/kartor/A 36456-2021.png")</f>
        <v/>
      </c>
      <c r="V711">
        <f>HYPERLINK("https://klasma.github.io/Logging_BRACKE/klagomål/A 36456-2021.docx")</f>
        <v/>
      </c>
      <c r="W711">
        <f>HYPERLINK("https://klasma.github.io/Logging_BRACKE/klagomålsmail/A 36456-2021.docx")</f>
        <v/>
      </c>
      <c r="X711">
        <f>HYPERLINK("https://klasma.github.io/Logging_BRACKE/tillsyn/A 36456-2021.docx")</f>
        <v/>
      </c>
      <c r="Y711">
        <f>HYPERLINK("https://klasma.github.io/Logging_BRACKE/tillsynsmail/A 36456-2021.docx")</f>
        <v/>
      </c>
    </row>
    <row r="712" ht="15" customHeight="1">
      <c r="A712" t="inlineStr">
        <is>
          <t>A 39172-2021</t>
        </is>
      </c>
      <c r="B712" s="1" t="n">
        <v>44412</v>
      </c>
      <c r="C712" s="1" t="n">
        <v>45182</v>
      </c>
      <c r="D712" t="inlineStr">
        <is>
          <t>JÄMTLANDS LÄN</t>
        </is>
      </c>
      <c r="E712" t="inlineStr">
        <is>
          <t>BRÄCKE</t>
        </is>
      </c>
      <c r="F712" t="inlineStr">
        <is>
          <t>SCA</t>
        </is>
      </c>
      <c r="G712" t="n">
        <v>9</v>
      </c>
      <c r="H712" t="n">
        <v>0</v>
      </c>
      <c r="I712" t="n">
        <v>1</v>
      </c>
      <c r="J712" t="n">
        <v>1</v>
      </c>
      <c r="K712" t="n">
        <v>0</v>
      </c>
      <c r="L712" t="n">
        <v>0</v>
      </c>
      <c r="M712" t="n">
        <v>0</v>
      </c>
      <c r="N712" t="n">
        <v>0</v>
      </c>
      <c r="O712" t="n">
        <v>1</v>
      </c>
      <c r="P712" t="n">
        <v>0</v>
      </c>
      <c r="Q712" t="n">
        <v>2</v>
      </c>
      <c r="R712" s="2" t="inlineStr">
        <is>
          <t>Lunglav
Bårdlav</t>
        </is>
      </c>
      <c r="S712">
        <f>HYPERLINK("https://klasma.github.io/Logging_BRACKE/artfynd/A 39172-2021.xlsx")</f>
        <v/>
      </c>
      <c r="T712">
        <f>HYPERLINK("https://klasma.github.io/Logging_BRACKE/kartor/A 39172-2021.png")</f>
        <v/>
      </c>
      <c r="V712">
        <f>HYPERLINK("https://klasma.github.io/Logging_BRACKE/klagomål/A 39172-2021.docx")</f>
        <v/>
      </c>
      <c r="W712">
        <f>HYPERLINK("https://klasma.github.io/Logging_BRACKE/klagomålsmail/A 39172-2021.docx")</f>
        <v/>
      </c>
      <c r="X712">
        <f>HYPERLINK("https://klasma.github.io/Logging_BRACKE/tillsyn/A 39172-2021.docx")</f>
        <v/>
      </c>
      <c r="Y712">
        <f>HYPERLINK("https://klasma.github.io/Logging_BRACKE/tillsynsmail/A 39172-2021.docx")</f>
        <v/>
      </c>
    </row>
    <row r="713" ht="15" customHeight="1">
      <c r="A713" t="inlineStr">
        <is>
          <t>A 42239-2021</t>
        </is>
      </c>
      <c r="B713" s="1" t="n">
        <v>44426</v>
      </c>
      <c r="C713" s="1" t="n">
        <v>45182</v>
      </c>
      <c r="D713" t="inlineStr">
        <is>
          <t>JÄMTLANDS LÄN</t>
        </is>
      </c>
      <c r="E713" t="inlineStr">
        <is>
          <t>STRÖMSUND</t>
        </is>
      </c>
      <c r="F713" t="inlineStr">
        <is>
          <t>SCA</t>
        </is>
      </c>
      <c r="G713" t="n">
        <v>9.300000000000001</v>
      </c>
      <c r="H713" t="n">
        <v>0</v>
      </c>
      <c r="I713" t="n">
        <v>0</v>
      </c>
      <c r="J713" t="n">
        <v>2</v>
      </c>
      <c r="K713" t="n">
        <v>0</v>
      </c>
      <c r="L713" t="n">
        <v>0</v>
      </c>
      <c r="M713" t="n">
        <v>0</v>
      </c>
      <c r="N713" t="n">
        <v>0</v>
      </c>
      <c r="O713" t="n">
        <v>2</v>
      </c>
      <c r="P713" t="n">
        <v>0</v>
      </c>
      <c r="Q713" t="n">
        <v>2</v>
      </c>
      <c r="R713" s="2" t="inlineStr">
        <is>
          <t>Lunglav
Ullticka</t>
        </is>
      </c>
      <c r="S713">
        <f>HYPERLINK("https://klasma.github.io/Logging_STROMSUND/artfynd/A 42239-2021.xlsx")</f>
        <v/>
      </c>
      <c r="T713">
        <f>HYPERLINK("https://klasma.github.io/Logging_STROMSUND/kartor/A 42239-2021.png")</f>
        <v/>
      </c>
      <c r="V713">
        <f>HYPERLINK("https://klasma.github.io/Logging_STROMSUND/klagomål/A 42239-2021.docx")</f>
        <v/>
      </c>
      <c r="W713">
        <f>HYPERLINK("https://klasma.github.io/Logging_STROMSUND/klagomålsmail/A 42239-2021.docx")</f>
        <v/>
      </c>
      <c r="X713">
        <f>HYPERLINK("https://klasma.github.io/Logging_STROMSUND/tillsyn/A 42239-2021.docx")</f>
        <v/>
      </c>
      <c r="Y713">
        <f>HYPERLINK("https://klasma.github.io/Logging_STROMSUND/tillsynsmail/A 42239-2021.docx")</f>
        <v/>
      </c>
    </row>
    <row r="714" ht="15" customHeight="1">
      <c r="A714" t="inlineStr">
        <is>
          <t>A 42826-2021</t>
        </is>
      </c>
      <c r="B714" s="1" t="n">
        <v>44430</v>
      </c>
      <c r="C714" s="1" t="n">
        <v>45182</v>
      </c>
      <c r="D714" t="inlineStr">
        <is>
          <t>JÄMTLANDS LÄN</t>
        </is>
      </c>
      <c r="E714" t="inlineStr">
        <is>
          <t>HÄRJEDALEN</t>
        </is>
      </c>
      <c r="F714" t="inlineStr">
        <is>
          <t>Sveaskog</t>
        </is>
      </c>
      <c r="G714" t="n">
        <v>8.1</v>
      </c>
      <c r="H714" t="n">
        <v>1</v>
      </c>
      <c r="I714" t="n">
        <v>0</v>
      </c>
      <c r="J714" t="n">
        <v>1</v>
      </c>
      <c r="K714" t="n">
        <v>1</v>
      </c>
      <c r="L714" t="n">
        <v>0</v>
      </c>
      <c r="M714" t="n">
        <v>0</v>
      </c>
      <c r="N714" t="n">
        <v>0</v>
      </c>
      <c r="O714" t="n">
        <v>2</v>
      </c>
      <c r="P714" t="n">
        <v>1</v>
      </c>
      <c r="Q714" t="n">
        <v>2</v>
      </c>
      <c r="R714" s="2" t="inlineStr">
        <is>
          <t>Knärot
Garnlav</t>
        </is>
      </c>
      <c r="S714">
        <f>HYPERLINK("https://klasma.github.io/Logging_HARJEDALEN/artfynd/A 42826-2021.xlsx")</f>
        <v/>
      </c>
      <c r="T714">
        <f>HYPERLINK("https://klasma.github.io/Logging_HARJEDALEN/kartor/A 42826-2021.png")</f>
        <v/>
      </c>
      <c r="U714">
        <f>HYPERLINK("https://klasma.github.io/Logging_HARJEDALEN/knärot/A 42826-2021.png")</f>
        <v/>
      </c>
      <c r="V714">
        <f>HYPERLINK("https://klasma.github.io/Logging_HARJEDALEN/klagomål/A 42826-2021.docx")</f>
        <v/>
      </c>
      <c r="W714">
        <f>HYPERLINK("https://klasma.github.io/Logging_HARJEDALEN/klagomålsmail/A 42826-2021.docx")</f>
        <v/>
      </c>
      <c r="X714">
        <f>HYPERLINK("https://klasma.github.io/Logging_HARJEDALEN/tillsyn/A 42826-2021.docx")</f>
        <v/>
      </c>
      <c r="Y714">
        <f>HYPERLINK("https://klasma.github.io/Logging_HARJEDALEN/tillsynsmail/A 42826-2021.docx")</f>
        <v/>
      </c>
    </row>
    <row r="715" ht="15" customHeight="1">
      <c r="A715" t="inlineStr">
        <is>
          <t>A 43845-2021</t>
        </is>
      </c>
      <c r="B715" s="1" t="n">
        <v>44433</v>
      </c>
      <c r="C715" s="1" t="n">
        <v>45182</v>
      </c>
      <c r="D715" t="inlineStr">
        <is>
          <t>JÄMTLANDS LÄN</t>
        </is>
      </c>
      <c r="E715" t="inlineStr">
        <is>
          <t>STRÖMSUND</t>
        </is>
      </c>
      <c r="F715" t="inlineStr">
        <is>
          <t>SCA</t>
        </is>
      </c>
      <c r="G715" t="n">
        <v>39.5</v>
      </c>
      <c r="H715" t="n">
        <v>0</v>
      </c>
      <c r="I715" t="n">
        <v>1</v>
      </c>
      <c r="J715" t="n">
        <v>1</v>
      </c>
      <c r="K715" t="n">
        <v>0</v>
      </c>
      <c r="L715" t="n">
        <v>0</v>
      </c>
      <c r="M715" t="n">
        <v>0</v>
      </c>
      <c r="N715" t="n">
        <v>0</v>
      </c>
      <c r="O715" t="n">
        <v>1</v>
      </c>
      <c r="P715" t="n">
        <v>0</v>
      </c>
      <c r="Q715" t="n">
        <v>2</v>
      </c>
      <c r="R715" s="2" t="inlineStr">
        <is>
          <t>Tallticka
Stor aspticka</t>
        </is>
      </c>
      <c r="S715">
        <f>HYPERLINK("https://klasma.github.io/Logging_STROMSUND/artfynd/A 43845-2021.xlsx")</f>
        <v/>
      </c>
      <c r="T715">
        <f>HYPERLINK("https://klasma.github.io/Logging_STROMSUND/kartor/A 43845-2021.png")</f>
        <v/>
      </c>
      <c r="V715">
        <f>HYPERLINK("https://klasma.github.io/Logging_STROMSUND/klagomål/A 43845-2021.docx")</f>
        <v/>
      </c>
      <c r="W715">
        <f>HYPERLINK("https://klasma.github.io/Logging_STROMSUND/klagomålsmail/A 43845-2021.docx")</f>
        <v/>
      </c>
      <c r="X715">
        <f>HYPERLINK("https://klasma.github.io/Logging_STROMSUND/tillsyn/A 43845-2021.docx")</f>
        <v/>
      </c>
      <c r="Y715">
        <f>HYPERLINK("https://klasma.github.io/Logging_STROMSUND/tillsynsmail/A 43845-2021.docx")</f>
        <v/>
      </c>
    </row>
    <row r="716" ht="15" customHeight="1">
      <c r="A716" t="inlineStr">
        <is>
          <t>A 44604-2021</t>
        </is>
      </c>
      <c r="B716" s="1" t="n">
        <v>44435</v>
      </c>
      <c r="C716" s="1" t="n">
        <v>45182</v>
      </c>
      <c r="D716" t="inlineStr">
        <is>
          <t>JÄMTLANDS LÄN</t>
        </is>
      </c>
      <c r="E716" t="inlineStr">
        <is>
          <t>STRÖMSUND</t>
        </is>
      </c>
      <c r="F716" t="inlineStr">
        <is>
          <t>SCA</t>
        </is>
      </c>
      <c r="G716" t="n">
        <v>2.8</v>
      </c>
      <c r="H716" t="n">
        <v>0</v>
      </c>
      <c r="I716" t="n">
        <v>0</v>
      </c>
      <c r="J716" t="n">
        <v>2</v>
      </c>
      <c r="K716" t="n">
        <v>0</v>
      </c>
      <c r="L716" t="n">
        <v>0</v>
      </c>
      <c r="M716" t="n">
        <v>0</v>
      </c>
      <c r="N716" t="n">
        <v>0</v>
      </c>
      <c r="O716" t="n">
        <v>2</v>
      </c>
      <c r="P716" t="n">
        <v>0</v>
      </c>
      <c r="Q716" t="n">
        <v>2</v>
      </c>
      <c r="R716" s="2" t="inlineStr">
        <is>
          <t>Brunpudrad nållav
Gammelgransskål</t>
        </is>
      </c>
      <c r="S716">
        <f>HYPERLINK("https://klasma.github.io/Logging_STROMSUND/artfynd/A 44604-2021.xlsx")</f>
        <v/>
      </c>
      <c r="T716">
        <f>HYPERLINK("https://klasma.github.io/Logging_STROMSUND/kartor/A 44604-2021.png")</f>
        <v/>
      </c>
      <c r="V716">
        <f>HYPERLINK("https://klasma.github.io/Logging_STROMSUND/klagomål/A 44604-2021.docx")</f>
        <v/>
      </c>
      <c r="W716">
        <f>HYPERLINK("https://klasma.github.io/Logging_STROMSUND/klagomålsmail/A 44604-2021.docx")</f>
        <v/>
      </c>
      <c r="X716">
        <f>HYPERLINK("https://klasma.github.io/Logging_STROMSUND/tillsyn/A 44604-2021.docx")</f>
        <v/>
      </c>
      <c r="Y716">
        <f>HYPERLINK("https://klasma.github.io/Logging_STROMSUND/tillsynsmail/A 44604-2021.docx")</f>
        <v/>
      </c>
    </row>
    <row r="717" ht="15" customHeight="1">
      <c r="A717" t="inlineStr">
        <is>
          <t>A 44773-2021</t>
        </is>
      </c>
      <c r="B717" s="1" t="n">
        <v>44438</v>
      </c>
      <c r="C717" s="1" t="n">
        <v>45182</v>
      </c>
      <c r="D717" t="inlineStr">
        <is>
          <t>JÄMTLANDS LÄN</t>
        </is>
      </c>
      <c r="E717" t="inlineStr">
        <is>
          <t>STRÖMSUND</t>
        </is>
      </c>
      <c r="G717" t="n">
        <v>12.3</v>
      </c>
      <c r="H717" t="n">
        <v>0</v>
      </c>
      <c r="I717" t="n">
        <v>0</v>
      </c>
      <c r="J717" t="n">
        <v>1</v>
      </c>
      <c r="K717" t="n">
        <v>1</v>
      </c>
      <c r="L717" t="n">
        <v>0</v>
      </c>
      <c r="M717" t="n">
        <v>0</v>
      </c>
      <c r="N717" t="n">
        <v>0</v>
      </c>
      <c r="O717" t="n">
        <v>2</v>
      </c>
      <c r="P717" t="n">
        <v>1</v>
      </c>
      <c r="Q717" t="n">
        <v>2</v>
      </c>
      <c r="R717" s="2" t="inlineStr">
        <is>
          <t>Allékantlav
Lunglav</t>
        </is>
      </c>
      <c r="S717">
        <f>HYPERLINK("https://klasma.github.io/Logging_STROMSUND/artfynd/A 44773-2021.xlsx")</f>
        <v/>
      </c>
      <c r="T717">
        <f>HYPERLINK("https://klasma.github.io/Logging_STROMSUND/kartor/A 44773-2021.png")</f>
        <v/>
      </c>
      <c r="V717">
        <f>HYPERLINK("https://klasma.github.io/Logging_STROMSUND/klagomål/A 44773-2021.docx")</f>
        <v/>
      </c>
      <c r="W717">
        <f>HYPERLINK("https://klasma.github.io/Logging_STROMSUND/klagomålsmail/A 44773-2021.docx")</f>
        <v/>
      </c>
      <c r="X717">
        <f>HYPERLINK("https://klasma.github.io/Logging_STROMSUND/tillsyn/A 44773-2021.docx")</f>
        <v/>
      </c>
      <c r="Y717">
        <f>HYPERLINK("https://klasma.github.io/Logging_STROMSUND/tillsynsmail/A 44773-2021.docx")</f>
        <v/>
      </c>
    </row>
    <row r="718" ht="15" customHeight="1">
      <c r="A718" t="inlineStr">
        <is>
          <t>A 45633-2021</t>
        </is>
      </c>
      <c r="B718" s="1" t="n">
        <v>44440</v>
      </c>
      <c r="C718" s="1" t="n">
        <v>45182</v>
      </c>
      <c r="D718" t="inlineStr">
        <is>
          <t>JÄMTLANDS LÄN</t>
        </is>
      </c>
      <c r="E718" t="inlineStr">
        <is>
          <t>STRÖMSUND</t>
        </is>
      </c>
      <c r="F718" t="inlineStr">
        <is>
          <t>SCA</t>
        </is>
      </c>
      <c r="G718" t="n">
        <v>2.1</v>
      </c>
      <c r="H718" t="n">
        <v>0</v>
      </c>
      <c r="I718" t="n">
        <v>1</v>
      </c>
      <c r="J718" t="n">
        <v>1</v>
      </c>
      <c r="K718" t="n">
        <v>0</v>
      </c>
      <c r="L718" t="n">
        <v>0</v>
      </c>
      <c r="M718" t="n">
        <v>0</v>
      </c>
      <c r="N718" t="n">
        <v>0</v>
      </c>
      <c r="O718" t="n">
        <v>1</v>
      </c>
      <c r="P718" t="n">
        <v>0</v>
      </c>
      <c r="Q718" t="n">
        <v>2</v>
      </c>
      <c r="R718" s="2" t="inlineStr">
        <is>
          <t>Garnlav
Källmossa</t>
        </is>
      </c>
      <c r="S718">
        <f>HYPERLINK("https://klasma.github.io/Logging_STROMSUND/artfynd/A 45633-2021.xlsx")</f>
        <v/>
      </c>
      <c r="T718">
        <f>HYPERLINK("https://klasma.github.io/Logging_STROMSUND/kartor/A 45633-2021.png")</f>
        <v/>
      </c>
      <c r="V718">
        <f>HYPERLINK("https://klasma.github.io/Logging_STROMSUND/klagomål/A 45633-2021.docx")</f>
        <v/>
      </c>
      <c r="W718">
        <f>HYPERLINK("https://klasma.github.io/Logging_STROMSUND/klagomålsmail/A 45633-2021.docx")</f>
        <v/>
      </c>
      <c r="X718">
        <f>HYPERLINK("https://klasma.github.io/Logging_STROMSUND/tillsyn/A 45633-2021.docx")</f>
        <v/>
      </c>
      <c r="Y718">
        <f>HYPERLINK("https://klasma.github.io/Logging_STROMSUND/tillsynsmail/A 45633-2021.docx")</f>
        <v/>
      </c>
    </row>
    <row r="719" ht="15" customHeight="1">
      <c r="A719" t="inlineStr">
        <is>
          <t>A 46105-2021</t>
        </is>
      </c>
      <c r="B719" s="1" t="n">
        <v>44441</v>
      </c>
      <c r="C719" s="1" t="n">
        <v>45182</v>
      </c>
      <c r="D719" t="inlineStr">
        <is>
          <t>JÄMTLANDS LÄN</t>
        </is>
      </c>
      <c r="E719" t="inlineStr">
        <is>
          <t>ÖSTERSUND</t>
        </is>
      </c>
      <c r="G719" t="n">
        <v>4.4</v>
      </c>
      <c r="H719" t="n">
        <v>2</v>
      </c>
      <c r="I719" t="n">
        <v>0</v>
      </c>
      <c r="J719" t="n">
        <v>1</v>
      </c>
      <c r="K719" t="n">
        <v>1</v>
      </c>
      <c r="L719" t="n">
        <v>0</v>
      </c>
      <c r="M719" t="n">
        <v>0</v>
      </c>
      <c r="N719" t="n">
        <v>0</v>
      </c>
      <c r="O719" t="n">
        <v>2</v>
      </c>
      <c r="P719" t="n">
        <v>1</v>
      </c>
      <c r="Q719" t="n">
        <v>2</v>
      </c>
      <c r="R719" s="2" t="inlineStr">
        <is>
          <t>Tallbit
Tretåig hackspett</t>
        </is>
      </c>
      <c r="S719">
        <f>HYPERLINK("https://klasma.github.io/Logging_OSTERSUND/artfynd/A 46105-2021.xlsx")</f>
        <v/>
      </c>
      <c r="T719">
        <f>HYPERLINK("https://klasma.github.io/Logging_OSTERSUND/kartor/A 46105-2021.png")</f>
        <v/>
      </c>
      <c r="V719">
        <f>HYPERLINK("https://klasma.github.io/Logging_OSTERSUND/klagomål/A 46105-2021.docx")</f>
        <v/>
      </c>
      <c r="W719">
        <f>HYPERLINK("https://klasma.github.io/Logging_OSTERSUND/klagomålsmail/A 46105-2021.docx")</f>
        <v/>
      </c>
      <c r="X719">
        <f>HYPERLINK("https://klasma.github.io/Logging_OSTERSUND/tillsyn/A 46105-2021.docx")</f>
        <v/>
      </c>
      <c r="Y719">
        <f>HYPERLINK("https://klasma.github.io/Logging_OSTERSUND/tillsynsmail/A 46105-2021.docx")</f>
        <v/>
      </c>
    </row>
    <row r="720" ht="15" customHeight="1">
      <c r="A720" t="inlineStr">
        <is>
          <t>A 46984-2021</t>
        </is>
      </c>
      <c r="B720" s="1" t="n">
        <v>44446</v>
      </c>
      <c r="C720" s="1" t="n">
        <v>45182</v>
      </c>
      <c r="D720" t="inlineStr">
        <is>
          <t>JÄMTLANDS LÄN</t>
        </is>
      </c>
      <c r="E720" t="inlineStr">
        <is>
          <t>ÅRE</t>
        </is>
      </c>
      <c r="G720" t="n">
        <v>0.2</v>
      </c>
      <c r="H720" t="n">
        <v>1</v>
      </c>
      <c r="I720" t="n">
        <v>0</v>
      </c>
      <c r="J720" t="n">
        <v>2</v>
      </c>
      <c r="K720" t="n">
        <v>0</v>
      </c>
      <c r="L720" t="n">
        <v>0</v>
      </c>
      <c r="M720" t="n">
        <v>0</v>
      </c>
      <c r="N720" t="n">
        <v>0</v>
      </c>
      <c r="O720" t="n">
        <v>2</v>
      </c>
      <c r="P720" t="n">
        <v>0</v>
      </c>
      <c r="Q720" t="n">
        <v>2</v>
      </c>
      <c r="R720" s="2" t="inlineStr">
        <is>
          <t>Garnlav
Tretåig hackspett</t>
        </is>
      </c>
      <c r="S720">
        <f>HYPERLINK("https://klasma.github.io/Logging_ARE/artfynd/A 46984-2021.xlsx")</f>
        <v/>
      </c>
      <c r="T720">
        <f>HYPERLINK("https://klasma.github.io/Logging_ARE/kartor/A 46984-2021.png")</f>
        <v/>
      </c>
      <c r="V720">
        <f>HYPERLINK("https://klasma.github.io/Logging_ARE/klagomål/A 46984-2021.docx")</f>
        <v/>
      </c>
      <c r="W720">
        <f>HYPERLINK("https://klasma.github.io/Logging_ARE/klagomålsmail/A 46984-2021.docx")</f>
        <v/>
      </c>
      <c r="X720">
        <f>HYPERLINK("https://klasma.github.io/Logging_ARE/tillsyn/A 46984-2021.docx")</f>
        <v/>
      </c>
      <c r="Y720">
        <f>HYPERLINK("https://klasma.github.io/Logging_ARE/tillsynsmail/A 46984-2021.docx")</f>
        <v/>
      </c>
    </row>
    <row r="721" ht="15" customHeight="1">
      <c r="A721" t="inlineStr">
        <is>
          <t>A 47937-2021</t>
        </is>
      </c>
      <c r="B721" s="1" t="n">
        <v>44448</v>
      </c>
      <c r="C721" s="1" t="n">
        <v>45182</v>
      </c>
      <c r="D721" t="inlineStr">
        <is>
          <t>JÄMTLANDS LÄN</t>
        </is>
      </c>
      <c r="E721" t="inlineStr">
        <is>
          <t>STRÖMSUND</t>
        </is>
      </c>
      <c r="F721" t="inlineStr">
        <is>
          <t>SCA</t>
        </is>
      </c>
      <c r="G721" t="n">
        <v>1.9</v>
      </c>
      <c r="H721" t="n">
        <v>1</v>
      </c>
      <c r="I721" t="n">
        <v>0</v>
      </c>
      <c r="J721" t="n">
        <v>1</v>
      </c>
      <c r="K721" t="n">
        <v>1</v>
      </c>
      <c r="L721" t="n">
        <v>0</v>
      </c>
      <c r="M721" t="n">
        <v>0</v>
      </c>
      <c r="N721" t="n">
        <v>0</v>
      </c>
      <c r="O721" t="n">
        <v>2</v>
      </c>
      <c r="P721" t="n">
        <v>1</v>
      </c>
      <c r="Q721" t="n">
        <v>2</v>
      </c>
      <c r="R721" s="2" t="inlineStr">
        <is>
          <t>Knärot
Granticka</t>
        </is>
      </c>
      <c r="S721">
        <f>HYPERLINK("https://klasma.github.io/Logging_STROMSUND/artfynd/A 47937-2021.xlsx")</f>
        <v/>
      </c>
      <c r="T721">
        <f>HYPERLINK("https://klasma.github.io/Logging_STROMSUND/kartor/A 47937-2021.png")</f>
        <v/>
      </c>
      <c r="U721">
        <f>HYPERLINK("https://klasma.github.io/Logging_STROMSUND/knärot/A 47937-2021.png")</f>
        <v/>
      </c>
      <c r="V721">
        <f>HYPERLINK("https://klasma.github.io/Logging_STROMSUND/klagomål/A 47937-2021.docx")</f>
        <v/>
      </c>
      <c r="W721">
        <f>HYPERLINK("https://klasma.github.io/Logging_STROMSUND/klagomålsmail/A 47937-2021.docx")</f>
        <v/>
      </c>
      <c r="X721">
        <f>HYPERLINK("https://klasma.github.io/Logging_STROMSUND/tillsyn/A 47937-2021.docx")</f>
        <v/>
      </c>
      <c r="Y721">
        <f>HYPERLINK("https://klasma.github.io/Logging_STROMSUND/tillsynsmail/A 47937-2021.docx")</f>
        <v/>
      </c>
    </row>
    <row r="722" ht="15" customHeight="1">
      <c r="A722" t="inlineStr">
        <is>
          <t>A 55240-2021</t>
        </is>
      </c>
      <c r="B722" s="1" t="n">
        <v>44475</v>
      </c>
      <c r="C722" s="1" t="n">
        <v>45182</v>
      </c>
      <c r="D722" t="inlineStr">
        <is>
          <t>JÄMTLANDS LÄN</t>
        </is>
      </c>
      <c r="E722" t="inlineStr">
        <is>
          <t>HÄRJEDALEN</t>
        </is>
      </c>
      <c r="G722" t="n">
        <v>3.5</v>
      </c>
      <c r="H722" t="n">
        <v>1</v>
      </c>
      <c r="I722" t="n">
        <v>0</v>
      </c>
      <c r="J722" t="n">
        <v>1</v>
      </c>
      <c r="K722" t="n">
        <v>1</v>
      </c>
      <c r="L722" t="n">
        <v>0</v>
      </c>
      <c r="M722" t="n">
        <v>0</v>
      </c>
      <c r="N722" t="n">
        <v>0</v>
      </c>
      <c r="O722" t="n">
        <v>2</v>
      </c>
      <c r="P722" t="n">
        <v>1</v>
      </c>
      <c r="Q722" t="n">
        <v>2</v>
      </c>
      <c r="R722" s="2" t="inlineStr">
        <is>
          <t>Varglavsknöl
Varglav</t>
        </is>
      </c>
      <c r="S722">
        <f>HYPERLINK("https://klasma.github.io/Logging_HARJEDALEN/artfynd/A 55240-2021.xlsx")</f>
        <v/>
      </c>
      <c r="T722">
        <f>HYPERLINK("https://klasma.github.io/Logging_HARJEDALEN/kartor/A 55240-2021.png")</f>
        <v/>
      </c>
      <c r="V722">
        <f>HYPERLINK("https://klasma.github.io/Logging_HARJEDALEN/klagomål/A 55240-2021.docx")</f>
        <v/>
      </c>
      <c r="W722">
        <f>HYPERLINK("https://klasma.github.io/Logging_HARJEDALEN/klagomålsmail/A 55240-2021.docx")</f>
        <v/>
      </c>
      <c r="X722">
        <f>HYPERLINK("https://klasma.github.io/Logging_HARJEDALEN/tillsyn/A 55240-2021.docx")</f>
        <v/>
      </c>
      <c r="Y722">
        <f>HYPERLINK("https://klasma.github.io/Logging_HARJEDALEN/tillsynsmail/A 55240-2021.docx")</f>
        <v/>
      </c>
    </row>
    <row r="723" ht="15" customHeight="1">
      <c r="A723" t="inlineStr">
        <is>
          <t>A 55228-2021</t>
        </is>
      </c>
      <c r="B723" s="1" t="n">
        <v>44475</v>
      </c>
      <c r="C723" s="1" t="n">
        <v>45182</v>
      </c>
      <c r="D723" t="inlineStr">
        <is>
          <t>JÄMTLANDS LÄN</t>
        </is>
      </c>
      <c r="E723" t="inlineStr">
        <is>
          <t>HÄRJEDALEN</t>
        </is>
      </c>
      <c r="G723" t="n">
        <v>1.7</v>
      </c>
      <c r="H723" t="n">
        <v>1</v>
      </c>
      <c r="I723" t="n">
        <v>0</v>
      </c>
      <c r="J723" t="n">
        <v>2</v>
      </c>
      <c r="K723" t="n">
        <v>0</v>
      </c>
      <c r="L723" t="n">
        <v>0</v>
      </c>
      <c r="M723" t="n">
        <v>0</v>
      </c>
      <c r="N723" t="n">
        <v>0</v>
      </c>
      <c r="O723" t="n">
        <v>2</v>
      </c>
      <c r="P723" t="n">
        <v>0</v>
      </c>
      <c r="Q723" t="n">
        <v>2</v>
      </c>
      <c r="R723" s="2" t="inlineStr">
        <is>
          <t>Varglav
Vedflamlav</t>
        </is>
      </c>
      <c r="S723">
        <f>HYPERLINK("https://klasma.github.io/Logging_HARJEDALEN/artfynd/A 55228-2021.xlsx")</f>
        <v/>
      </c>
      <c r="T723">
        <f>HYPERLINK("https://klasma.github.io/Logging_HARJEDALEN/kartor/A 55228-2021.png")</f>
        <v/>
      </c>
      <c r="V723">
        <f>HYPERLINK("https://klasma.github.io/Logging_HARJEDALEN/klagomål/A 55228-2021.docx")</f>
        <v/>
      </c>
      <c r="W723">
        <f>HYPERLINK("https://klasma.github.io/Logging_HARJEDALEN/klagomålsmail/A 55228-2021.docx")</f>
        <v/>
      </c>
      <c r="X723">
        <f>HYPERLINK("https://klasma.github.io/Logging_HARJEDALEN/tillsyn/A 55228-2021.docx")</f>
        <v/>
      </c>
      <c r="Y723">
        <f>HYPERLINK("https://klasma.github.io/Logging_HARJEDALEN/tillsynsmail/A 55228-2021.docx")</f>
        <v/>
      </c>
    </row>
    <row r="724" ht="15" customHeight="1">
      <c r="A724" t="inlineStr">
        <is>
          <t>A 55392-2021</t>
        </is>
      </c>
      <c r="B724" s="1" t="n">
        <v>44475</v>
      </c>
      <c r="C724" s="1" t="n">
        <v>45182</v>
      </c>
      <c r="D724" t="inlineStr">
        <is>
          <t>JÄMTLANDS LÄN</t>
        </is>
      </c>
      <c r="E724" t="inlineStr">
        <is>
          <t>HÄRJEDALEN</t>
        </is>
      </c>
      <c r="G724" t="n">
        <v>0.8</v>
      </c>
      <c r="H724" t="n">
        <v>0</v>
      </c>
      <c r="I724" t="n">
        <v>0</v>
      </c>
      <c r="J724" t="n">
        <v>2</v>
      </c>
      <c r="K724" t="n">
        <v>0</v>
      </c>
      <c r="L724" t="n">
        <v>0</v>
      </c>
      <c r="M724" t="n">
        <v>0</v>
      </c>
      <c r="N724" t="n">
        <v>0</v>
      </c>
      <c r="O724" t="n">
        <v>2</v>
      </c>
      <c r="P724" t="n">
        <v>0</v>
      </c>
      <c r="Q724" t="n">
        <v>2</v>
      </c>
      <c r="R724" s="2" t="inlineStr">
        <is>
          <t>Ladlav
Vedflamlav</t>
        </is>
      </c>
      <c r="S724">
        <f>HYPERLINK("https://klasma.github.io/Logging_HARJEDALEN/artfynd/A 55392-2021.xlsx")</f>
        <v/>
      </c>
      <c r="T724">
        <f>HYPERLINK("https://klasma.github.io/Logging_HARJEDALEN/kartor/A 55392-2021.png")</f>
        <v/>
      </c>
      <c r="V724">
        <f>HYPERLINK("https://klasma.github.io/Logging_HARJEDALEN/klagomål/A 55392-2021.docx")</f>
        <v/>
      </c>
      <c r="W724">
        <f>HYPERLINK("https://klasma.github.io/Logging_HARJEDALEN/klagomålsmail/A 55392-2021.docx")</f>
        <v/>
      </c>
      <c r="X724">
        <f>HYPERLINK("https://klasma.github.io/Logging_HARJEDALEN/tillsyn/A 55392-2021.docx")</f>
        <v/>
      </c>
      <c r="Y724">
        <f>HYPERLINK("https://klasma.github.io/Logging_HARJEDALEN/tillsynsmail/A 55392-2021.docx")</f>
        <v/>
      </c>
    </row>
    <row r="725" ht="15" customHeight="1">
      <c r="A725" t="inlineStr">
        <is>
          <t>A 56201-2021</t>
        </is>
      </c>
      <c r="B725" s="1" t="n">
        <v>44477</v>
      </c>
      <c r="C725" s="1" t="n">
        <v>45182</v>
      </c>
      <c r="D725" t="inlineStr">
        <is>
          <t>JÄMTLANDS LÄN</t>
        </is>
      </c>
      <c r="E725" t="inlineStr">
        <is>
          <t>BERG</t>
        </is>
      </c>
      <c r="F725" t="inlineStr">
        <is>
          <t>SCA</t>
        </is>
      </c>
      <c r="G725" t="n">
        <v>10.9</v>
      </c>
      <c r="H725" t="n">
        <v>1</v>
      </c>
      <c r="I725" t="n">
        <v>1</v>
      </c>
      <c r="J725" t="n">
        <v>1</v>
      </c>
      <c r="K725" t="n">
        <v>0</v>
      </c>
      <c r="L725" t="n">
        <v>0</v>
      </c>
      <c r="M725" t="n">
        <v>0</v>
      </c>
      <c r="N725" t="n">
        <v>0</v>
      </c>
      <c r="O725" t="n">
        <v>1</v>
      </c>
      <c r="P725" t="n">
        <v>0</v>
      </c>
      <c r="Q725" t="n">
        <v>2</v>
      </c>
      <c r="R725" s="2" t="inlineStr">
        <is>
          <t>Ullticka
Spindelblomster</t>
        </is>
      </c>
      <c r="S725">
        <f>HYPERLINK("https://klasma.github.io/Logging_BERG/artfynd/A 56201-2021.xlsx")</f>
        <v/>
      </c>
      <c r="T725">
        <f>HYPERLINK("https://klasma.github.io/Logging_BERG/kartor/A 56201-2021.png")</f>
        <v/>
      </c>
      <c r="V725">
        <f>HYPERLINK("https://klasma.github.io/Logging_BERG/klagomål/A 56201-2021.docx")</f>
        <v/>
      </c>
      <c r="W725">
        <f>HYPERLINK("https://klasma.github.io/Logging_BERG/klagomålsmail/A 56201-2021.docx")</f>
        <v/>
      </c>
      <c r="X725">
        <f>HYPERLINK("https://klasma.github.io/Logging_BERG/tillsyn/A 56201-2021.docx")</f>
        <v/>
      </c>
      <c r="Y725">
        <f>HYPERLINK("https://klasma.github.io/Logging_BERG/tillsynsmail/A 56201-2021.docx")</f>
        <v/>
      </c>
    </row>
    <row r="726" ht="15" customHeight="1">
      <c r="A726" t="inlineStr">
        <is>
          <t>A 59324-2021</t>
        </is>
      </c>
      <c r="B726" s="1" t="n">
        <v>44490</v>
      </c>
      <c r="C726" s="1" t="n">
        <v>45182</v>
      </c>
      <c r="D726" t="inlineStr">
        <is>
          <t>JÄMTLANDS LÄN</t>
        </is>
      </c>
      <c r="E726" t="inlineStr">
        <is>
          <t>BRÄCKE</t>
        </is>
      </c>
      <c r="F726" t="inlineStr">
        <is>
          <t>SCA</t>
        </is>
      </c>
      <c r="G726" t="n">
        <v>8.6</v>
      </c>
      <c r="H726" t="n">
        <v>0</v>
      </c>
      <c r="I726" t="n">
        <v>0</v>
      </c>
      <c r="J726" t="n">
        <v>2</v>
      </c>
      <c r="K726" t="n">
        <v>0</v>
      </c>
      <c r="L726" t="n">
        <v>0</v>
      </c>
      <c r="M726" t="n">
        <v>0</v>
      </c>
      <c r="N726" t="n">
        <v>0</v>
      </c>
      <c r="O726" t="n">
        <v>2</v>
      </c>
      <c r="P726" t="n">
        <v>0</v>
      </c>
      <c r="Q726" t="n">
        <v>2</v>
      </c>
      <c r="R726" s="2" t="inlineStr">
        <is>
          <t>Ullticka
Veckticka</t>
        </is>
      </c>
      <c r="S726">
        <f>HYPERLINK("https://klasma.github.io/Logging_BRACKE/artfynd/A 59324-2021.xlsx")</f>
        <v/>
      </c>
      <c r="T726">
        <f>HYPERLINK("https://klasma.github.io/Logging_BRACKE/kartor/A 59324-2021.png")</f>
        <v/>
      </c>
      <c r="V726">
        <f>HYPERLINK("https://klasma.github.io/Logging_BRACKE/klagomål/A 59324-2021.docx")</f>
        <v/>
      </c>
      <c r="W726">
        <f>HYPERLINK("https://klasma.github.io/Logging_BRACKE/klagomålsmail/A 59324-2021.docx")</f>
        <v/>
      </c>
      <c r="X726">
        <f>HYPERLINK("https://klasma.github.io/Logging_BRACKE/tillsyn/A 59324-2021.docx")</f>
        <v/>
      </c>
      <c r="Y726">
        <f>HYPERLINK("https://klasma.github.io/Logging_BRACKE/tillsynsmail/A 59324-2021.docx")</f>
        <v/>
      </c>
    </row>
    <row r="727" ht="15" customHeight="1">
      <c r="A727" t="inlineStr">
        <is>
          <t>A 61465-2021</t>
        </is>
      </c>
      <c r="B727" s="1" t="n">
        <v>44500</v>
      </c>
      <c r="C727" s="1" t="n">
        <v>45182</v>
      </c>
      <c r="D727" t="inlineStr">
        <is>
          <t>JÄMTLANDS LÄN</t>
        </is>
      </c>
      <c r="E727" t="inlineStr">
        <is>
          <t>BRÄCKE</t>
        </is>
      </c>
      <c r="F727" t="inlineStr">
        <is>
          <t>SCA</t>
        </is>
      </c>
      <c r="G727" t="n">
        <v>2.8</v>
      </c>
      <c r="H727" t="n">
        <v>0</v>
      </c>
      <c r="I727" t="n">
        <v>0</v>
      </c>
      <c r="J727" t="n">
        <v>2</v>
      </c>
      <c r="K727" t="n">
        <v>0</v>
      </c>
      <c r="L727" t="n">
        <v>0</v>
      </c>
      <c r="M727" t="n">
        <v>0</v>
      </c>
      <c r="N727" t="n">
        <v>0</v>
      </c>
      <c r="O727" t="n">
        <v>2</v>
      </c>
      <c r="P727" t="n">
        <v>0</v>
      </c>
      <c r="Q727" t="n">
        <v>2</v>
      </c>
      <c r="R727" s="2" t="inlineStr">
        <is>
          <t>Garnlav
Lunglav</t>
        </is>
      </c>
      <c r="S727">
        <f>HYPERLINK("https://klasma.github.io/Logging_BRACKE/artfynd/A 61465-2021.xlsx")</f>
        <v/>
      </c>
      <c r="T727">
        <f>HYPERLINK("https://klasma.github.io/Logging_BRACKE/kartor/A 61465-2021.png")</f>
        <v/>
      </c>
      <c r="V727">
        <f>HYPERLINK("https://klasma.github.io/Logging_BRACKE/klagomål/A 61465-2021.docx")</f>
        <v/>
      </c>
      <c r="W727">
        <f>HYPERLINK("https://klasma.github.io/Logging_BRACKE/klagomålsmail/A 61465-2021.docx")</f>
        <v/>
      </c>
      <c r="X727">
        <f>HYPERLINK("https://klasma.github.io/Logging_BRACKE/tillsyn/A 61465-2021.docx")</f>
        <v/>
      </c>
      <c r="Y727">
        <f>HYPERLINK("https://klasma.github.io/Logging_BRACKE/tillsynsmail/A 61465-2021.docx")</f>
        <v/>
      </c>
    </row>
    <row r="728" ht="15" customHeight="1">
      <c r="A728" t="inlineStr">
        <is>
          <t>A 61440-2021</t>
        </is>
      </c>
      <c r="B728" s="1" t="n">
        <v>44500</v>
      </c>
      <c r="C728" s="1" t="n">
        <v>45182</v>
      </c>
      <c r="D728" t="inlineStr">
        <is>
          <t>JÄMTLANDS LÄN</t>
        </is>
      </c>
      <c r="E728" t="inlineStr">
        <is>
          <t>STRÖMSUND</t>
        </is>
      </c>
      <c r="F728" t="inlineStr">
        <is>
          <t>SCA</t>
        </is>
      </c>
      <c r="G728" t="n">
        <v>4.1</v>
      </c>
      <c r="H728" t="n">
        <v>0</v>
      </c>
      <c r="I728" t="n">
        <v>0</v>
      </c>
      <c r="J728" t="n">
        <v>2</v>
      </c>
      <c r="K728" t="n">
        <v>0</v>
      </c>
      <c r="L728" t="n">
        <v>0</v>
      </c>
      <c r="M728" t="n">
        <v>0</v>
      </c>
      <c r="N728" t="n">
        <v>0</v>
      </c>
      <c r="O728" t="n">
        <v>2</v>
      </c>
      <c r="P728" t="n">
        <v>0</v>
      </c>
      <c r="Q728" t="n">
        <v>2</v>
      </c>
      <c r="R728" s="2" t="inlineStr">
        <is>
          <t>Dvärgbägarlav
Mörk kolflarnlav</t>
        </is>
      </c>
      <c r="S728">
        <f>HYPERLINK("https://klasma.github.io/Logging_STROMSUND/artfynd/A 61440-2021.xlsx")</f>
        <v/>
      </c>
      <c r="T728">
        <f>HYPERLINK("https://klasma.github.io/Logging_STROMSUND/kartor/A 61440-2021.png")</f>
        <v/>
      </c>
      <c r="V728">
        <f>HYPERLINK("https://klasma.github.io/Logging_STROMSUND/klagomål/A 61440-2021.docx")</f>
        <v/>
      </c>
      <c r="W728">
        <f>HYPERLINK("https://klasma.github.io/Logging_STROMSUND/klagomålsmail/A 61440-2021.docx")</f>
        <v/>
      </c>
      <c r="X728">
        <f>HYPERLINK("https://klasma.github.io/Logging_STROMSUND/tillsyn/A 61440-2021.docx")</f>
        <v/>
      </c>
      <c r="Y728">
        <f>HYPERLINK("https://klasma.github.io/Logging_STROMSUND/tillsynsmail/A 61440-2021.docx")</f>
        <v/>
      </c>
    </row>
    <row r="729" ht="15" customHeight="1">
      <c r="A729" t="inlineStr">
        <is>
          <t>A 63532-2021</t>
        </is>
      </c>
      <c r="B729" s="1" t="n">
        <v>44504</v>
      </c>
      <c r="C729" s="1" t="n">
        <v>45182</v>
      </c>
      <c r="D729" t="inlineStr">
        <is>
          <t>JÄMTLANDS LÄN</t>
        </is>
      </c>
      <c r="E729" t="inlineStr">
        <is>
          <t>STRÖMSUND</t>
        </is>
      </c>
      <c r="F729" t="inlineStr">
        <is>
          <t>SCA</t>
        </is>
      </c>
      <c r="G729" t="n">
        <v>22.3</v>
      </c>
      <c r="H729" t="n">
        <v>0</v>
      </c>
      <c r="I729" t="n">
        <v>0</v>
      </c>
      <c r="J729" t="n">
        <v>1</v>
      </c>
      <c r="K729" t="n">
        <v>1</v>
      </c>
      <c r="L729" t="n">
        <v>0</v>
      </c>
      <c r="M729" t="n">
        <v>0</v>
      </c>
      <c r="N729" t="n">
        <v>0</v>
      </c>
      <c r="O729" t="n">
        <v>2</v>
      </c>
      <c r="P729" t="n">
        <v>1</v>
      </c>
      <c r="Q729" t="n">
        <v>2</v>
      </c>
      <c r="R729" s="2" t="inlineStr">
        <is>
          <t>Norsk näverlav
Gränsticka</t>
        </is>
      </c>
      <c r="S729">
        <f>HYPERLINK("https://klasma.github.io/Logging_STROMSUND/artfynd/A 63532-2021.xlsx")</f>
        <v/>
      </c>
      <c r="T729">
        <f>HYPERLINK("https://klasma.github.io/Logging_STROMSUND/kartor/A 63532-2021.png")</f>
        <v/>
      </c>
      <c r="V729">
        <f>HYPERLINK("https://klasma.github.io/Logging_STROMSUND/klagomål/A 63532-2021.docx")</f>
        <v/>
      </c>
      <c r="W729">
        <f>HYPERLINK("https://klasma.github.io/Logging_STROMSUND/klagomålsmail/A 63532-2021.docx")</f>
        <v/>
      </c>
      <c r="X729">
        <f>HYPERLINK("https://klasma.github.io/Logging_STROMSUND/tillsyn/A 63532-2021.docx")</f>
        <v/>
      </c>
      <c r="Y729">
        <f>HYPERLINK("https://klasma.github.io/Logging_STROMSUND/tillsynsmail/A 63532-2021.docx")</f>
        <v/>
      </c>
    </row>
    <row r="730" ht="15" customHeight="1">
      <c r="A730" t="inlineStr">
        <is>
          <t>A 63601-2021</t>
        </is>
      </c>
      <c r="B730" s="1" t="n">
        <v>44508</v>
      </c>
      <c r="C730" s="1" t="n">
        <v>45182</v>
      </c>
      <c r="D730" t="inlineStr">
        <is>
          <t>JÄMTLANDS LÄN</t>
        </is>
      </c>
      <c r="E730" t="inlineStr">
        <is>
          <t>ÖSTERSUND</t>
        </is>
      </c>
      <c r="F730" t="inlineStr">
        <is>
          <t>SCA</t>
        </is>
      </c>
      <c r="G730" t="n">
        <v>2.9</v>
      </c>
      <c r="H730" t="n">
        <v>0</v>
      </c>
      <c r="I730" t="n">
        <v>1</v>
      </c>
      <c r="J730" t="n">
        <v>0</v>
      </c>
      <c r="K730" t="n">
        <v>1</v>
      </c>
      <c r="L730" t="n">
        <v>0</v>
      </c>
      <c r="M730" t="n">
        <v>0</v>
      </c>
      <c r="N730" t="n">
        <v>0</v>
      </c>
      <c r="O730" t="n">
        <v>1</v>
      </c>
      <c r="P730" t="n">
        <v>1</v>
      </c>
      <c r="Q730" t="n">
        <v>2</v>
      </c>
      <c r="R730" s="2" t="inlineStr">
        <is>
          <t>Läderdoftande fingersvamp
Blodvaxskivling</t>
        </is>
      </c>
      <c r="S730">
        <f>HYPERLINK("https://klasma.github.io/Logging_OSTERSUND/artfynd/A 63601-2021.xlsx")</f>
        <v/>
      </c>
      <c r="T730">
        <f>HYPERLINK("https://klasma.github.io/Logging_OSTERSUND/kartor/A 63601-2021.png")</f>
        <v/>
      </c>
      <c r="V730">
        <f>HYPERLINK("https://klasma.github.io/Logging_OSTERSUND/klagomål/A 63601-2021.docx")</f>
        <v/>
      </c>
      <c r="W730">
        <f>HYPERLINK("https://klasma.github.io/Logging_OSTERSUND/klagomålsmail/A 63601-2021.docx")</f>
        <v/>
      </c>
      <c r="X730">
        <f>HYPERLINK("https://klasma.github.io/Logging_OSTERSUND/tillsyn/A 63601-2021.docx")</f>
        <v/>
      </c>
      <c r="Y730">
        <f>HYPERLINK("https://klasma.github.io/Logging_OSTERSUND/tillsynsmail/A 63601-2021.docx")</f>
        <v/>
      </c>
    </row>
    <row r="731" ht="15" customHeight="1">
      <c r="A731" t="inlineStr">
        <is>
          <t>A 64663-2021</t>
        </is>
      </c>
      <c r="B731" s="1" t="n">
        <v>44512</v>
      </c>
      <c r="C731" s="1" t="n">
        <v>45182</v>
      </c>
      <c r="D731" t="inlineStr">
        <is>
          <t>JÄMTLANDS LÄN</t>
        </is>
      </c>
      <c r="E731" t="inlineStr">
        <is>
          <t>ÅRE</t>
        </is>
      </c>
      <c r="G731" t="n">
        <v>14.5</v>
      </c>
      <c r="H731" t="n">
        <v>0</v>
      </c>
      <c r="I731" t="n">
        <v>0</v>
      </c>
      <c r="J731" t="n">
        <v>1</v>
      </c>
      <c r="K731" t="n">
        <v>1</v>
      </c>
      <c r="L731" t="n">
        <v>0</v>
      </c>
      <c r="M731" t="n">
        <v>0</v>
      </c>
      <c r="N731" t="n">
        <v>0</v>
      </c>
      <c r="O731" t="n">
        <v>2</v>
      </c>
      <c r="P731" t="n">
        <v>1</v>
      </c>
      <c r="Q731" t="n">
        <v>2</v>
      </c>
      <c r="R731" s="2" t="inlineStr">
        <is>
          <t>Sotbandad spindling
Vitterspindling</t>
        </is>
      </c>
      <c r="S731">
        <f>HYPERLINK("https://klasma.github.io/Logging_ARE/artfynd/A 64663-2021.xlsx")</f>
        <v/>
      </c>
      <c r="T731">
        <f>HYPERLINK("https://klasma.github.io/Logging_ARE/kartor/A 64663-2021.png")</f>
        <v/>
      </c>
      <c r="V731">
        <f>HYPERLINK("https://klasma.github.io/Logging_ARE/klagomål/A 64663-2021.docx")</f>
        <v/>
      </c>
      <c r="W731">
        <f>HYPERLINK("https://klasma.github.io/Logging_ARE/klagomålsmail/A 64663-2021.docx")</f>
        <v/>
      </c>
      <c r="X731">
        <f>HYPERLINK("https://klasma.github.io/Logging_ARE/tillsyn/A 64663-2021.docx")</f>
        <v/>
      </c>
      <c r="Y731">
        <f>HYPERLINK("https://klasma.github.io/Logging_ARE/tillsynsmail/A 64663-2021.docx")</f>
        <v/>
      </c>
    </row>
    <row r="732" ht="15" customHeight="1">
      <c r="A732" t="inlineStr">
        <is>
          <t>A 64668-2021</t>
        </is>
      </c>
      <c r="B732" s="1" t="n">
        <v>44512</v>
      </c>
      <c r="C732" s="1" t="n">
        <v>45182</v>
      </c>
      <c r="D732" t="inlineStr">
        <is>
          <t>JÄMTLANDS LÄN</t>
        </is>
      </c>
      <c r="E732" t="inlineStr">
        <is>
          <t>ÅRE</t>
        </is>
      </c>
      <c r="G732" t="n">
        <v>1.9</v>
      </c>
      <c r="H732" t="n">
        <v>1</v>
      </c>
      <c r="I732" t="n">
        <v>0</v>
      </c>
      <c r="J732" t="n">
        <v>2</v>
      </c>
      <c r="K732" t="n">
        <v>0</v>
      </c>
      <c r="L732" t="n">
        <v>0</v>
      </c>
      <c r="M732" t="n">
        <v>0</v>
      </c>
      <c r="N732" t="n">
        <v>0</v>
      </c>
      <c r="O732" t="n">
        <v>2</v>
      </c>
      <c r="P732" t="n">
        <v>0</v>
      </c>
      <c r="Q732" t="n">
        <v>2</v>
      </c>
      <c r="R732" s="2" t="inlineStr">
        <is>
          <t>Granticka
Tretåig hackspett</t>
        </is>
      </c>
      <c r="S732">
        <f>HYPERLINK("https://klasma.github.io/Logging_ARE/artfynd/A 64668-2021.xlsx")</f>
        <v/>
      </c>
      <c r="T732">
        <f>HYPERLINK("https://klasma.github.io/Logging_ARE/kartor/A 64668-2021.png")</f>
        <v/>
      </c>
      <c r="V732">
        <f>HYPERLINK("https://klasma.github.io/Logging_ARE/klagomål/A 64668-2021.docx")</f>
        <v/>
      </c>
      <c r="W732">
        <f>HYPERLINK("https://klasma.github.io/Logging_ARE/klagomålsmail/A 64668-2021.docx")</f>
        <v/>
      </c>
      <c r="X732">
        <f>HYPERLINK("https://klasma.github.io/Logging_ARE/tillsyn/A 64668-2021.docx")</f>
        <v/>
      </c>
      <c r="Y732">
        <f>HYPERLINK("https://klasma.github.io/Logging_ARE/tillsynsmail/A 64668-2021.docx")</f>
        <v/>
      </c>
    </row>
    <row r="733" ht="15" customHeight="1">
      <c r="A733" t="inlineStr">
        <is>
          <t>A 67700-2021</t>
        </is>
      </c>
      <c r="B733" s="1" t="n">
        <v>44524</v>
      </c>
      <c r="C733" s="1" t="n">
        <v>45182</v>
      </c>
      <c r="D733" t="inlineStr">
        <is>
          <t>JÄMTLANDS LÄN</t>
        </is>
      </c>
      <c r="E733" t="inlineStr">
        <is>
          <t>KROKOM</t>
        </is>
      </c>
      <c r="F733" t="inlineStr">
        <is>
          <t>SCA</t>
        </is>
      </c>
      <c r="G733" t="n">
        <v>1.3</v>
      </c>
      <c r="H733" t="n">
        <v>1</v>
      </c>
      <c r="I733" t="n">
        <v>0</v>
      </c>
      <c r="J733" t="n">
        <v>1</v>
      </c>
      <c r="K733" t="n">
        <v>0</v>
      </c>
      <c r="L733" t="n">
        <v>0</v>
      </c>
      <c r="M733" t="n">
        <v>0</v>
      </c>
      <c r="N733" t="n">
        <v>0</v>
      </c>
      <c r="O733" t="n">
        <v>1</v>
      </c>
      <c r="P733" t="n">
        <v>0</v>
      </c>
      <c r="Q733" t="n">
        <v>2</v>
      </c>
      <c r="R733" s="2" t="inlineStr">
        <is>
          <t>Lunglav
Blåsippa</t>
        </is>
      </c>
      <c r="S733">
        <f>HYPERLINK("https://klasma.github.io/Logging_KROKOM/artfynd/A 67700-2021.xlsx")</f>
        <v/>
      </c>
      <c r="T733">
        <f>HYPERLINK("https://klasma.github.io/Logging_KROKOM/kartor/A 67700-2021.png")</f>
        <v/>
      </c>
      <c r="V733">
        <f>HYPERLINK("https://klasma.github.io/Logging_KROKOM/klagomål/A 67700-2021.docx")</f>
        <v/>
      </c>
      <c r="W733">
        <f>HYPERLINK("https://klasma.github.io/Logging_KROKOM/klagomålsmail/A 67700-2021.docx")</f>
        <v/>
      </c>
      <c r="X733">
        <f>HYPERLINK("https://klasma.github.io/Logging_KROKOM/tillsyn/A 67700-2021.docx")</f>
        <v/>
      </c>
      <c r="Y733">
        <f>HYPERLINK("https://klasma.github.io/Logging_KROKOM/tillsynsmail/A 67700-2021.docx")</f>
        <v/>
      </c>
    </row>
    <row r="734" ht="15" customHeight="1">
      <c r="A734" t="inlineStr">
        <is>
          <t>A 69811-2021</t>
        </is>
      </c>
      <c r="B734" s="1" t="n">
        <v>44532</v>
      </c>
      <c r="C734" s="1" t="n">
        <v>45182</v>
      </c>
      <c r="D734" t="inlineStr">
        <is>
          <t>JÄMTLANDS LÄN</t>
        </is>
      </c>
      <c r="E734" t="inlineStr">
        <is>
          <t>STRÖMSUND</t>
        </is>
      </c>
      <c r="G734" t="n">
        <v>6.7</v>
      </c>
      <c r="H734" t="n">
        <v>1</v>
      </c>
      <c r="I734" t="n">
        <v>1</v>
      </c>
      <c r="J734" t="n">
        <v>1</v>
      </c>
      <c r="K734" t="n">
        <v>0</v>
      </c>
      <c r="L734" t="n">
        <v>0</v>
      </c>
      <c r="M734" t="n">
        <v>0</v>
      </c>
      <c r="N734" t="n">
        <v>0</v>
      </c>
      <c r="O734" t="n">
        <v>1</v>
      </c>
      <c r="P734" t="n">
        <v>0</v>
      </c>
      <c r="Q734" t="n">
        <v>2</v>
      </c>
      <c r="R734" s="2" t="inlineStr">
        <is>
          <t>Gränsticka
Spindelblomster</t>
        </is>
      </c>
      <c r="S734">
        <f>HYPERLINK("https://klasma.github.io/Logging_STROMSUND/artfynd/A 69811-2021.xlsx")</f>
        <v/>
      </c>
      <c r="T734">
        <f>HYPERLINK("https://klasma.github.io/Logging_STROMSUND/kartor/A 69811-2021.png")</f>
        <v/>
      </c>
      <c r="V734">
        <f>HYPERLINK("https://klasma.github.io/Logging_STROMSUND/klagomål/A 69811-2021.docx")</f>
        <v/>
      </c>
      <c r="W734">
        <f>HYPERLINK("https://klasma.github.io/Logging_STROMSUND/klagomålsmail/A 69811-2021.docx")</f>
        <v/>
      </c>
      <c r="X734">
        <f>HYPERLINK("https://klasma.github.io/Logging_STROMSUND/tillsyn/A 69811-2021.docx")</f>
        <v/>
      </c>
      <c r="Y734">
        <f>HYPERLINK("https://klasma.github.io/Logging_STROMSUND/tillsynsmail/A 69811-2021.docx")</f>
        <v/>
      </c>
    </row>
    <row r="735" ht="15" customHeight="1">
      <c r="A735" t="inlineStr">
        <is>
          <t>A 3913-2022</t>
        </is>
      </c>
      <c r="B735" s="1" t="n">
        <v>44587</v>
      </c>
      <c r="C735" s="1" t="n">
        <v>45182</v>
      </c>
      <c r="D735" t="inlineStr">
        <is>
          <t>JÄMTLANDS LÄN</t>
        </is>
      </c>
      <c r="E735" t="inlineStr">
        <is>
          <t>BRÄCKE</t>
        </is>
      </c>
      <c r="G735" t="n">
        <v>0.9</v>
      </c>
      <c r="H735" t="n">
        <v>1</v>
      </c>
      <c r="I735" t="n">
        <v>1</v>
      </c>
      <c r="J735" t="n">
        <v>1</v>
      </c>
      <c r="K735" t="n">
        <v>0</v>
      </c>
      <c r="L735" t="n">
        <v>0</v>
      </c>
      <c r="M735" t="n">
        <v>0</v>
      </c>
      <c r="N735" t="n">
        <v>0</v>
      </c>
      <c r="O735" t="n">
        <v>1</v>
      </c>
      <c r="P735" t="n">
        <v>0</v>
      </c>
      <c r="Q735" t="n">
        <v>2</v>
      </c>
      <c r="R735" s="2" t="inlineStr">
        <is>
          <t>Skogsfru
Ögonpyrola</t>
        </is>
      </c>
      <c r="S735">
        <f>HYPERLINK("https://klasma.github.io/Logging_BRACKE/artfynd/A 3913-2022.xlsx")</f>
        <v/>
      </c>
      <c r="T735">
        <f>HYPERLINK("https://klasma.github.io/Logging_BRACKE/kartor/A 3913-2022.png")</f>
        <v/>
      </c>
      <c r="U735">
        <f>HYPERLINK("https://klasma.github.io/Logging_BRACKE/knärot/A 3913-2022.png")</f>
        <v/>
      </c>
      <c r="V735">
        <f>HYPERLINK("https://klasma.github.io/Logging_BRACKE/klagomål/A 3913-2022.docx")</f>
        <v/>
      </c>
      <c r="W735">
        <f>HYPERLINK("https://klasma.github.io/Logging_BRACKE/klagomålsmail/A 3913-2022.docx")</f>
        <v/>
      </c>
      <c r="X735">
        <f>HYPERLINK("https://klasma.github.io/Logging_BRACKE/tillsyn/A 3913-2022.docx")</f>
        <v/>
      </c>
      <c r="Y735">
        <f>HYPERLINK("https://klasma.github.io/Logging_BRACKE/tillsynsmail/A 3913-2022.docx")</f>
        <v/>
      </c>
    </row>
    <row r="736" ht="15" customHeight="1">
      <c r="A736" t="inlineStr">
        <is>
          <t>A 6334-2022</t>
        </is>
      </c>
      <c r="B736" s="1" t="n">
        <v>44600</v>
      </c>
      <c r="C736" s="1" t="n">
        <v>45182</v>
      </c>
      <c r="D736" t="inlineStr">
        <is>
          <t>JÄMTLANDS LÄN</t>
        </is>
      </c>
      <c r="E736" t="inlineStr">
        <is>
          <t>STRÖMSUND</t>
        </is>
      </c>
      <c r="G736" t="n">
        <v>16.7</v>
      </c>
      <c r="H736" t="n">
        <v>0</v>
      </c>
      <c r="I736" t="n">
        <v>1</v>
      </c>
      <c r="J736" t="n">
        <v>1</v>
      </c>
      <c r="K736" t="n">
        <v>0</v>
      </c>
      <c r="L736" t="n">
        <v>0</v>
      </c>
      <c r="M736" t="n">
        <v>0</v>
      </c>
      <c r="N736" t="n">
        <v>0</v>
      </c>
      <c r="O736" t="n">
        <v>1</v>
      </c>
      <c r="P736" t="n">
        <v>0</v>
      </c>
      <c r="Q736" t="n">
        <v>2</v>
      </c>
      <c r="R736" s="2" t="inlineStr">
        <is>
          <t>Lunglav
Luddlav</t>
        </is>
      </c>
      <c r="S736">
        <f>HYPERLINK("https://klasma.github.io/Logging_STROMSUND/artfynd/A 6334-2022.xlsx")</f>
        <v/>
      </c>
      <c r="T736">
        <f>HYPERLINK("https://klasma.github.io/Logging_STROMSUND/kartor/A 6334-2022.png")</f>
        <v/>
      </c>
      <c r="V736">
        <f>HYPERLINK("https://klasma.github.io/Logging_STROMSUND/klagomål/A 6334-2022.docx")</f>
        <v/>
      </c>
      <c r="W736">
        <f>HYPERLINK("https://klasma.github.io/Logging_STROMSUND/klagomålsmail/A 6334-2022.docx")</f>
        <v/>
      </c>
      <c r="X736">
        <f>HYPERLINK("https://klasma.github.io/Logging_STROMSUND/tillsyn/A 6334-2022.docx")</f>
        <v/>
      </c>
      <c r="Y736">
        <f>HYPERLINK("https://klasma.github.io/Logging_STROMSUND/tillsynsmail/A 6334-2022.docx")</f>
        <v/>
      </c>
    </row>
    <row r="737" ht="15" customHeight="1">
      <c r="A737" t="inlineStr">
        <is>
          <t>A 6784-2022</t>
        </is>
      </c>
      <c r="B737" s="1" t="n">
        <v>44602</v>
      </c>
      <c r="C737" s="1" t="n">
        <v>45182</v>
      </c>
      <c r="D737" t="inlineStr">
        <is>
          <t>JÄMTLANDS LÄN</t>
        </is>
      </c>
      <c r="E737" t="inlineStr">
        <is>
          <t>BERG</t>
        </is>
      </c>
      <c r="G737" t="n">
        <v>4</v>
      </c>
      <c r="H737" t="n">
        <v>1</v>
      </c>
      <c r="I737" t="n">
        <v>0</v>
      </c>
      <c r="J737" t="n">
        <v>1</v>
      </c>
      <c r="K737" t="n">
        <v>0</v>
      </c>
      <c r="L737" t="n">
        <v>0</v>
      </c>
      <c r="M737" t="n">
        <v>0</v>
      </c>
      <c r="N737" t="n">
        <v>0</v>
      </c>
      <c r="O737" t="n">
        <v>1</v>
      </c>
      <c r="P737" t="n">
        <v>0</v>
      </c>
      <c r="Q737" t="n">
        <v>2</v>
      </c>
      <c r="R737" s="2" t="inlineStr">
        <is>
          <t>Brunklöver
Brudsporre</t>
        </is>
      </c>
      <c r="S737">
        <f>HYPERLINK("https://klasma.github.io/Logging_BERG/artfynd/A 6784-2022.xlsx")</f>
        <v/>
      </c>
      <c r="T737">
        <f>HYPERLINK("https://klasma.github.io/Logging_BERG/kartor/A 6784-2022.png")</f>
        <v/>
      </c>
      <c r="V737">
        <f>HYPERLINK("https://klasma.github.io/Logging_BERG/klagomål/A 6784-2022.docx")</f>
        <v/>
      </c>
      <c r="W737">
        <f>HYPERLINK("https://klasma.github.io/Logging_BERG/klagomålsmail/A 6784-2022.docx")</f>
        <v/>
      </c>
      <c r="X737">
        <f>HYPERLINK("https://klasma.github.io/Logging_BERG/tillsyn/A 6784-2022.docx")</f>
        <v/>
      </c>
      <c r="Y737">
        <f>HYPERLINK("https://klasma.github.io/Logging_BERG/tillsynsmail/A 6784-2022.docx")</f>
        <v/>
      </c>
    </row>
    <row r="738" ht="15" customHeight="1">
      <c r="A738" t="inlineStr">
        <is>
          <t>A 9363-2022</t>
        </is>
      </c>
      <c r="B738" s="1" t="n">
        <v>44616</v>
      </c>
      <c r="C738" s="1" t="n">
        <v>45182</v>
      </c>
      <c r="D738" t="inlineStr">
        <is>
          <t>JÄMTLANDS LÄN</t>
        </is>
      </c>
      <c r="E738" t="inlineStr">
        <is>
          <t>STRÖMSUND</t>
        </is>
      </c>
      <c r="G738" t="n">
        <v>4.5</v>
      </c>
      <c r="H738" t="n">
        <v>0</v>
      </c>
      <c r="I738" t="n">
        <v>1</v>
      </c>
      <c r="J738" t="n">
        <v>1</v>
      </c>
      <c r="K738" t="n">
        <v>0</v>
      </c>
      <c r="L738" t="n">
        <v>0</v>
      </c>
      <c r="M738" t="n">
        <v>0</v>
      </c>
      <c r="N738" t="n">
        <v>0</v>
      </c>
      <c r="O738" t="n">
        <v>1</v>
      </c>
      <c r="P738" t="n">
        <v>0</v>
      </c>
      <c r="Q738" t="n">
        <v>2</v>
      </c>
      <c r="R738" s="2" t="inlineStr">
        <is>
          <t>Lunglav
Svart trolldruva</t>
        </is>
      </c>
      <c r="S738">
        <f>HYPERLINK("https://klasma.github.io/Logging_STROMSUND/artfynd/A 9363-2022.xlsx")</f>
        <v/>
      </c>
      <c r="T738">
        <f>HYPERLINK("https://klasma.github.io/Logging_STROMSUND/kartor/A 9363-2022.png")</f>
        <v/>
      </c>
      <c r="V738">
        <f>HYPERLINK("https://klasma.github.io/Logging_STROMSUND/klagomål/A 9363-2022.docx")</f>
        <v/>
      </c>
      <c r="W738">
        <f>HYPERLINK("https://klasma.github.io/Logging_STROMSUND/klagomålsmail/A 9363-2022.docx")</f>
        <v/>
      </c>
      <c r="X738">
        <f>HYPERLINK("https://klasma.github.io/Logging_STROMSUND/tillsyn/A 9363-2022.docx")</f>
        <v/>
      </c>
      <c r="Y738">
        <f>HYPERLINK("https://klasma.github.io/Logging_STROMSUND/tillsynsmail/A 9363-2022.docx")</f>
        <v/>
      </c>
    </row>
    <row r="739" ht="15" customHeight="1">
      <c r="A739" t="inlineStr">
        <is>
          <t>A 17043-2022</t>
        </is>
      </c>
      <c r="B739" s="1" t="n">
        <v>44676</v>
      </c>
      <c r="C739" s="1" t="n">
        <v>45182</v>
      </c>
      <c r="D739" t="inlineStr">
        <is>
          <t>JÄMTLANDS LÄN</t>
        </is>
      </c>
      <c r="E739" t="inlineStr">
        <is>
          <t>RAGUNDA</t>
        </is>
      </c>
      <c r="F739" t="inlineStr">
        <is>
          <t>SCA</t>
        </is>
      </c>
      <c r="G739" t="n">
        <v>3</v>
      </c>
      <c r="H739" t="n">
        <v>0</v>
      </c>
      <c r="I739" t="n">
        <v>2</v>
      </c>
      <c r="J739" t="n">
        <v>0</v>
      </c>
      <c r="K739" t="n">
        <v>0</v>
      </c>
      <c r="L739" t="n">
        <v>0</v>
      </c>
      <c r="M739" t="n">
        <v>0</v>
      </c>
      <c r="N739" t="n">
        <v>0</v>
      </c>
      <c r="O739" t="n">
        <v>0</v>
      </c>
      <c r="P739" t="n">
        <v>0</v>
      </c>
      <c r="Q739" t="n">
        <v>2</v>
      </c>
      <c r="R739" s="2" t="inlineStr">
        <is>
          <t>Skinnlav
Vedticka</t>
        </is>
      </c>
      <c r="S739">
        <f>HYPERLINK("https://klasma.github.io/Logging_RAGUNDA/artfynd/A 17043-2022.xlsx")</f>
        <v/>
      </c>
      <c r="T739">
        <f>HYPERLINK("https://klasma.github.io/Logging_RAGUNDA/kartor/A 17043-2022.png")</f>
        <v/>
      </c>
      <c r="V739">
        <f>HYPERLINK("https://klasma.github.io/Logging_RAGUNDA/klagomål/A 17043-2022.docx")</f>
        <v/>
      </c>
      <c r="W739">
        <f>HYPERLINK("https://klasma.github.io/Logging_RAGUNDA/klagomålsmail/A 17043-2022.docx")</f>
        <v/>
      </c>
      <c r="X739">
        <f>HYPERLINK("https://klasma.github.io/Logging_RAGUNDA/tillsyn/A 17043-2022.docx")</f>
        <v/>
      </c>
      <c r="Y739">
        <f>HYPERLINK("https://klasma.github.io/Logging_RAGUNDA/tillsynsmail/A 17043-2022.docx")</f>
        <v/>
      </c>
    </row>
    <row r="740" ht="15" customHeight="1">
      <c r="A740" t="inlineStr">
        <is>
          <t>A 17082-2022</t>
        </is>
      </c>
      <c r="B740" s="1" t="n">
        <v>44677</v>
      </c>
      <c r="C740" s="1" t="n">
        <v>45182</v>
      </c>
      <c r="D740" t="inlineStr">
        <is>
          <t>JÄMTLANDS LÄN</t>
        </is>
      </c>
      <c r="E740" t="inlineStr">
        <is>
          <t>HÄRJEDALEN</t>
        </is>
      </c>
      <c r="F740" t="inlineStr">
        <is>
          <t>Holmen skog AB</t>
        </is>
      </c>
      <c r="G740" t="n">
        <v>18.1</v>
      </c>
      <c r="H740" t="n">
        <v>0</v>
      </c>
      <c r="I740" t="n">
        <v>0</v>
      </c>
      <c r="J740" t="n">
        <v>2</v>
      </c>
      <c r="K740" t="n">
        <v>0</v>
      </c>
      <c r="L740" t="n">
        <v>0</v>
      </c>
      <c r="M740" t="n">
        <v>0</v>
      </c>
      <c r="N740" t="n">
        <v>0</v>
      </c>
      <c r="O740" t="n">
        <v>2</v>
      </c>
      <c r="P740" t="n">
        <v>0</v>
      </c>
      <c r="Q740" t="n">
        <v>2</v>
      </c>
      <c r="R740" s="2" t="inlineStr">
        <is>
          <t>Motaggsvamp
Orange taggsvamp</t>
        </is>
      </c>
      <c r="S740">
        <f>HYPERLINK("https://klasma.github.io/Logging_HARJEDALEN/artfynd/A 17082-2022.xlsx")</f>
        <v/>
      </c>
      <c r="T740">
        <f>HYPERLINK("https://klasma.github.io/Logging_HARJEDALEN/kartor/A 17082-2022.png")</f>
        <v/>
      </c>
      <c r="V740">
        <f>HYPERLINK("https://klasma.github.io/Logging_HARJEDALEN/klagomål/A 17082-2022.docx")</f>
        <v/>
      </c>
      <c r="W740">
        <f>HYPERLINK("https://klasma.github.io/Logging_HARJEDALEN/klagomålsmail/A 17082-2022.docx")</f>
        <v/>
      </c>
      <c r="X740">
        <f>HYPERLINK("https://klasma.github.io/Logging_HARJEDALEN/tillsyn/A 17082-2022.docx")</f>
        <v/>
      </c>
      <c r="Y740">
        <f>HYPERLINK("https://klasma.github.io/Logging_HARJEDALEN/tillsynsmail/A 17082-2022.docx")</f>
        <v/>
      </c>
    </row>
    <row r="741" ht="15" customHeight="1">
      <c r="A741" t="inlineStr">
        <is>
          <t>A 17733-2022</t>
        </is>
      </c>
      <c r="B741" s="1" t="n">
        <v>44680</v>
      </c>
      <c r="C741" s="1" t="n">
        <v>45182</v>
      </c>
      <c r="D741" t="inlineStr">
        <is>
          <t>JÄMTLANDS LÄN</t>
        </is>
      </c>
      <c r="E741" t="inlineStr">
        <is>
          <t>RAGUNDA</t>
        </is>
      </c>
      <c r="G741" t="n">
        <v>2.2</v>
      </c>
      <c r="H741" t="n">
        <v>0</v>
      </c>
      <c r="I741" t="n">
        <v>0</v>
      </c>
      <c r="J741" t="n">
        <v>2</v>
      </c>
      <c r="K741" t="n">
        <v>0</v>
      </c>
      <c r="L741" t="n">
        <v>0</v>
      </c>
      <c r="M741" t="n">
        <v>0</v>
      </c>
      <c r="N741" t="n">
        <v>0</v>
      </c>
      <c r="O741" t="n">
        <v>2</v>
      </c>
      <c r="P741" t="n">
        <v>0</v>
      </c>
      <c r="Q741" t="n">
        <v>2</v>
      </c>
      <c r="R741" s="2" t="inlineStr">
        <is>
          <t>Lunglav
Skrovellav</t>
        </is>
      </c>
      <c r="S741">
        <f>HYPERLINK("https://klasma.github.io/Logging_RAGUNDA/artfynd/A 17733-2022.xlsx")</f>
        <v/>
      </c>
      <c r="T741">
        <f>HYPERLINK("https://klasma.github.io/Logging_RAGUNDA/kartor/A 17733-2022.png")</f>
        <v/>
      </c>
      <c r="V741">
        <f>HYPERLINK("https://klasma.github.io/Logging_RAGUNDA/klagomål/A 17733-2022.docx")</f>
        <v/>
      </c>
      <c r="W741">
        <f>HYPERLINK("https://klasma.github.io/Logging_RAGUNDA/klagomålsmail/A 17733-2022.docx")</f>
        <v/>
      </c>
      <c r="X741">
        <f>HYPERLINK("https://klasma.github.io/Logging_RAGUNDA/tillsyn/A 17733-2022.docx")</f>
        <v/>
      </c>
      <c r="Y741">
        <f>HYPERLINK("https://klasma.github.io/Logging_RAGUNDA/tillsynsmail/A 17733-2022.docx")</f>
        <v/>
      </c>
    </row>
    <row r="742" ht="15" customHeight="1">
      <c r="A742" t="inlineStr">
        <is>
          <t>A 19511-2022</t>
        </is>
      </c>
      <c r="B742" s="1" t="n">
        <v>44693</v>
      </c>
      <c r="C742" s="1" t="n">
        <v>45182</v>
      </c>
      <c r="D742" t="inlineStr">
        <is>
          <t>JÄMTLANDS LÄN</t>
        </is>
      </c>
      <c r="E742" t="inlineStr">
        <is>
          <t>ÖSTERSUND</t>
        </is>
      </c>
      <c r="G742" t="n">
        <v>0.9</v>
      </c>
      <c r="H742" t="n">
        <v>0</v>
      </c>
      <c r="I742" t="n">
        <v>0</v>
      </c>
      <c r="J742" t="n">
        <v>2</v>
      </c>
      <c r="K742" t="n">
        <v>0</v>
      </c>
      <c r="L742" t="n">
        <v>0</v>
      </c>
      <c r="M742" t="n">
        <v>0</v>
      </c>
      <c r="N742" t="n">
        <v>0</v>
      </c>
      <c r="O742" t="n">
        <v>2</v>
      </c>
      <c r="P742" t="n">
        <v>0</v>
      </c>
      <c r="Q742" t="n">
        <v>2</v>
      </c>
      <c r="R742" s="2" t="inlineStr">
        <is>
          <t>Garnlav
Ullticka</t>
        </is>
      </c>
      <c r="S742">
        <f>HYPERLINK("https://klasma.github.io/Logging_OSTERSUND/artfynd/A 19511-2022.xlsx")</f>
        <v/>
      </c>
      <c r="T742">
        <f>HYPERLINK("https://klasma.github.io/Logging_OSTERSUND/kartor/A 19511-2022.png")</f>
        <v/>
      </c>
      <c r="U742">
        <f>HYPERLINK("https://klasma.github.io/Logging_OSTERSUND/knärot/A 19511-2022.png")</f>
        <v/>
      </c>
      <c r="V742">
        <f>HYPERLINK("https://klasma.github.io/Logging_OSTERSUND/klagomål/A 19511-2022.docx")</f>
        <v/>
      </c>
      <c r="W742">
        <f>HYPERLINK("https://klasma.github.io/Logging_OSTERSUND/klagomålsmail/A 19511-2022.docx")</f>
        <v/>
      </c>
      <c r="X742">
        <f>HYPERLINK("https://klasma.github.io/Logging_OSTERSUND/tillsyn/A 19511-2022.docx")</f>
        <v/>
      </c>
      <c r="Y742">
        <f>HYPERLINK("https://klasma.github.io/Logging_OSTERSUND/tillsynsmail/A 19511-2022.docx")</f>
        <v/>
      </c>
    </row>
    <row r="743" ht="15" customHeight="1">
      <c r="A743" t="inlineStr">
        <is>
          <t>A 21006-2022</t>
        </is>
      </c>
      <c r="B743" s="1" t="n">
        <v>44701</v>
      </c>
      <c r="C743" s="1" t="n">
        <v>45182</v>
      </c>
      <c r="D743" t="inlineStr">
        <is>
          <t>JÄMTLANDS LÄN</t>
        </is>
      </c>
      <c r="E743" t="inlineStr">
        <is>
          <t>ÅRE</t>
        </is>
      </c>
      <c r="G743" t="n">
        <v>5.5</v>
      </c>
      <c r="H743" t="n">
        <v>0</v>
      </c>
      <c r="I743" t="n">
        <v>0</v>
      </c>
      <c r="J743" t="n">
        <v>2</v>
      </c>
      <c r="K743" t="n">
        <v>0</v>
      </c>
      <c r="L743" t="n">
        <v>0</v>
      </c>
      <c r="M743" t="n">
        <v>0</v>
      </c>
      <c r="N743" t="n">
        <v>0</v>
      </c>
      <c r="O743" t="n">
        <v>2</v>
      </c>
      <c r="P743" t="n">
        <v>0</v>
      </c>
      <c r="Q743" t="n">
        <v>2</v>
      </c>
      <c r="R743" s="2" t="inlineStr">
        <is>
          <t>Gammelgransskål
Granticka</t>
        </is>
      </c>
      <c r="S743">
        <f>HYPERLINK("https://klasma.github.io/Logging_ARE/artfynd/A 21006-2022.xlsx")</f>
        <v/>
      </c>
      <c r="T743">
        <f>HYPERLINK("https://klasma.github.io/Logging_ARE/kartor/A 21006-2022.png")</f>
        <v/>
      </c>
      <c r="V743">
        <f>HYPERLINK("https://klasma.github.io/Logging_ARE/klagomål/A 21006-2022.docx")</f>
        <v/>
      </c>
      <c r="W743">
        <f>HYPERLINK("https://klasma.github.io/Logging_ARE/klagomålsmail/A 21006-2022.docx")</f>
        <v/>
      </c>
      <c r="X743">
        <f>HYPERLINK("https://klasma.github.io/Logging_ARE/tillsyn/A 21006-2022.docx")</f>
        <v/>
      </c>
      <c r="Y743">
        <f>HYPERLINK("https://klasma.github.io/Logging_ARE/tillsynsmail/A 21006-2022.docx")</f>
        <v/>
      </c>
    </row>
    <row r="744" ht="15" customHeight="1">
      <c r="A744" t="inlineStr">
        <is>
          <t>A 22231-2022</t>
        </is>
      </c>
      <c r="B744" s="1" t="n">
        <v>44712</v>
      </c>
      <c r="C744" s="1" t="n">
        <v>45182</v>
      </c>
      <c r="D744" t="inlineStr">
        <is>
          <t>JÄMTLANDS LÄN</t>
        </is>
      </c>
      <c r="E744" t="inlineStr">
        <is>
          <t>ÅRE</t>
        </is>
      </c>
      <c r="G744" t="n">
        <v>15</v>
      </c>
      <c r="H744" t="n">
        <v>0</v>
      </c>
      <c r="I744" t="n">
        <v>0</v>
      </c>
      <c r="J744" t="n">
        <v>2</v>
      </c>
      <c r="K744" t="n">
        <v>0</v>
      </c>
      <c r="L744" t="n">
        <v>0</v>
      </c>
      <c r="M744" t="n">
        <v>0</v>
      </c>
      <c r="N744" t="n">
        <v>0</v>
      </c>
      <c r="O744" t="n">
        <v>2</v>
      </c>
      <c r="P744" t="n">
        <v>0</v>
      </c>
      <c r="Q744" t="n">
        <v>2</v>
      </c>
      <c r="R744" s="2" t="inlineStr">
        <is>
          <t>Gammelgransskål
Granticka</t>
        </is>
      </c>
      <c r="S744">
        <f>HYPERLINK("https://klasma.github.io/Logging_ARE/artfynd/A 22231-2022.xlsx")</f>
        <v/>
      </c>
      <c r="T744">
        <f>HYPERLINK("https://klasma.github.io/Logging_ARE/kartor/A 22231-2022.png")</f>
        <v/>
      </c>
      <c r="V744">
        <f>HYPERLINK("https://klasma.github.io/Logging_ARE/klagomål/A 22231-2022.docx")</f>
        <v/>
      </c>
      <c r="W744">
        <f>HYPERLINK("https://klasma.github.io/Logging_ARE/klagomålsmail/A 22231-2022.docx")</f>
        <v/>
      </c>
      <c r="X744">
        <f>HYPERLINK("https://klasma.github.io/Logging_ARE/tillsyn/A 22231-2022.docx")</f>
        <v/>
      </c>
      <c r="Y744">
        <f>HYPERLINK("https://klasma.github.io/Logging_ARE/tillsynsmail/A 22231-2022.docx")</f>
        <v/>
      </c>
    </row>
    <row r="745" ht="15" customHeight="1">
      <c r="A745" t="inlineStr">
        <is>
          <t>A 22464-2022</t>
        </is>
      </c>
      <c r="B745" s="1" t="n">
        <v>44713</v>
      </c>
      <c r="C745" s="1" t="n">
        <v>45182</v>
      </c>
      <c r="D745" t="inlineStr">
        <is>
          <t>JÄMTLANDS LÄN</t>
        </is>
      </c>
      <c r="E745" t="inlineStr">
        <is>
          <t>HÄRJEDALEN</t>
        </is>
      </c>
      <c r="F745" t="inlineStr">
        <is>
          <t>Sveaskog</t>
        </is>
      </c>
      <c r="G745" t="n">
        <v>4.3</v>
      </c>
      <c r="H745" t="n">
        <v>0</v>
      </c>
      <c r="I745" t="n">
        <v>1</v>
      </c>
      <c r="J745" t="n">
        <v>1</v>
      </c>
      <c r="K745" t="n">
        <v>0</v>
      </c>
      <c r="L745" t="n">
        <v>0</v>
      </c>
      <c r="M745" t="n">
        <v>0</v>
      </c>
      <c r="N745" t="n">
        <v>0</v>
      </c>
      <c r="O745" t="n">
        <v>1</v>
      </c>
      <c r="P745" t="n">
        <v>0</v>
      </c>
      <c r="Q745" t="n">
        <v>2</v>
      </c>
      <c r="R745" s="2" t="inlineStr">
        <is>
          <t>Lunglav
Dropptaggsvamp</t>
        </is>
      </c>
      <c r="S745">
        <f>HYPERLINK("https://klasma.github.io/Logging_HARJEDALEN/artfynd/A 22464-2022.xlsx")</f>
        <v/>
      </c>
      <c r="T745">
        <f>HYPERLINK("https://klasma.github.io/Logging_HARJEDALEN/kartor/A 22464-2022.png")</f>
        <v/>
      </c>
      <c r="U745">
        <f>HYPERLINK("https://klasma.github.io/Logging_HARJEDALEN/knärot/A 22464-2022.png")</f>
        <v/>
      </c>
      <c r="V745">
        <f>HYPERLINK("https://klasma.github.io/Logging_HARJEDALEN/klagomål/A 22464-2022.docx")</f>
        <v/>
      </c>
      <c r="W745">
        <f>HYPERLINK("https://klasma.github.io/Logging_HARJEDALEN/klagomålsmail/A 22464-2022.docx")</f>
        <v/>
      </c>
      <c r="X745">
        <f>HYPERLINK("https://klasma.github.io/Logging_HARJEDALEN/tillsyn/A 22464-2022.docx")</f>
        <v/>
      </c>
      <c r="Y745">
        <f>HYPERLINK("https://klasma.github.io/Logging_HARJEDALEN/tillsynsmail/A 22464-2022.docx")</f>
        <v/>
      </c>
    </row>
    <row r="746" ht="15" customHeight="1">
      <c r="A746" t="inlineStr">
        <is>
          <t>A 22974-2022</t>
        </is>
      </c>
      <c r="B746" s="1" t="n">
        <v>44716</v>
      </c>
      <c r="C746" s="1" t="n">
        <v>45182</v>
      </c>
      <c r="D746" t="inlineStr">
        <is>
          <t>JÄMTLANDS LÄN</t>
        </is>
      </c>
      <c r="E746" t="inlineStr">
        <is>
          <t>ÅRE</t>
        </is>
      </c>
      <c r="G746" t="n">
        <v>8.300000000000001</v>
      </c>
      <c r="H746" t="n">
        <v>1</v>
      </c>
      <c r="I746" t="n">
        <v>2</v>
      </c>
      <c r="J746" t="n">
        <v>0</v>
      </c>
      <c r="K746" t="n">
        <v>0</v>
      </c>
      <c r="L746" t="n">
        <v>0</v>
      </c>
      <c r="M746" t="n">
        <v>0</v>
      </c>
      <c r="N746" t="n">
        <v>0</v>
      </c>
      <c r="O746" t="n">
        <v>0</v>
      </c>
      <c r="P746" t="n">
        <v>0</v>
      </c>
      <c r="Q746" t="n">
        <v>2</v>
      </c>
      <c r="R746" s="2" t="inlineStr">
        <is>
          <t>Spindelblomster
Ögonpyrola</t>
        </is>
      </c>
      <c r="S746">
        <f>HYPERLINK("https://klasma.github.io/Logging_ARE/artfynd/A 22974-2022.xlsx")</f>
        <v/>
      </c>
      <c r="T746">
        <f>HYPERLINK("https://klasma.github.io/Logging_ARE/kartor/A 22974-2022.png")</f>
        <v/>
      </c>
      <c r="V746">
        <f>HYPERLINK("https://klasma.github.io/Logging_ARE/klagomål/A 22974-2022.docx")</f>
        <v/>
      </c>
      <c r="W746">
        <f>HYPERLINK("https://klasma.github.io/Logging_ARE/klagomålsmail/A 22974-2022.docx")</f>
        <v/>
      </c>
      <c r="X746">
        <f>HYPERLINK("https://klasma.github.io/Logging_ARE/tillsyn/A 22974-2022.docx")</f>
        <v/>
      </c>
      <c r="Y746">
        <f>HYPERLINK("https://klasma.github.io/Logging_ARE/tillsynsmail/A 22974-2022.docx")</f>
        <v/>
      </c>
    </row>
    <row r="747" ht="15" customHeight="1">
      <c r="A747" t="inlineStr">
        <is>
          <t>A 22973-2022</t>
        </is>
      </c>
      <c r="B747" s="1" t="n">
        <v>44716</v>
      </c>
      <c r="C747" s="1" t="n">
        <v>45182</v>
      </c>
      <c r="D747" t="inlineStr">
        <is>
          <t>JÄMTLANDS LÄN</t>
        </is>
      </c>
      <c r="E747" t="inlineStr">
        <is>
          <t>ÅRE</t>
        </is>
      </c>
      <c r="G747" t="n">
        <v>15.2</v>
      </c>
      <c r="H747" t="n">
        <v>0</v>
      </c>
      <c r="I747" t="n">
        <v>1</v>
      </c>
      <c r="J747" t="n">
        <v>1</v>
      </c>
      <c r="K747" t="n">
        <v>0</v>
      </c>
      <c r="L747" t="n">
        <v>0</v>
      </c>
      <c r="M747" t="n">
        <v>0</v>
      </c>
      <c r="N747" t="n">
        <v>0</v>
      </c>
      <c r="O747" t="n">
        <v>1</v>
      </c>
      <c r="P747" t="n">
        <v>0</v>
      </c>
      <c r="Q747" t="n">
        <v>2</v>
      </c>
      <c r="R747" s="2" t="inlineStr">
        <is>
          <t>Garnlav
Svavelriska</t>
        </is>
      </c>
      <c r="S747">
        <f>HYPERLINK("https://klasma.github.io/Logging_ARE/artfynd/A 22973-2022.xlsx")</f>
        <v/>
      </c>
      <c r="T747">
        <f>HYPERLINK("https://klasma.github.io/Logging_ARE/kartor/A 22973-2022.png")</f>
        <v/>
      </c>
      <c r="V747">
        <f>HYPERLINK("https://klasma.github.io/Logging_ARE/klagomål/A 22973-2022.docx")</f>
        <v/>
      </c>
      <c r="W747">
        <f>HYPERLINK("https://klasma.github.io/Logging_ARE/klagomålsmail/A 22973-2022.docx")</f>
        <v/>
      </c>
      <c r="X747">
        <f>HYPERLINK("https://klasma.github.io/Logging_ARE/tillsyn/A 22973-2022.docx")</f>
        <v/>
      </c>
      <c r="Y747">
        <f>HYPERLINK("https://klasma.github.io/Logging_ARE/tillsynsmail/A 22973-2022.docx")</f>
        <v/>
      </c>
    </row>
    <row r="748" ht="15" customHeight="1">
      <c r="A748" t="inlineStr">
        <is>
          <t>A 25014-2022</t>
        </is>
      </c>
      <c r="B748" s="1" t="n">
        <v>44728</v>
      </c>
      <c r="C748" s="1" t="n">
        <v>45182</v>
      </c>
      <c r="D748" t="inlineStr">
        <is>
          <t>JÄMTLANDS LÄN</t>
        </is>
      </c>
      <c r="E748" t="inlineStr">
        <is>
          <t>STRÖMSUND</t>
        </is>
      </c>
      <c r="F748" t="inlineStr">
        <is>
          <t>SCA</t>
        </is>
      </c>
      <c r="G748" t="n">
        <v>2.7</v>
      </c>
      <c r="H748" t="n">
        <v>0</v>
      </c>
      <c r="I748" t="n">
        <v>0</v>
      </c>
      <c r="J748" t="n">
        <v>1</v>
      </c>
      <c r="K748" t="n">
        <v>1</v>
      </c>
      <c r="L748" t="n">
        <v>0</v>
      </c>
      <c r="M748" t="n">
        <v>0</v>
      </c>
      <c r="N748" t="n">
        <v>0</v>
      </c>
      <c r="O748" t="n">
        <v>2</v>
      </c>
      <c r="P748" t="n">
        <v>1</v>
      </c>
      <c r="Q748" t="n">
        <v>2</v>
      </c>
      <c r="R748" s="2" t="inlineStr">
        <is>
          <t>Rynkskinn
Ullticka</t>
        </is>
      </c>
      <c r="S748">
        <f>HYPERLINK("https://klasma.github.io/Logging_STROMSUND/artfynd/A 25014-2022.xlsx")</f>
        <v/>
      </c>
      <c r="T748">
        <f>HYPERLINK("https://klasma.github.io/Logging_STROMSUND/kartor/A 25014-2022.png")</f>
        <v/>
      </c>
      <c r="V748">
        <f>HYPERLINK("https://klasma.github.io/Logging_STROMSUND/klagomål/A 25014-2022.docx")</f>
        <v/>
      </c>
      <c r="W748">
        <f>HYPERLINK("https://klasma.github.io/Logging_STROMSUND/klagomålsmail/A 25014-2022.docx")</f>
        <v/>
      </c>
      <c r="X748">
        <f>HYPERLINK("https://klasma.github.io/Logging_STROMSUND/tillsyn/A 25014-2022.docx")</f>
        <v/>
      </c>
      <c r="Y748">
        <f>HYPERLINK("https://klasma.github.io/Logging_STROMSUND/tillsynsmail/A 25014-2022.docx")</f>
        <v/>
      </c>
    </row>
    <row r="749" ht="15" customHeight="1">
      <c r="A749" t="inlineStr">
        <is>
          <t>A 27944-2022</t>
        </is>
      </c>
      <c r="B749" s="1" t="n">
        <v>44743</v>
      </c>
      <c r="C749" s="1" t="n">
        <v>45182</v>
      </c>
      <c r="D749" t="inlineStr">
        <is>
          <t>JÄMTLANDS LÄN</t>
        </is>
      </c>
      <c r="E749" t="inlineStr">
        <is>
          <t>BRÄCKE</t>
        </is>
      </c>
      <c r="F749" t="inlineStr">
        <is>
          <t>SCA</t>
        </is>
      </c>
      <c r="G749" t="n">
        <v>3</v>
      </c>
      <c r="H749" t="n">
        <v>0</v>
      </c>
      <c r="I749" t="n">
        <v>0</v>
      </c>
      <c r="J749" t="n">
        <v>2</v>
      </c>
      <c r="K749" t="n">
        <v>0</v>
      </c>
      <c r="L749" t="n">
        <v>0</v>
      </c>
      <c r="M749" t="n">
        <v>0</v>
      </c>
      <c r="N749" t="n">
        <v>0</v>
      </c>
      <c r="O749" t="n">
        <v>2</v>
      </c>
      <c r="P749" t="n">
        <v>0</v>
      </c>
      <c r="Q749" t="n">
        <v>2</v>
      </c>
      <c r="R749" s="2" t="inlineStr">
        <is>
          <t>Lunglav
Skrovellav</t>
        </is>
      </c>
      <c r="S749">
        <f>HYPERLINK("https://klasma.github.io/Logging_BRACKE/artfynd/A 27944-2022.xlsx")</f>
        <v/>
      </c>
      <c r="T749">
        <f>HYPERLINK("https://klasma.github.io/Logging_BRACKE/kartor/A 27944-2022.png")</f>
        <v/>
      </c>
      <c r="V749">
        <f>HYPERLINK("https://klasma.github.io/Logging_BRACKE/klagomål/A 27944-2022.docx")</f>
        <v/>
      </c>
      <c r="W749">
        <f>HYPERLINK("https://klasma.github.io/Logging_BRACKE/klagomålsmail/A 27944-2022.docx")</f>
        <v/>
      </c>
      <c r="X749">
        <f>HYPERLINK("https://klasma.github.io/Logging_BRACKE/tillsyn/A 27944-2022.docx")</f>
        <v/>
      </c>
      <c r="Y749">
        <f>HYPERLINK("https://klasma.github.io/Logging_BRACKE/tillsynsmail/A 27944-2022.docx")</f>
        <v/>
      </c>
    </row>
    <row r="750" ht="15" customHeight="1">
      <c r="A750" t="inlineStr">
        <is>
          <t>A 29301-2022</t>
        </is>
      </c>
      <c r="B750" s="1" t="n">
        <v>44750</v>
      </c>
      <c r="C750" s="1" t="n">
        <v>45182</v>
      </c>
      <c r="D750" t="inlineStr">
        <is>
          <t>JÄMTLANDS LÄN</t>
        </is>
      </c>
      <c r="E750" t="inlineStr">
        <is>
          <t>STRÖMSUND</t>
        </is>
      </c>
      <c r="F750" t="inlineStr">
        <is>
          <t>SCA</t>
        </is>
      </c>
      <c r="G750" t="n">
        <v>6.8</v>
      </c>
      <c r="H750" t="n">
        <v>0</v>
      </c>
      <c r="I750" t="n">
        <v>1</v>
      </c>
      <c r="J750" t="n">
        <v>1</v>
      </c>
      <c r="K750" t="n">
        <v>0</v>
      </c>
      <c r="L750" t="n">
        <v>0</v>
      </c>
      <c r="M750" t="n">
        <v>0</v>
      </c>
      <c r="N750" t="n">
        <v>0</v>
      </c>
      <c r="O750" t="n">
        <v>1</v>
      </c>
      <c r="P750" t="n">
        <v>0</v>
      </c>
      <c r="Q750" t="n">
        <v>2</v>
      </c>
      <c r="R750" s="2" t="inlineStr">
        <is>
          <t>Vitgrynig nållav
Källmossa</t>
        </is>
      </c>
      <c r="S750">
        <f>HYPERLINK("https://klasma.github.io/Logging_STROMSUND/artfynd/A 29301-2022.xlsx")</f>
        <v/>
      </c>
      <c r="T750">
        <f>HYPERLINK("https://klasma.github.io/Logging_STROMSUND/kartor/A 29301-2022.png")</f>
        <v/>
      </c>
      <c r="V750">
        <f>HYPERLINK("https://klasma.github.io/Logging_STROMSUND/klagomål/A 29301-2022.docx")</f>
        <v/>
      </c>
      <c r="W750">
        <f>HYPERLINK("https://klasma.github.io/Logging_STROMSUND/klagomålsmail/A 29301-2022.docx")</f>
        <v/>
      </c>
      <c r="X750">
        <f>HYPERLINK("https://klasma.github.io/Logging_STROMSUND/tillsyn/A 29301-2022.docx")</f>
        <v/>
      </c>
      <c r="Y750">
        <f>HYPERLINK("https://klasma.github.io/Logging_STROMSUND/tillsynsmail/A 29301-2022.docx")</f>
        <v/>
      </c>
    </row>
    <row r="751" ht="15" customHeight="1">
      <c r="A751" t="inlineStr">
        <is>
          <t>A 29302-2022</t>
        </is>
      </c>
      <c r="B751" s="1" t="n">
        <v>44750</v>
      </c>
      <c r="C751" s="1" t="n">
        <v>45182</v>
      </c>
      <c r="D751" t="inlineStr">
        <is>
          <t>JÄMTLANDS LÄN</t>
        </is>
      </c>
      <c r="E751" t="inlineStr">
        <is>
          <t>STRÖMSUND</t>
        </is>
      </c>
      <c r="F751" t="inlineStr">
        <is>
          <t>SCA</t>
        </is>
      </c>
      <c r="G751" t="n">
        <v>1.9</v>
      </c>
      <c r="H751" t="n">
        <v>0</v>
      </c>
      <c r="I751" t="n">
        <v>0</v>
      </c>
      <c r="J751" t="n">
        <v>1</v>
      </c>
      <c r="K751" t="n">
        <v>1</v>
      </c>
      <c r="L751" t="n">
        <v>0</v>
      </c>
      <c r="M751" t="n">
        <v>0</v>
      </c>
      <c r="N751" t="n">
        <v>0</v>
      </c>
      <c r="O751" t="n">
        <v>2</v>
      </c>
      <c r="P751" t="n">
        <v>1</v>
      </c>
      <c r="Q751" t="n">
        <v>2</v>
      </c>
      <c r="R751" s="2" t="inlineStr">
        <is>
          <t>Ostticka
Garnlav</t>
        </is>
      </c>
      <c r="S751">
        <f>HYPERLINK("https://klasma.github.io/Logging_STROMSUND/artfynd/A 29302-2022.xlsx")</f>
        <v/>
      </c>
      <c r="T751">
        <f>HYPERLINK("https://klasma.github.io/Logging_STROMSUND/kartor/A 29302-2022.png")</f>
        <v/>
      </c>
      <c r="V751">
        <f>HYPERLINK("https://klasma.github.io/Logging_STROMSUND/klagomål/A 29302-2022.docx")</f>
        <v/>
      </c>
      <c r="W751">
        <f>HYPERLINK("https://klasma.github.io/Logging_STROMSUND/klagomålsmail/A 29302-2022.docx")</f>
        <v/>
      </c>
      <c r="X751">
        <f>HYPERLINK("https://klasma.github.io/Logging_STROMSUND/tillsyn/A 29302-2022.docx")</f>
        <v/>
      </c>
      <c r="Y751">
        <f>HYPERLINK("https://klasma.github.io/Logging_STROMSUND/tillsynsmail/A 29302-2022.docx")</f>
        <v/>
      </c>
    </row>
    <row r="752" ht="15" customHeight="1">
      <c r="A752" t="inlineStr">
        <is>
          <t>A 30060-2022</t>
        </is>
      </c>
      <c r="B752" s="1" t="n">
        <v>44757</v>
      </c>
      <c r="C752" s="1" t="n">
        <v>45182</v>
      </c>
      <c r="D752" t="inlineStr">
        <is>
          <t>JÄMTLANDS LÄN</t>
        </is>
      </c>
      <c r="E752" t="inlineStr">
        <is>
          <t>KROKOM</t>
        </is>
      </c>
      <c r="G752" t="n">
        <v>0.6</v>
      </c>
      <c r="H752" t="n">
        <v>1</v>
      </c>
      <c r="I752" t="n">
        <v>0</v>
      </c>
      <c r="J752" t="n">
        <v>2</v>
      </c>
      <c r="K752" t="n">
        <v>0</v>
      </c>
      <c r="L752" t="n">
        <v>0</v>
      </c>
      <c r="M752" t="n">
        <v>0</v>
      </c>
      <c r="N752" t="n">
        <v>0</v>
      </c>
      <c r="O752" t="n">
        <v>2</v>
      </c>
      <c r="P752" t="n">
        <v>0</v>
      </c>
      <c r="Q752" t="n">
        <v>2</v>
      </c>
      <c r="R752" s="2" t="inlineStr">
        <is>
          <t>Tretåig hackspett
Ullticka</t>
        </is>
      </c>
      <c r="S752">
        <f>HYPERLINK("https://klasma.github.io/Logging_KROKOM/artfynd/A 30060-2022.xlsx")</f>
        <v/>
      </c>
      <c r="T752">
        <f>HYPERLINK("https://klasma.github.io/Logging_KROKOM/kartor/A 30060-2022.png")</f>
        <v/>
      </c>
      <c r="V752">
        <f>HYPERLINK("https://klasma.github.io/Logging_KROKOM/klagomål/A 30060-2022.docx")</f>
        <v/>
      </c>
      <c r="W752">
        <f>HYPERLINK("https://klasma.github.io/Logging_KROKOM/klagomålsmail/A 30060-2022.docx")</f>
        <v/>
      </c>
      <c r="X752">
        <f>HYPERLINK("https://klasma.github.io/Logging_KROKOM/tillsyn/A 30060-2022.docx")</f>
        <v/>
      </c>
      <c r="Y752">
        <f>HYPERLINK("https://klasma.github.io/Logging_KROKOM/tillsynsmail/A 30060-2022.docx")</f>
        <v/>
      </c>
    </row>
    <row r="753" ht="15" customHeight="1">
      <c r="A753" t="inlineStr">
        <is>
          <t>A 30607-2022</t>
        </is>
      </c>
      <c r="B753" s="1" t="n">
        <v>44762</v>
      </c>
      <c r="C753" s="1" t="n">
        <v>45182</v>
      </c>
      <c r="D753" t="inlineStr">
        <is>
          <t>JÄMTLANDS LÄN</t>
        </is>
      </c>
      <c r="E753" t="inlineStr">
        <is>
          <t>BRÄCKE</t>
        </is>
      </c>
      <c r="F753" t="inlineStr">
        <is>
          <t>SCA</t>
        </is>
      </c>
      <c r="G753" t="n">
        <v>1</v>
      </c>
      <c r="H753" t="n">
        <v>0</v>
      </c>
      <c r="I753" t="n">
        <v>0</v>
      </c>
      <c r="J753" t="n">
        <v>2</v>
      </c>
      <c r="K753" t="n">
        <v>0</v>
      </c>
      <c r="L753" t="n">
        <v>0</v>
      </c>
      <c r="M753" t="n">
        <v>0</v>
      </c>
      <c r="N753" t="n">
        <v>0</v>
      </c>
      <c r="O753" t="n">
        <v>2</v>
      </c>
      <c r="P753" t="n">
        <v>0</v>
      </c>
      <c r="Q753" t="n">
        <v>2</v>
      </c>
      <c r="R753" s="2" t="inlineStr">
        <is>
          <t>Bredbrämad bastardsvärmare
Brunklöver</t>
        </is>
      </c>
      <c r="S753">
        <f>HYPERLINK("https://klasma.github.io/Logging_BRACKE/artfynd/A 30607-2022.xlsx")</f>
        <v/>
      </c>
      <c r="T753">
        <f>HYPERLINK("https://klasma.github.io/Logging_BRACKE/kartor/A 30607-2022.png")</f>
        <v/>
      </c>
      <c r="V753">
        <f>HYPERLINK("https://klasma.github.io/Logging_BRACKE/klagomål/A 30607-2022.docx")</f>
        <v/>
      </c>
      <c r="W753">
        <f>HYPERLINK("https://klasma.github.io/Logging_BRACKE/klagomålsmail/A 30607-2022.docx")</f>
        <v/>
      </c>
      <c r="X753">
        <f>HYPERLINK("https://klasma.github.io/Logging_BRACKE/tillsyn/A 30607-2022.docx")</f>
        <v/>
      </c>
      <c r="Y753">
        <f>HYPERLINK("https://klasma.github.io/Logging_BRACKE/tillsynsmail/A 30607-2022.docx")</f>
        <v/>
      </c>
    </row>
    <row r="754" ht="15" customHeight="1">
      <c r="A754" t="inlineStr">
        <is>
          <t>A 31455-2022</t>
        </is>
      </c>
      <c r="B754" s="1" t="n">
        <v>44774</v>
      </c>
      <c r="C754" s="1" t="n">
        <v>45182</v>
      </c>
      <c r="D754" t="inlineStr">
        <is>
          <t>JÄMTLANDS LÄN</t>
        </is>
      </c>
      <c r="E754" t="inlineStr">
        <is>
          <t>BRÄCKE</t>
        </is>
      </c>
      <c r="F754" t="inlineStr">
        <is>
          <t>SCA</t>
        </is>
      </c>
      <c r="G754" t="n">
        <v>5.5</v>
      </c>
      <c r="H754" t="n">
        <v>1</v>
      </c>
      <c r="I754" t="n">
        <v>0</v>
      </c>
      <c r="J754" t="n">
        <v>1</v>
      </c>
      <c r="K754" t="n">
        <v>0</v>
      </c>
      <c r="L754" t="n">
        <v>0</v>
      </c>
      <c r="M754" t="n">
        <v>0</v>
      </c>
      <c r="N754" t="n">
        <v>0</v>
      </c>
      <c r="O754" t="n">
        <v>1</v>
      </c>
      <c r="P754" t="n">
        <v>0</v>
      </c>
      <c r="Q754" t="n">
        <v>2</v>
      </c>
      <c r="R754" s="2" t="inlineStr">
        <is>
          <t>Lunglav
Revlummer</t>
        </is>
      </c>
      <c r="S754">
        <f>HYPERLINK("https://klasma.github.io/Logging_BRACKE/artfynd/A 31455-2022.xlsx")</f>
        <v/>
      </c>
      <c r="T754">
        <f>HYPERLINK("https://klasma.github.io/Logging_BRACKE/kartor/A 31455-2022.png")</f>
        <v/>
      </c>
      <c r="V754">
        <f>HYPERLINK("https://klasma.github.io/Logging_BRACKE/klagomål/A 31455-2022.docx")</f>
        <v/>
      </c>
      <c r="W754">
        <f>HYPERLINK("https://klasma.github.io/Logging_BRACKE/klagomålsmail/A 31455-2022.docx")</f>
        <v/>
      </c>
      <c r="X754">
        <f>HYPERLINK("https://klasma.github.io/Logging_BRACKE/tillsyn/A 31455-2022.docx")</f>
        <v/>
      </c>
      <c r="Y754">
        <f>HYPERLINK("https://klasma.github.io/Logging_BRACKE/tillsynsmail/A 31455-2022.docx")</f>
        <v/>
      </c>
    </row>
    <row r="755" ht="15" customHeight="1">
      <c r="A755" t="inlineStr">
        <is>
          <t>A 32207-2022</t>
        </is>
      </c>
      <c r="B755" s="1" t="n">
        <v>44781</v>
      </c>
      <c r="C755" s="1" t="n">
        <v>45182</v>
      </c>
      <c r="D755" t="inlineStr">
        <is>
          <t>JÄMTLANDS LÄN</t>
        </is>
      </c>
      <c r="E755" t="inlineStr">
        <is>
          <t>ÅRE</t>
        </is>
      </c>
      <c r="G755" t="n">
        <v>5.5</v>
      </c>
      <c r="H755" t="n">
        <v>1</v>
      </c>
      <c r="I755" t="n">
        <v>2</v>
      </c>
      <c r="J755" t="n">
        <v>0</v>
      </c>
      <c r="K755" t="n">
        <v>0</v>
      </c>
      <c r="L755" t="n">
        <v>0</v>
      </c>
      <c r="M755" t="n">
        <v>0</v>
      </c>
      <c r="N755" t="n">
        <v>0</v>
      </c>
      <c r="O755" t="n">
        <v>0</v>
      </c>
      <c r="P755" t="n">
        <v>0</v>
      </c>
      <c r="Q755" t="n">
        <v>2</v>
      </c>
      <c r="R755" s="2" t="inlineStr">
        <is>
          <t>Korallrot
Ögonpyrola</t>
        </is>
      </c>
      <c r="S755">
        <f>HYPERLINK("https://klasma.github.io/Logging_ARE/artfynd/A 32207-2022.xlsx")</f>
        <v/>
      </c>
      <c r="T755">
        <f>HYPERLINK("https://klasma.github.io/Logging_ARE/kartor/A 32207-2022.png")</f>
        <v/>
      </c>
      <c r="V755">
        <f>HYPERLINK("https://klasma.github.io/Logging_ARE/klagomål/A 32207-2022.docx")</f>
        <v/>
      </c>
      <c r="W755">
        <f>HYPERLINK("https://klasma.github.io/Logging_ARE/klagomålsmail/A 32207-2022.docx")</f>
        <v/>
      </c>
      <c r="X755">
        <f>HYPERLINK("https://klasma.github.io/Logging_ARE/tillsyn/A 32207-2022.docx")</f>
        <v/>
      </c>
      <c r="Y755">
        <f>HYPERLINK("https://klasma.github.io/Logging_ARE/tillsynsmail/A 32207-2022.docx")</f>
        <v/>
      </c>
    </row>
    <row r="756" ht="15" customHeight="1">
      <c r="A756" t="inlineStr">
        <is>
          <t>A 32507-2022</t>
        </is>
      </c>
      <c r="B756" s="1" t="n">
        <v>44782</v>
      </c>
      <c r="C756" s="1" t="n">
        <v>45182</v>
      </c>
      <c r="D756" t="inlineStr">
        <is>
          <t>JÄMTLANDS LÄN</t>
        </is>
      </c>
      <c r="E756" t="inlineStr">
        <is>
          <t>BRÄCKE</t>
        </is>
      </c>
      <c r="G756" t="n">
        <v>5.8</v>
      </c>
      <c r="H756" t="n">
        <v>1</v>
      </c>
      <c r="I756" t="n">
        <v>0</v>
      </c>
      <c r="J756" t="n">
        <v>1</v>
      </c>
      <c r="K756" t="n">
        <v>1</v>
      </c>
      <c r="L756" t="n">
        <v>0</v>
      </c>
      <c r="M756" t="n">
        <v>0</v>
      </c>
      <c r="N756" t="n">
        <v>0</v>
      </c>
      <c r="O756" t="n">
        <v>2</v>
      </c>
      <c r="P756" t="n">
        <v>1</v>
      </c>
      <c r="Q756" t="n">
        <v>2</v>
      </c>
      <c r="R756" s="2" t="inlineStr">
        <is>
          <t>Knärot
Ullticka</t>
        </is>
      </c>
      <c r="S756">
        <f>HYPERLINK("https://klasma.github.io/Logging_BRACKE/artfynd/A 32507-2022.xlsx")</f>
        <v/>
      </c>
      <c r="T756">
        <f>HYPERLINK("https://klasma.github.io/Logging_BRACKE/kartor/A 32507-2022.png")</f>
        <v/>
      </c>
      <c r="U756">
        <f>HYPERLINK("https://klasma.github.io/Logging_BRACKE/knärot/A 32507-2022.png")</f>
        <v/>
      </c>
      <c r="V756">
        <f>HYPERLINK("https://klasma.github.io/Logging_BRACKE/klagomål/A 32507-2022.docx")</f>
        <v/>
      </c>
      <c r="W756">
        <f>HYPERLINK("https://klasma.github.io/Logging_BRACKE/klagomålsmail/A 32507-2022.docx")</f>
        <v/>
      </c>
      <c r="X756">
        <f>HYPERLINK("https://klasma.github.io/Logging_BRACKE/tillsyn/A 32507-2022.docx")</f>
        <v/>
      </c>
      <c r="Y756">
        <f>HYPERLINK("https://klasma.github.io/Logging_BRACKE/tillsynsmail/A 32507-2022.docx")</f>
        <v/>
      </c>
    </row>
    <row r="757" ht="15" customHeight="1">
      <c r="A757" t="inlineStr">
        <is>
          <t>A 35994-2022</t>
        </is>
      </c>
      <c r="B757" s="1" t="n">
        <v>44802</v>
      </c>
      <c r="C757" s="1" t="n">
        <v>45182</v>
      </c>
      <c r="D757" t="inlineStr">
        <is>
          <t>JÄMTLANDS LÄN</t>
        </is>
      </c>
      <c r="E757" t="inlineStr">
        <is>
          <t>STRÖMSUND</t>
        </is>
      </c>
      <c r="F757" t="inlineStr">
        <is>
          <t>Sveaskog</t>
        </is>
      </c>
      <c r="G757" t="n">
        <v>14.8</v>
      </c>
      <c r="H757" t="n">
        <v>1</v>
      </c>
      <c r="I757" t="n">
        <v>0</v>
      </c>
      <c r="J757" t="n">
        <v>2</v>
      </c>
      <c r="K757" t="n">
        <v>0</v>
      </c>
      <c r="L757" t="n">
        <v>0</v>
      </c>
      <c r="M757" t="n">
        <v>0</v>
      </c>
      <c r="N757" t="n">
        <v>0</v>
      </c>
      <c r="O757" t="n">
        <v>2</v>
      </c>
      <c r="P757" t="n">
        <v>0</v>
      </c>
      <c r="Q757" t="n">
        <v>2</v>
      </c>
      <c r="R757" s="2" t="inlineStr">
        <is>
          <t>Lunglav
Spillkråka</t>
        </is>
      </c>
      <c r="S757">
        <f>HYPERLINK("https://klasma.github.io/Logging_STROMSUND/artfynd/A 35994-2022.xlsx")</f>
        <v/>
      </c>
      <c r="T757">
        <f>HYPERLINK("https://klasma.github.io/Logging_STROMSUND/kartor/A 35994-2022.png")</f>
        <v/>
      </c>
      <c r="V757">
        <f>HYPERLINK("https://klasma.github.io/Logging_STROMSUND/klagomål/A 35994-2022.docx")</f>
        <v/>
      </c>
      <c r="W757">
        <f>HYPERLINK("https://klasma.github.io/Logging_STROMSUND/klagomålsmail/A 35994-2022.docx")</f>
        <v/>
      </c>
      <c r="X757">
        <f>HYPERLINK("https://klasma.github.io/Logging_STROMSUND/tillsyn/A 35994-2022.docx")</f>
        <v/>
      </c>
      <c r="Y757">
        <f>HYPERLINK("https://klasma.github.io/Logging_STROMSUND/tillsynsmail/A 35994-2022.docx")</f>
        <v/>
      </c>
    </row>
    <row r="758" ht="15" customHeight="1">
      <c r="A758" t="inlineStr">
        <is>
          <t>A 36376-2022</t>
        </is>
      </c>
      <c r="B758" s="1" t="n">
        <v>44803</v>
      </c>
      <c r="C758" s="1" t="n">
        <v>45182</v>
      </c>
      <c r="D758" t="inlineStr">
        <is>
          <t>JÄMTLANDS LÄN</t>
        </is>
      </c>
      <c r="E758" t="inlineStr">
        <is>
          <t>STRÖMSUND</t>
        </is>
      </c>
      <c r="F758" t="inlineStr">
        <is>
          <t>SCA</t>
        </is>
      </c>
      <c r="G758" t="n">
        <v>6</v>
      </c>
      <c r="H758" t="n">
        <v>0</v>
      </c>
      <c r="I758" t="n">
        <v>0</v>
      </c>
      <c r="J758" t="n">
        <v>2</v>
      </c>
      <c r="K758" t="n">
        <v>0</v>
      </c>
      <c r="L758" t="n">
        <v>0</v>
      </c>
      <c r="M758" t="n">
        <v>0</v>
      </c>
      <c r="N758" t="n">
        <v>0</v>
      </c>
      <c r="O758" t="n">
        <v>2</v>
      </c>
      <c r="P758" t="n">
        <v>0</v>
      </c>
      <c r="Q758" t="n">
        <v>2</v>
      </c>
      <c r="R758" s="2" t="inlineStr">
        <is>
          <t>Lunglav
Skrovellav</t>
        </is>
      </c>
      <c r="S758">
        <f>HYPERLINK("https://klasma.github.io/Logging_STROMSUND/artfynd/A 36376-2022.xlsx")</f>
        <v/>
      </c>
      <c r="T758">
        <f>HYPERLINK("https://klasma.github.io/Logging_STROMSUND/kartor/A 36376-2022.png")</f>
        <v/>
      </c>
      <c r="V758">
        <f>HYPERLINK("https://klasma.github.io/Logging_STROMSUND/klagomål/A 36376-2022.docx")</f>
        <v/>
      </c>
      <c r="W758">
        <f>HYPERLINK("https://klasma.github.io/Logging_STROMSUND/klagomålsmail/A 36376-2022.docx")</f>
        <v/>
      </c>
      <c r="X758">
        <f>HYPERLINK("https://klasma.github.io/Logging_STROMSUND/tillsyn/A 36376-2022.docx")</f>
        <v/>
      </c>
      <c r="Y758">
        <f>HYPERLINK("https://klasma.github.io/Logging_STROMSUND/tillsynsmail/A 36376-2022.docx")</f>
        <v/>
      </c>
    </row>
    <row r="759" ht="15" customHeight="1">
      <c r="A759" t="inlineStr">
        <is>
          <t>A 37387-2022</t>
        </is>
      </c>
      <c r="B759" s="1" t="n">
        <v>44806</v>
      </c>
      <c r="C759" s="1" t="n">
        <v>45182</v>
      </c>
      <c r="D759" t="inlineStr">
        <is>
          <t>JÄMTLANDS LÄN</t>
        </is>
      </c>
      <c r="E759" t="inlineStr">
        <is>
          <t>BERG</t>
        </is>
      </c>
      <c r="G759" t="n">
        <v>20.2</v>
      </c>
      <c r="H759" t="n">
        <v>1</v>
      </c>
      <c r="I759" t="n">
        <v>0</v>
      </c>
      <c r="J759" t="n">
        <v>2</v>
      </c>
      <c r="K759" t="n">
        <v>0</v>
      </c>
      <c r="L759" t="n">
        <v>0</v>
      </c>
      <c r="M759" t="n">
        <v>0</v>
      </c>
      <c r="N759" t="n">
        <v>0</v>
      </c>
      <c r="O759" t="n">
        <v>2</v>
      </c>
      <c r="P759" t="n">
        <v>0</v>
      </c>
      <c r="Q759" t="n">
        <v>2</v>
      </c>
      <c r="R759" s="2" t="inlineStr">
        <is>
          <t>Garnlav
Tretåig hackspett</t>
        </is>
      </c>
      <c r="S759">
        <f>HYPERLINK("https://klasma.github.io/Logging_BERG/artfynd/A 37387-2022.xlsx")</f>
        <v/>
      </c>
      <c r="T759">
        <f>HYPERLINK("https://klasma.github.io/Logging_BERG/kartor/A 37387-2022.png")</f>
        <v/>
      </c>
      <c r="V759">
        <f>HYPERLINK("https://klasma.github.io/Logging_BERG/klagomål/A 37387-2022.docx")</f>
        <v/>
      </c>
      <c r="W759">
        <f>HYPERLINK("https://klasma.github.io/Logging_BERG/klagomålsmail/A 37387-2022.docx")</f>
        <v/>
      </c>
      <c r="X759">
        <f>HYPERLINK("https://klasma.github.io/Logging_BERG/tillsyn/A 37387-2022.docx")</f>
        <v/>
      </c>
      <c r="Y759">
        <f>HYPERLINK("https://klasma.github.io/Logging_BERG/tillsynsmail/A 37387-2022.docx")</f>
        <v/>
      </c>
    </row>
    <row r="760" ht="15" customHeight="1">
      <c r="A760" t="inlineStr">
        <is>
          <t>A 37786-2022</t>
        </is>
      </c>
      <c r="B760" s="1" t="n">
        <v>44810</v>
      </c>
      <c r="C760" s="1" t="n">
        <v>45182</v>
      </c>
      <c r="D760" t="inlineStr">
        <is>
          <t>JÄMTLANDS LÄN</t>
        </is>
      </c>
      <c r="E760" t="inlineStr">
        <is>
          <t>STRÖMSUND</t>
        </is>
      </c>
      <c r="G760" t="n">
        <v>2.3</v>
      </c>
      <c r="H760" t="n">
        <v>0</v>
      </c>
      <c r="I760" t="n">
        <v>1</v>
      </c>
      <c r="J760" t="n">
        <v>1</v>
      </c>
      <c r="K760" t="n">
        <v>0</v>
      </c>
      <c r="L760" t="n">
        <v>0</v>
      </c>
      <c r="M760" t="n">
        <v>0</v>
      </c>
      <c r="N760" t="n">
        <v>0</v>
      </c>
      <c r="O760" t="n">
        <v>1</v>
      </c>
      <c r="P760" t="n">
        <v>0</v>
      </c>
      <c r="Q760" t="n">
        <v>2</v>
      </c>
      <c r="R760" s="2" t="inlineStr">
        <is>
          <t>Orange taggsvamp
Svart trolldruva</t>
        </is>
      </c>
      <c r="S760">
        <f>HYPERLINK("https://klasma.github.io/Logging_STROMSUND/artfynd/A 37786-2022.xlsx")</f>
        <v/>
      </c>
      <c r="T760">
        <f>HYPERLINK("https://klasma.github.io/Logging_STROMSUND/kartor/A 37786-2022.png")</f>
        <v/>
      </c>
      <c r="V760">
        <f>HYPERLINK("https://klasma.github.io/Logging_STROMSUND/klagomål/A 37786-2022.docx")</f>
        <v/>
      </c>
      <c r="W760">
        <f>HYPERLINK("https://klasma.github.io/Logging_STROMSUND/klagomålsmail/A 37786-2022.docx")</f>
        <v/>
      </c>
      <c r="X760">
        <f>HYPERLINK("https://klasma.github.io/Logging_STROMSUND/tillsyn/A 37786-2022.docx")</f>
        <v/>
      </c>
      <c r="Y760">
        <f>HYPERLINK("https://klasma.github.io/Logging_STROMSUND/tillsynsmail/A 37786-2022.docx")</f>
        <v/>
      </c>
    </row>
    <row r="761" ht="15" customHeight="1">
      <c r="A761" t="inlineStr">
        <is>
          <t>A 39686-2022</t>
        </is>
      </c>
      <c r="B761" s="1" t="n">
        <v>44818</v>
      </c>
      <c r="C761" s="1" t="n">
        <v>45182</v>
      </c>
      <c r="D761" t="inlineStr">
        <is>
          <t>JÄMTLANDS LÄN</t>
        </is>
      </c>
      <c r="E761" t="inlineStr">
        <is>
          <t>STRÖMSUND</t>
        </is>
      </c>
      <c r="F761" t="inlineStr">
        <is>
          <t>SCA</t>
        </is>
      </c>
      <c r="G761" t="n">
        <v>4.7</v>
      </c>
      <c r="H761" t="n">
        <v>0</v>
      </c>
      <c r="I761" t="n">
        <v>1</v>
      </c>
      <c r="J761" t="n">
        <v>1</v>
      </c>
      <c r="K761" t="n">
        <v>0</v>
      </c>
      <c r="L761" t="n">
        <v>0</v>
      </c>
      <c r="M761" t="n">
        <v>0</v>
      </c>
      <c r="N761" t="n">
        <v>0</v>
      </c>
      <c r="O761" t="n">
        <v>1</v>
      </c>
      <c r="P761" t="n">
        <v>0</v>
      </c>
      <c r="Q761" t="n">
        <v>2</v>
      </c>
      <c r="R761" s="2" t="inlineStr">
        <is>
          <t>Skrovellav
Stuplav</t>
        </is>
      </c>
      <c r="S761">
        <f>HYPERLINK("https://klasma.github.io/Logging_STROMSUND/artfynd/A 39686-2022.xlsx")</f>
        <v/>
      </c>
      <c r="T761">
        <f>HYPERLINK("https://klasma.github.io/Logging_STROMSUND/kartor/A 39686-2022.png")</f>
        <v/>
      </c>
      <c r="V761">
        <f>HYPERLINK("https://klasma.github.io/Logging_STROMSUND/klagomål/A 39686-2022.docx")</f>
        <v/>
      </c>
      <c r="W761">
        <f>HYPERLINK("https://klasma.github.io/Logging_STROMSUND/klagomålsmail/A 39686-2022.docx")</f>
        <v/>
      </c>
      <c r="X761">
        <f>HYPERLINK("https://klasma.github.io/Logging_STROMSUND/tillsyn/A 39686-2022.docx")</f>
        <v/>
      </c>
      <c r="Y761">
        <f>HYPERLINK("https://klasma.github.io/Logging_STROMSUND/tillsynsmail/A 39686-2022.docx")</f>
        <v/>
      </c>
    </row>
    <row r="762" ht="15" customHeight="1">
      <c r="A762" t="inlineStr">
        <is>
          <t>A 41823-2022</t>
        </is>
      </c>
      <c r="B762" s="1" t="n">
        <v>44827</v>
      </c>
      <c r="C762" s="1" t="n">
        <v>45182</v>
      </c>
      <c r="D762" t="inlineStr">
        <is>
          <t>JÄMTLANDS LÄN</t>
        </is>
      </c>
      <c r="E762" t="inlineStr">
        <is>
          <t>BERG</t>
        </is>
      </c>
      <c r="F762" t="inlineStr">
        <is>
          <t>SCA</t>
        </is>
      </c>
      <c r="G762" t="n">
        <v>21.6</v>
      </c>
      <c r="H762" t="n">
        <v>1</v>
      </c>
      <c r="I762" t="n">
        <v>0</v>
      </c>
      <c r="J762" t="n">
        <v>1</v>
      </c>
      <c r="K762" t="n">
        <v>1</v>
      </c>
      <c r="L762" t="n">
        <v>0</v>
      </c>
      <c r="M762" t="n">
        <v>0</v>
      </c>
      <c r="N762" t="n">
        <v>0</v>
      </c>
      <c r="O762" t="n">
        <v>2</v>
      </c>
      <c r="P762" t="n">
        <v>1</v>
      </c>
      <c r="Q762" t="n">
        <v>2</v>
      </c>
      <c r="R762" s="2" t="inlineStr">
        <is>
          <t>Doftticka
Reliktbock</t>
        </is>
      </c>
      <c r="S762">
        <f>HYPERLINK("https://klasma.github.io/Logging_BERG/artfynd/A 41823-2022.xlsx")</f>
        <v/>
      </c>
      <c r="T762">
        <f>HYPERLINK("https://klasma.github.io/Logging_BERG/kartor/A 41823-2022.png")</f>
        <v/>
      </c>
      <c r="V762">
        <f>HYPERLINK("https://klasma.github.io/Logging_BERG/klagomål/A 41823-2022.docx")</f>
        <v/>
      </c>
      <c r="W762">
        <f>HYPERLINK("https://klasma.github.io/Logging_BERG/klagomålsmail/A 41823-2022.docx")</f>
        <v/>
      </c>
      <c r="X762">
        <f>HYPERLINK("https://klasma.github.io/Logging_BERG/tillsyn/A 41823-2022.docx")</f>
        <v/>
      </c>
      <c r="Y762">
        <f>HYPERLINK("https://klasma.github.io/Logging_BERG/tillsynsmail/A 41823-2022.docx")</f>
        <v/>
      </c>
    </row>
    <row r="763" ht="15" customHeight="1">
      <c r="A763" t="inlineStr">
        <is>
          <t>A 42291-2022</t>
        </is>
      </c>
      <c r="B763" s="1" t="n">
        <v>44830</v>
      </c>
      <c r="C763" s="1" t="n">
        <v>45182</v>
      </c>
      <c r="D763" t="inlineStr">
        <is>
          <t>JÄMTLANDS LÄN</t>
        </is>
      </c>
      <c r="E763" t="inlineStr">
        <is>
          <t>BRÄCKE</t>
        </is>
      </c>
      <c r="F763" t="inlineStr">
        <is>
          <t>SCA</t>
        </is>
      </c>
      <c r="G763" t="n">
        <v>4</v>
      </c>
      <c r="H763" t="n">
        <v>0</v>
      </c>
      <c r="I763" t="n">
        <v>0</v>
      </c>
      <c r="J763" t="n">
        <v>2</v>
      </c>
      <c r="K763" t="n">
        <v>0</v>
      </c>
      <c r="L763" t="n">
        <v>0</v>
      </c>
      <c r="M763" t="n">
        <v>0</v>
      </c>
      <c r="N763" t="n">
        <v>0</v>
      </c>
      <c r="O763" t="n">
        <v>2</v>
      </c>
      <c r="P763" t="n">
        <v>0</v>
      </c>
      <c r="Q763" t="n">
        <v>2</v>
      </c>
      <c r="R763" s="2" t="inlineStr">
        <is>
          <t>Garnlav
Lunglav</t>
        </is>
      </c>
      <c r="S763">
        <f>HYPERLINK("https://klasma.github.io/Logging_BRACKE/artfynd/A 42291-2022.xlsx")</f>
        <v/>
      </c>
      <c r="T763">
        <f>HYPERLINK("https://klasma.github.io/Logging_BRACKE/kartor/A 42291-2022.png")</f>
        <v/>
      </c>
      <c r="V763">
        <f>HYPERLINK("https://klasma.github.io/Logging_BRACKE/klagomål/A 42291-2022.docx")</f>
        <v/>
      </c>
      <c r="W763">
        <f>HYPERLINK("https://klasma.github.io/Logging_BRACKE/klagomålsmail/A 42291-2022.docx")</f>
        <v/>
      </c>
      <c r="X763">
        <f>HYPERLINK("https://klasma.github.io/Logging_BRACKE/tillsyn/A 42291-2022.docx")</f>
        <v/>
      </c>
      <c r="Y763">
        <f>HYPERLINK("https://klasma.github.io/Logging_BRACKE/tillsynsmail/A 42291-2022.docx")</f>
        <v/>
      </c>
    </row>
    <row r="764" ht="15" customHeight="1">
      <c r="A764" t="inlineStr">
        <is>
          <t>A 43141-2022</t>
        </is>
      </c>
      <c r="B764" s="1" t="n">
        <v>44833</v>
      </c>
      <c r="C764" s="1" t="n">
        <v>45182</v>
      </c>
      <c r="D764" t="inlineStr">
        <is>
          <t>JÄMTLANDS LÄN</t>
        </is>
      </c>
      <c r="E764" t="inlineStr">
        <is>
          <t>BRÄCKE</t>
        </is>
      </c>
      <c r="F764" t="inlineStr">
        <is>
          <t>SCA</t>
        </is>
      </c>
      <c r="G764" t="n">
        <v>2</v>
      </c>
      <c r="H764" t="n">
        <v>1</v>
      </c>
      <c r="I764" t="n">
        <v>0</v>
      </c>
      <c r="J764" t="n">
        <v>0</v>
      </c>
      <c r="K764" t="n">
        <v>2</v>
      </c>
      <c r="L764" t="n">
        <v>0</v>
      </c>
      <c r="M764" t="n">
        <v>0</v>
      </c>
      <c r="N764" t="n">
        <v>0</v>
      </c>
      <c r="O764" t="n">
        <v>2</v>
      </c>
      <c r="P764" t="n">
        <v>2</v>
      </c>
      <c r="Q764" t="n">
        <v>2</v>
      </c>
      <c r="R764" s="2" t="inlineStr">
        <is>
          <t>Frösöstarr
Knärot</t>
        </is>
      </c>
      <c r="S764">
        <f>HYPERLINK("https://klasma.github.io/Logging_BRACKE/artfynd/A 43141-2022.xlsx")</f>
        <v/>
      </c>
      <c r="T764">
        <f>HYPERLINK("https://klasma.github.io/Logging_BRACKE/kartor/A 43141-2022.png")</f>
        <v/>
      </c>
      <c r="U764">
        <f>HYPERLINK("https://klasma.github.io/Logging_BRACKE/knärot/A 43141-2022.png")</f>
        <v/>
      </c>
      <c r="V764">
        <f>HYPERLINK("https://klasma.github.io/Logging_BRACKE/klagomål/A 43141-2022.docx")</f>
        <v/>
      </c>
      <c r="W764">
        <f>HYPERLINK("https://klasma.github.io/Logging_BRACKE/klagomålsmail/A 43141-2022.docx")</f>
        <v/>
      </c>
      <c r="X764">
        <f>HYPERLINK("https://klasma.github.io/Logging_BRACKE/tillsyn/A 43141-2022.docx")</f>
        <v/>
      </c>
      <c r="Y764">
        <f>HYPERLINK("https://klasma.github.io/Logging_BRACKE/tillsynsmail/A 43141-2022.docx")</f>
        <v/>
      </c>
    </row>
    <row r="765" ht="15" customHeight="1">
      <c r="A765" t="inlineStr">
        <is>
          <t>A 46341-2022</t>
        </is>
      </c>
      <c r="B765" s="1" t="n">
        <v>44847</v>
      </c>
      <c r="C765" s="1" t="n">
        <v>45182</v>
      </c>
      <c r="D765" t="inlineStr">
        <is>
          <t>JÄMTLANDS LÄN</t>
        </is>
      </c>
      <c r="E765" t="inlineStr">
        <is>
          <t>STRÖMSUND</t>
        </is>
      </c>
      <c r="F765" t="inlineStr">
        <is>
          <t>SCA</t>
        </is>
      </c>
      <c r="G765" t="n">
        <v>3.2</v>
      </c>
      <c r="H765" t="n">
        <v>1</v>
      </c>
      <c r="I765" t="n">
        <v>0</v>
      </c>
      <c r="J765" t="n">
        <v>1</v>
      </c>
      <c r="K765" t="n">
        <v>1</v>
      </c>
      <c r="L765" t="n">
        <v>0</v>
      </c>
      <c r="M765" t="n">
        <v>0</v>
      </c>
      <c r="N765" t="n">
        <v>0</v>
      </c>
      <c r="O765" t="n">
        <v>2</v>
      </c>
      <c r="P765" t="n">
        <v>1</v>
      </c>
      <c r="Q765" t="n">
        <v>2</v>
      </c>
      <c r="R765" s="2" t="inlineStr">
        <is>
          <t>Knärot
Rosenticka</t>
        </is>
      </c>
      <c r="S765">
        <f>HYPERLINK("https://klasma.github.io/Logging_STROMSUND/artfynd/A 46341-2022.xlsx")</f>
        <v/>
      </c>
      <c r="T765">
        <f>HYPERLINK("https://klasma.github.io/Logging_STROMSUND/kartor/A 46341-2022.png")</f>
        <v/>
      </c>
      <c r="U765">
        <f>HYPERLINK("https://klasma.github.io/Logging_STROMSUND/knärot/A 46341-2022.png")</f>
        <v/>
      </c>
      <c r="V765">
        <f>HYPERLINK("https://klasma.github.io/Logging_STROMSUND/klagomål/A 46341-2022.docx")</f>
        <v/>
      </c>
      <c r="W765">
        <f>HYPERLINK("https://klasma.github.io/Logging_STROMSUND/klagomålsmail/A 46341-2022.docx")</f>
        <v/>
      </c>
      <c r="X765">
        <f>HYPERLINK("https://klasma.github.io/Logging_STROMSUND/tillsyn/A 46341-2022.docx")</f>
        <v/>
      </c>
      <c r="Y765">
        <f>HYPERLINK("https://klasma.github.io/Logging_STROMSUND/tillsynsmail/A 46341-2022.docx")</f>
        <v/>
      </c>
    </row>
    <row r="766" ht="15" customHeight="1">
      <c r="A766" t="inlineStr">
        <is>
          <t>A 46621-2022</t>
        </is>
      </c>
      <c r="B766" s="1" t="n">
        <v>44848</v>
      </c>
      <c r="C766" s="1" t="n">
        <v>45182</v>
      </c>
      <c r="D766" t="inlineStr">
        <is>
          <t>JÄMTLANDS LÄN</t>
        </is>
      </c>
      <c r="E766" t="inlineStr">
        <is>
          <t>STRÖMSUND</t>
        </is>
      </c>
      <c r="F766" t="inlineStr">
        <is>
          <t>SCA</t>
        </is>
      </c>
      <c r="G766" t="n">
        <v>6.8</v>
      </c>
      <c r="H766" t="n">
        <v>0</v>
      </c>
      <c r="I766" t="n">
        <v>0</v>
      </c>
      <c r="J766" t="n">
        <v>2</v>
      </c>
      <c r="K766" t="n">
        <v>0</v>
      </c>
      <c r="L766" t="n">
        <v>0</v>
      </c>
      <c r="M766" t="n">
        <v>0</v>
      </c>
      <c r="N766" t="n">
        <v>0</v>
      </c>
      <c r="O766" t="n">
        <v>2</v>
      </c>
      <c r="P766" t="n">
        <v>0</v>
      </c>
      <c r="Q766" t="n">
        <v>2</v>
      </c>
      <c r="R766" s="2" t="inlineStr">
        <is>
          <t>Garnlav
Ullticka</t>
        </is>
      </c>
      <c r="S766">
        <f>HYPERLINK("https://klasma.github.io/Logging_STROMSUND/artfynd/A 46621-2022.xlsx")</f>
        <v/>
      </c>
      <c r="T766">
        <f>HYPERLINK("https://klasma.github.io/Logging_STROMSUND/kartor/A 46621-2022.png")</f>
        <v/>
      </c>
      <c r="V766">
        <f>HYPERLINK("https://klasma.github.io/Logging_STROMSUND/klagomål/A 46621-2022.docx")</f>
        <v/>
      </c>
      <c r="W766">
        <f>HYPERLINK("https://klasma.github.io/Logging_STROMSUND/klagomålsmail/A 46621-2022.docx")</f>
        <v/>
      </c>
      <c r="X766">
        <f>HYPERLINK("https://klasma.github.io/Logging_STROMSUND/tillsyn/A 46621-2022.docx")</f>
        <v/>
      </c>
      <c r="Y766">
        <f>HYPERLINK("https://klasma.github.io/Logging_STROMSUND/tillsynsmail/A 46621-2022.docx")</f>
        <v/>
      </c>
    </row>
    <row r="767" ht="15" customHeight="1">
      <c r="A767" t="inlineStr">
        <is>
          <t>A 47385-2022</t>
        </is>
      </c>
      <c r="B767" s="1" t="n">
        <v>44853</v>
      </c>
      <c r="C767" s="1" t="n">
        <v>45182</v>
      </c>
      <c r="D767" t="inlineStr">
        <is>
          <t>JÄMTLANDS LÄN</t>
        </is>
      </c>
      <c r="E767" t="inlineStr">
        <is>
          <t>ÖSTERSUND</t>
        </is>
      </c>
      <c r="G767" t="n">
        <v>0.9</v>
      </c>
      <c r="H767" t="n">
        <v>0</v>
      </c>
      <c r="I767" t="n">
        <v>0</v>
      </c>
      <c r="J767" t="n">
        <v>2</v>
      </c>
      <c r="K767" t="n">
        <v>0</v>
      </c>
      <c r="L767" t="n">
        <v>0</v>
      </c>
      <c r="M767" t="n">
        <v>0</v>
      </c>
      <c r="N767" t="n">
        <v>0</v>
      </c>
      <c r="O767" t="n">
        <v>2</v>
      </c>
      <c r="P767" t="n">
        <v>0</v>
      </c>
      <c r="Q767" t="n">
        <v>2</v>
      </c>
      <c r="R767" s="2" t="inlineStr">
        <is>
          <t>Garnlav
Ullticka</t>
        </is>
      </c>
      <c r="S767">
        <f>HYPERLINK("https://klasma.github.io/Logging_OSTERSUND/artfynd/A 47385-2022.xlsx")</f>
        <v/>
      </c>
      <c r="T767">
        <f>HYPERLINK("https://klasma.github.io/Logging_OSTERSUND/kartor/A 47385-2022.png")</f>
        <v/>
      </c>
      <c r="U767">
        <f>HYPERLINK("https://klasma.github.io/Logging_OSTERSUND/knärot/A 47385-2022.png")</f>
        <v/>
      </c>
      <c r="V767">
        <f>HYPERLINK("https://klasma.github.io/Logging_OSTERSUND/klagomål/A 47385-2022.docx")</f>
        <v/>
      </c>
      <c r="W767">
        <f>HYPERLINK("https://klasma.github.io/Logging_OSTERSUND/klagomålsmail/A 47385-2022.docx")</f>
        <v/>
      </c>
      <c r="X767">
        <f>HYPERLINK("https://klasma.github.io/Logging_OSTERSUND/tillsyn/A 47385-2022.docx")</f>
        <v/>
      </c>
      <c r="Y767">
        <f>HYPERLINK("https://klasma.github.io/Logging_OSTERSUND/tillsynsmail/A 47385-2022.docx")</f>
        <v/>
      </c>
    </row>
    <row r="768" ht="15" customHeight="1">
      <c r="A768" t="inlineStr">
        <is>
          <t>A 47348-2022</t>
        </is>
      </c>
      <c r="B768" s="1" t="n">
        <v>44853</v>
      </c>
      <c r="C768" s="1" t="n">
        <v>45182</v>
      </c>
      <c r="D768" t="inlineStr">
        <is>
          <t>JÄMTLANDS LÄN</t>
        </is>
      </c>
      <c r="E768" t="inlineStr">
        <is>
          <t>HÄRJEDALEN</t>
        </is>
      </c>
      <c r="G768" t="n">
        <v>2</v>
      </c>
      <c r="H768" t="n">
        <v>1</v>
      </c>
      <c r="I768" t="n">
        <v>0</v>
      </c>
      <c r="J768" t="n">
        <v>1</v>
      </c>
      <c r="K768" t="n">
        <v>1</v>
      </c>
      <c r="L768" t="n">
        <v>0</v>
      </c>
      <c r="M768" t="n">
        <v>0</v>
      </c>
      <c r="N768" t="n">
        <v>0</v>
      </c>
      <c r="O768" t="n">
        <v>2</v>
      </c>
      <c r="P768" t="n">
        <v>1</v>
      </c>
      <c r="Q768" t="n">
        <v>2</v>
      </c>
      <c r="R768" s="2" t="inlineStr">
        <is>
          <t>Knärot
Lunglav</t>
        </is>
      </c>
      <c r="S768">
        <f>HYPERLINK("https://klasma.github.io/Logging_HARJEDALEN/artfynd/A 47348-2022.xlsx")</f>
        <v/>
      </c>
      <c r="T768">
        <f>HYPERLINK("https://klasma.github.io/Logging_HARJEDALEN/kartor/A 47348-2022.png")</f>
        <v/>
      </c>
      <c r="U768">
        <f>HYPERLINK("https://klasma.github.io/Logging_HARJEDALEN/knärot/A 47348-2022.png")</f>
        <v/>
      </c>
      <c r="V768">
        <f>HYPERLINK("https://klasma.github.io/Logging_HARJEDALEN/klagomål/A 47348-2022.docx")</f>
        <v/>
      </c>
      <c r="W768">
        <f>HYPERLINK("https://klasma.github.io/Logging_HARJEDALEN/klagomålsmail/A 47348-2022.docx")</f>
        <v/>
      </c>
      <c r="X768">
        <f>HYPERLINK("https://klasma.github.io/Logging_HARJEDALEN/tillsyn/A 47348-2022.docx")</f>
        <v/>
      </c>
      <c r="Y768">
        <f>HYPERLINK("https://klasma.github.io/Logging_HARJEDALEN/tillsynsmail/A 47348-2022.docx")</f>
        <v/>
      </c>
    </row>
    <row r="769" ht="15" customHeight="1">
      <c r="A769" t="inlineStr">
        <is>
          <t>A 48084-2022</t>
        </is>
      </c>
      <c r="B769" s="1" t="n">
        <v>44855</v>
      </c>
      <c r="C769" s="1" t="n">
        <v>45182</v>
      </c>
      <c r="D769" t="inlineStr">
        <is>
          <t>JÄMTLANDS LÄN</t>
        </is>
      </c>
      <c r="E769" t="inlineStr">
        <is>
          <t>RAGUNDA</t>
        </is>
      </c>
      <c r="F769" t="inlineStr">
        <is>
          <t>SCA</t>
        </is>
      </c>
      <c r="G769" t="n">
        <v>4.7</v>
      </c>
      <c r="H769" t="n">
        <v>1</v>
      </c>
      <c r="I769" t="n">
        <v>0</v>
      </c>
      <c r="J769" t="n">
        <v>2</v>
      </c>
      <c r="K769" t="n">
        <v>0</v>
      </c>
      <c r="L769" t="n">
        <v>0</v>
      </c>
      <c r="M769" t="n">
        <v>0</v>
      </c>
      <c r="N769" t="n">
        <v>0</v>
      </c>
      <c r="O769" t="n">
        <v>2</v>
      </c>
      <c r="P769" t="n">
        <v>0</v>
      </c>
      <c r="Q769" t="n">
        <v>2</v>
      </c>
      <c r="R769" s="2" t="inlineStr">
        <is>
          <t>Rosenticka
Tretåig hackspett</t>
        </is>
      </c>
      <c r="S769">
        <f>HYPERLINK("https://klasma.github.io/Logging_RAGUNDA/artfynd/A 48084-2022.xlsx")</f>
        <v/>
      </c>
      <c r="T769">
        <f>HYPERLINK("https://klasma.github.io/Logging_RAGUNDA/kartor/A 48084-2022.png")</f>
        <v/>
      </c>
      <c r="V769">
        <f>HYPERLINK("https://klasma.github.io/Logging_RAGUNDA/klagomål/A 48084-2022.docx")</f>
        <v/>
      </c>
      <c r="W769">
        <f>HYPERLINK("https://klasma.github.io/Logging_RAGUNDA/klagomålsmail/A 48084-2022.docx")</f>
        <v/>
      </c>
      <c r="X769">
        <f>HYPERLINK("https://klasma.github.io/Logging_RAGUNDA/tillsyn/A 48084-2022.docx")</f>
        <v/>
      </c>
      <c r="Y769">
        <f>HYPERLINK("https://klasma.github.io/Logging_RAGUNDA/tillsynsmail/A 48084-2022.docx")</f>
        <v/>
      </c>
    </row>
    <row r="770" ht="15" customHeight="1">
      <c r="A770" t="inlineStr">
        <is>
          <t>A 48059-2022</t>
        </is>
      </c>
      <c r="B770" s="1" t="n">
        <v>44855</v>
      </c>
      <c r="C770" s="1" t="n">
        <v>45182</v>
      </c>
      <c r="D770" t="inlineStr">
        <is>
          <t>JÄMTLANDS LÄN</t>
        </is>
      </c>
      <c r="E770" t="inlineStr">
        <is>
          <t>RAGUNDA</t>
        </is>
      </c>
      <c r="F770" t="inlineStr">
        <is>
          <t>SCA</t>
        </is>
      </c>
      <c r="G770" t="n">
        <v>3.2</v>
      </c>
      <c r="H770" t="n">
        <v>0</v>
      </c>
      <c r="I770" t="n">
        <v>0</v>
      </c>
      <c r="J770" t="n">
        <v>2</v>
      </c>
      <c r="K770" t="n">
        <v>0</v>
      </c>
      <c r="L770" t="n">
        <v>0</v>
      </c>
      <c r="M770" t="n">
        <v>0</v>
      </c>
      <c r="N770" t="n">
        <v>0</v>
      </c>
      <c r="O770" t="n">
        <v>2</v>
      </c>
      <c r="P770" t="n">
        <v>0</v>
      </c>
      <c r="Q770" t="n">
        <v>2</v>
      </c>
      <c r="R770" s="2" t="inlineStr">
        <is>
          <t>Garnlav
Lunglav</t>
        </is>
      </c>
      <c r="S770">
        <f>HYPERLINK("https://klasma.github.io/Logging_RAGUNDA/artfynd/A 48059-2022.xlsx")</f>
        <v/>
      </c>
      <c r="T770">
        <f>HYPERLINK("https://klasma.github.io/Logging_RAGUNDA/kartor/A 48059-2022.png")</f>
        <v/>
      </c>
      <c r="V770">
        <f>HYPERLINK("https://klasma.github.io/Logging_RAGUNDA/klagomål/A 48059-2022.docx")</f>
        <v/>
      </c>
      <c r="W770">
        <f>HYPERLINK("https://klasma.github.io/Logging_RAGUNDA/klagomålsmail/A 48059-2022.docx")</f>
        <v/>
      </c>
      <c r="X770">
        <f>HYPERLINK("https://klasma.github.io/Logging_RAGUNDA/tillsyn/A 48059-2022.docx")</f>
        <v/>
      </c>
      <c r="Y770">
        <f>HYPERLINK("https://klasma.github.io/Logging_RAGUNDA/tillsynsmail/A 48059-2022.docx")</f>
        <v/>
      </c>
    </row>
    <row r="771" ht="15" customHeight="1">
      <c r="A771" t="inlineStr">
        <is>
          <t>A 48930-2022</t>
        </is>
      </c>
      <c r="B771" s="1" t="n">
        <v>44859</v>
      </c>
      <c r="C771" s="1" t="n">
        <v>45182</v>
      </c>
      <c r="D771" t="inlineStr">
        <is>
          <t>JÄMTLANDS LÄN</t>
        </is>
      </c>
      <c r="E771" t="inlineStr">
        <is>
          <t>BRÄCKE</t>
        </is>
      </c>
      <c r="F771" t="inlineStr">
        <is>
          <t>SCA</t>
        </is>
      </c>
      <c r="G771" t="n">
        <v>1.2</v>
      </c>
      <c r="H771" t="n">
        <v>0</v>
      </c>
      <c r="I771" t="n">
        <v>1</v>
      </c>
      <c r="J771" t="n">
        <v>1</v>
      </c>
      <c r="K771" t="n">
        <v>0</v>
      </c>
      <c r="L771" t="n">
        <v>0</v>
      </c>
      <c r="M771" t="n">
        <v>0</v>
      </c>
      <c r="N771" t="n">
        <v>0</v>
      </c>
      <c r="O771" t="n">
        <v>1</v>
      </c>
      <c r="P771" t="n">
        <v>0</v>
      </c>
      <c r="Q771" t="n">
        <v>2</v>
      </c>
      <c r="R771" s="2" t="inlineStr">
        <is>
          <t>Lunglav
Luddlav</t>
        </is>
      </c>
      <c r="S771">
        <f>HYPERLINK("https://klasma.github.io/Logging_BRACKE/artfynd/A 48930-2022.xlsx")</f>
        <v/>
      </c>
      <c r="T771">
        <f>HYPERLINK("https://klasma.github.io/Logging_BRACKE/kartor/A 48930-2022.png")</f>
        <v/>
      </c>
      <c r="V771">
        <f>HYPERLINK("https://klasma.github.io/Logging_BRACKE/klagomål/A 48930-2022.docx")</f>
        <v/>
      </c>
      <c r="W771">
        <f>HYPERLINK("https://klasma.github.io/Logging_BRACKE/klagomålsmail/A 48930-2022.docx")</f>
        <v/>
      </c>
      <c r="X771">
        <f>HYPERLINK("https://klasma.github.io/Logging_BRACKE/tillsyn/A 48930-2022.docx")</f>
        <v/>
      </c>
      <c r="Y771">
        <f>HYPERLINK("https://klasma.github.io/Logging_BRACKE/tillsynsmail/A 48930-2022.docx")</f>
        <v/>
      </c>
    </row>
    <row r="772" ht="15" customHeight="1">
      <c r="A772" t="inlineStr">
        <is>
          <t>A 49194-2022</t>
        </is>
      </c>
      <c r="B772" s="1" t="n">
        <v>44860</v>
      </c>
      <c r="C772" s="1" t="n">
        <v>45182</v>
      </c>
      <c r="D772" t="inlineStr">
        <is>
          <t>JÄMTLANDS LÄN</t>
        </is>
      </c>
      <c r="E772" t="inlineStr">
        <is>
          <t>RAGUNDA</t>
        </is>
      </c>
      <c r="F772" t="inlineStr">
        <is>
          <t>SCA</t>
        </is>
      </c>
      <c r="G772" t="n">
        <v>2</v>
      </c>
      <c r="H772" t="n">
        <v>1</v>
      </c>
      <c r="I772" t="n">
        <v>0</v>
      </c>
      <c r="J772" t="n">
        <v>1</v>
      </c>
      <c r="K772" t="n">
        <v>1</v>
      </c>
      <c r="L772" t="n">
        <v>0</v>
      </c>
      <c r="M772" t="n">
        <v>0</v>
      </c>
      <c r="N772" t="n">
        <v>0</v>
      </c>
      <c r="O772" t="n">
        <v>2</v>
      </c>
      <c r="P772" t="n">
        <v>1</v>
      </c>
      <c r="Q772" t="n">
        <v>2</v>
      </c>
      <c r="R772" s="2" t="inlineStr">
        <is>
          <t>Doftticka
Lunglav</t>
        </is>
      </c>
      <c r="S772">
        <f>HYPERLINK("https://klasma.github.io/Logging_RAGUNDA/artfynd/A 49194-2022.xlsx")</f>
        <v/>
      </c>
      <c r="T772">
        <f>HYPERLINK("https://klasma.github.io/Logging_RAGUNDA/kartor/A 49194-2022.png")</f>
        <v/>
      </c>
      <c r="V772">
        <f>HYPERLINK("https://klasma.github.io/Logging_RAGUNDA/klagomål/A 49194-2022.docx")</f>
        <v/>
      </c>
      <c r="W772">
        <f>HYPERLINK("https://klasma.github.io/Logging_RAGUNDA/klagomålsmail/A 49194-2022.docx")</f>
        <v/>
      </c>
      <c r="X772">
        <f>HYPERLINK("https://klasma.github.io/Logging_RAGUNDA/tillsyn/A 49194-2022.docx")</f>
        <v/>
      </c>
      <c r="Y772">
        <f>HYPERLINK("https://klasma.github.io/Logging_RAGUNDA/tillsynsmail/A 49194-2022.docx")</f>
        <v/>
      </c>
    </row>
    <row r="773" ht="15" customHeight="1">
      <c r="A773" t="inlineStr">
        <is>
          <t>A 50328-2022</t>
        </is>
      </c>
      <c r="B773" s="1" t="n">
        <v>44865</v>
      </c>
      <c r="C773" s="1" t="n">
        <v>45182</v>
      </c>
      <c r="D773" t="inlineStr">
        <is>
          <t>JÄMTLANDS LÄN</t>
        </is>
      </c>
      <c r="E773" t="inlineStr">
        <is>
          <t>BRÄCKE</t>
        </is>
      </c>
      <c r="F773" t="inlineStr">
        <is>
          <t>SCA</t>
        </is>
      </c>
      <c r="G773" t="n">
        <v>1.6</v>
      </c>
      <c r="H773" t="n">
        <v>0</v>
      </c>
      <c r="I773" t="n">
        <v>0</v>
      </c>
      <c r="J773" t="n">
        <v>2</v>
      </c>
      <c r="K773" t="n">
        <v>0</v>
      </c>
      <c r="L773" t="n">
        <v>0</v>
      </c>
      <c r="M773" t="n">
        <v>0</v>
      </c>
      <c r="N773" t="n">
        <v>0</v>
      </c>
      <c r="O773" t="n">
        <v>2</v>
      </c>
      <c r="P773" t="n">
        <v>0</v>
      </c>
      <c r="Q773" t="n">
        <v>2</v>
      </c>
      <c r="R773" s="2" t="inlineStr">
        <is>
          <t>Ullticka
Vitgrynig nållav</t>
        </is>
      </c>
      <c r="S773">
        <f>HYPERLINK("https://klasma.github.io/Logging_BRACKE/artfynd/A 50328-2022.xlsx")</f>
        <v/>
      </c>
      <c r="T773">
        <f>HYPERLINK("https://klasma.github.io/Logging_BRACKE/kartor/A 50328-2022.png")</f>
        <v/>
      </c>
      <c r="V773">
        <f>HYPERLINK("https://klasma.github.io/Logging_BRACKE/klagomål/A 50328-2022.docx")</f>
        <v/>
      </c>
      <c r="W773">
        <f>HYPERLINK("https://klasma.github.io/Logging_BRACKE/klagomålsmail/A 50328-2022.docx")</f>
        <v/>
      </c>
      <c r="X773">
        <f>HYPERLINK("https://klasma.github.io/Logging_BRACKE/tillsyn/A 50328-2022.docx")</f>
        <v/>
      </c>
      <c r="Y773">
        <f>HYPERLINK("https://klasma.github.io/Logging_BRACKE/tillsynsmail/A 50328-2022.docx")</f>
        <v/>
      </c>
    </row>
    <row r="774" ht="15" customHeight="1">
      <c r="A774" t="inlineStr">
        <is>
          <t>A 50336-2022</t>
        </is>
      </c>
      <c r="B774" s="1" t="n">
        <v>44865</v>
      </c>
      <c r="C774" s="1" t="n">
        <v>45182</v>
      </c>
      <c r="D774" t="inlineStr">
        <is>
          <t>JÄMTLANDS LÄN</t>
        </is>
      </c>
      <c r="E774" t="inlineStr">
        <is>
          <t>BRÄCKE</t>
        </is>
      </c>
      <c r="F774" t="inlineStr">
        <is>
          <t>SCA</t>
        </is>
      </c>
      <c r="G774" t="n">
        <v>1.8</v>
      </c>
      <c r="H774" t="n">
        <v>1</v>
      </c>
      <c r="I774" t="n">
        <v>0</v>
      </c>
      <c r="J774" t="n">
        <v>0</v>
      </c>
      <c r="K774" t="n">
        <v>2</v>
      </c>
      <c r="L774" t="n">
        <v>0</v>
      </c>
      <c r="M774" t="n">
        <v>0</v>
      </c>
      <c r="N774" t="n">
        <v>0</v>
      </c>
      <c r="O774" t="n">
        <v>2</v>
      </c>
      <c r="P774" t="n">
        <v>2</v>
      </c>
      <c r="Q774" t="n">
        <v>2</v>
      </c>
      <c r="R774" s="2" t="inlineStr">
        <is>
          <t>Gräddporing
Knärot</t>
        </is>
      </c>
      <c r="S774">
        <f>HYPERLINK("https://klasma.github.io/Logging_BRACKE/artfynd/A 50336-2022.xlsx")</f>
        <v/>
      </c>
      <c r="T774">
        <f>HYPERLINK("https://klasma.github.io/Logging_BRACKE/kartor/A 50336-2022.png")</f>
        <v/>
      </c>
      <c r="U774">
        <f>HYPERLINK("https://klasma.github.io/Logging_BRACKE/knärot/A 50336-2022.png")</f>
        <v/>
      </c>
      <c r="V774">
        <f>HYPERLINK("https://klasma.github.io/Logging_BRACKE/klagomål/A 50336-2022.docx")</f>
        <v/>
      </c>
      <c r="W774">
        <f>HYPERLINK("https://klasma.github.io/Logging_BRACKE/klagomålsmail/A 50336-2022.docx")</f>
        <v/>
      </c>
      <c r="X774">
        <f>HYPERLINK("https://klasma.github.io/Logging_BRACKE/tillsyn/A 50336-2022.docx")</f>
        <v/>
      </c>
      <c r="Y774">
        <f>HYPERLINK("https://klasma.github.io/Logging_BRACKE/tillsynsmail/A 50336-2022.docx")</f>
        <v/>
      </c>
    </row>
    <row r="775" ht="15" customHeight="1">
      <c r="A775" t="inlineStr">
        <is>
          <t>A 52453-2022</t>
        </is>
      </c>
      <c r="B775" s="1" t="n">
        <v>44874</v>
      </c>
      <c r="C775" s="1" t="n">
        <v>45182</v>
      </c>
      <c r="D775" t="inlineStr">
        <is>
          <t>JÄMTLANDS LÄN</t>
        </is>
      </c>
      <c r="E775" t="inlineStr">
        <is>
          <t>HÄRJEDALEN</t>
        </is>
      </c>
      <c r="F775" t="inlineStr">
        <is>
          <t>Bergvik skog väst AB</t>
        </is>
      </c>
      <c r="G775" t="n">
        <v>14.9</v>
      </c>
      <c r="H775" t="n">
        <v>0</v>
      </c>
      <c r="I775" t="n">
        <v>0</v>
      </c>
      <c r="J775" t="n">
        <v>2</v>
      </c>
      <c r="K775" t="n">
        <v>0</v>
      </c>
      <c r="L775" t="n">
        <v>0</v>
      </c>
      <c r="M775" t="n">
        <v>0</v>
      </c>
      <c r="N775" t="n">
        <v>0</v>
      </c>
      <c r="O775" t="n">
        <v>2</v>
      </c>
      <c r="P775" t="n">
        <v>0</v>
      </c>
      <c r="Q775" t="n">
        <v>2</v>
      </c>
      <c r="R775" s="2" t="inlineStr">
        <is>
          <t>Knottrig blåslav
Mörk kolflarnlav</t>
        </is>
      </c>
      <c r="S775">
        <f>HYPERLINK("https://klasma.github.io/Logging_HARJEDALEN/artfynd/A 52453-2022.xlsx")</f>
        <v/>
      </c>
      <c r="T775">
        <f>HYPERLINK("https://klasma.github.io/Logging_HARJEDALEN/kartor/A 52453-2022.png")</f>
        <v/>
      </c>
      <c r="V775">
        <f>HYPERLINK("https://klasma.github.io/Logging_HARJEDALEN/klagomål/A 52453-2022.docx")</f>
        <v/>
      </c>
      <c r="W775">
        <f>HYPERLINK("https://klasma.github.io/Logging_HARJEDALEN/klagomålsmail/A 52453-2022.docx")</f>
        <v/>
      </c>
      <c r="X775">
        <f>HYPERLINK("https://klasma.github.io/Logging_HARJEDALEN/tillsyn/A 52453-2022.docx")</f>
        <v/>
      </c>
      <c r="Y775">
        <f>HYPERLINK("https://klasma.github.io/Logging_HARJEDALEN/tillsynsmail/A 52453-2022.docx")</f>
        <v/>
      </c>
    </row>
    <row r="776" ht="15" customHeight="1">
      <c r="A776" t="inlineStr">
        <is>
          <t>A 54624-2022</t>
        </is>
      </c>
      <c r="B776" s="1" t="n">
        <v>44883</v>
      </c>
      <c r="C776" s="1" t="n">
        <v>45182</v>
      </c>
      <c r="D776" t="inlineStr">
        <is>
          <t>JÄMTLANDS LÄN</t>
        </is>
      </c>
      <c r="E776" t="inlineStr">
        <is>
          <t>BRÄCKE</t>
        </is>
      </c>
      <c r="G776" t="n">
        <v>3.9</v>
      </c>
      <c r="H776" t="n">
        <v>0</v>
      </c>
      <c r="I776" t="n">
        <v>0</v>
      </c>
      <c r="J776" t="n">
        <v>2</v>
      </c>
      <c r="K776" t="n">
        <v>0</v>
      </c>
      <c r="L776" t="n">
        <v>0</v>
      </c>
      <c r="M776" t="n">
        <v>0</v>
      </c>
      <c r="N776" t="n">
        <v>0</v>
      </c>
      <c r="O776" t="n">
        <v>2</v>
      </c>
      <c r="P776" t="n">
        <v>0</v>
      </c>
      <c r="Q776" t="n">
        <v>2</v>
      </c>
      <c r="R776" s="2" t="inlineStr">
        <is>
          <t>Granticka
Lunglav</t>
        </is>
      </c>
      <c r="S776">
        <f>HYPERLINK("https://klasma.github.io/Logging_BRACKE/artfynd/A 54624-2022.xlsx")</f>
        <v/>
      </c>
      <c r="T776">
        <f>HYPERLINK("https://klasma.github.io/Logging_BRACKE/kartor/A 54624-2022.png")</f>
        <v/>
      </c>
      <c r="V776">
        <f>HYPERLINK("https://klasma.github.io/Logging_BRACKE/klagomål/A 54624-2022.docx")</f>
        <v/>
      </c>
      <c r="W776">
        <f>HYPERLINK("https://klasma.github.io/Logging_BRACKE/klagomålsmail/A 54624-2022.docx")</f>
        <v/>
      </c>
      <c r="X776">
        <f>HYPERLINK("https://klasma.github.io/Logging_BRACKE/tillsyn/A 54624-2022.docx")</f>
        <v/>
      </c>
      <c r="Y776">
        <f>HYPERLINK("https://klasma.github.io/Logging_BRACKE/tillsynsmail/A 54624-2022.docx")</f>
        <v/>
      </c>
    </row>
    <row r="777" ht="15" customHeight="1">
      <c r="A777" t="inlineStr">
        <is>
          <t>A 55533-2022</t>
        </is>
      </c>
      <c r="B777" s="1" t="n">
        <v>44887</v>
      </c>
      <c r="C777" s="1" t="n">
        <v>45182</v>
      </c>
      <c r="D777" t="inlineStr">
        <is>
          <t>JÄMTLANDS LÄN</t>
        </is>
      </c>
      <c r="E777" t="inlineStr">
        <is>
          <t>STRÖMSUND</t>
        </is>
      </c>
      <c r="F777" t="inlineStr">
        <is>
          <t>SCA</t>
        </is>
      </c>
      <c r="G777" t="n">
        <v>4.7</v>
      </c>
      <c r="H777" t="n">
        <v>0</v>
      </c>
      <c r="I777" t="n">
        <v>0</v>
      </c>
      <c r="J777" t="n">
        <v>1</v>
      </c>
      <c r="K777" t="n">
        <v>1</v>
      </c>
      <c r="L777" t="n">
        <v>0</v>
      </c>
      <c r="M777" t="n">
        <v>0</v>
      </c>
      <c r="N777" t="n">
        <v>0</v>
      </c>
      <c r="O777" t="n">
        <v>2</v>
      </c>
      <c r="P777" t="n">
        <v>1</v>
      </c>
      <c r="Q777" t="n">
        <v>2</v>
      </c>
      <c r="R777" s="2" t="inlineStr">
        <is>
          <t>Rynkskinn
Rosenticka</t>
        </is>
      </c>
      <c r="S777">
        <f>HYPERLINK("https://klasma.github.io/Logging_STROMSUND/artfynd/A 55533-2022.xlsx")</f>
        <v/>
      </c>
      <c r="T777">
        <f>HYPERLINK("https://klasma.github.io/Logging_STROMSUND/kartor/A 55533-2022.png")</f>
        <v/>
      </c>
      <c r="V777">
        <f>HYPERLINK("https://klasma.github.io/Logging_STROMSUND/klagomål/A 55533-2022.docx")</f>
        <v/>
      </c>
      <c r="W777">
        <f>HYPERLINK("https://klasma.github.io/Logging_STROMSUND/klagomålsmail/A 55533-2022.docx")</f>
        <v/>
      </c>
      <c r="X777">
        <f>HYPERLINK("https://klasma.github.io/Logging_STROMSUND/tillsyn/A 55533-2022.docx")</f>
        <v/>
      </c>
      <c r="Y777">
        <f>HYPERLINK("https://klasma.github.io/Logging_STROMSUND/tillsynsmail/A 55533-2022.docx")</f>
        <v/>
      </c>
    </row>
    <row r="778" ht="15" customHeight="1">
      <c r="A778" t="inlineStr">
        <is>
          <t>A 56247-2022</t>
        </is>
      </c>
      <c r="B778" s="1" t="n">
        <v>44890</v>
      </c>
      <c r="C778" s="1" t="n">
        <v>45182</v>
      </c>
      <c r="D778" t="inlineStr">
        <is>
          <t>JÄMTLANDS LÄN</t>
        </is>
      </c>
      <c r="E778" t="inlineStr">
        <is>
          <t>KROKOM</t>
        </is>
      </c>
      <c r="F778" t="inlineStr">
        <is>
          <t>Övriga Aktiebolag</t>
        </is>
      </c>
      <c r="G778" t="n">
        <v>40.3</v>
      </c>
      <c r="H778" t="n">
        <v>1</v>
      </c>
      <c r="I778" t="n">
        <v>1</v>
      </c>
      <c r="J778" t="n">
        <v>1</v>
      </c>
      <c r="K778" t="n">
        <v>0</v>
      </c>
      <c r="L778" t="n">
        <v>0</v>
      </c>
      <c r="M778" t="n">
        <v>0</v>
      </c>
      <c r="N778" t="n">
        <v>0</v>
      </c>
      <c r="O778" t="n">
        <v>1</v>
      </c>
      <c r="P778" t="n">
        <v>0</v>
      </c>
      <c r="Q778" t="n">
        <v>2</v>
      </c>
      <c r="R778" s="2" t="inlineStr">
        <is>
          <t>Gammelgransskål
Spindelblomster</t>
        </is>
      </c>
      <c r="S778">
        <f>HYPERLINK("https://klasma.github.io/Logging_KROKOM/artfynd/A 56247-2022.xlsx")</f>
        <v/>
      </c>
      <c r="T778">
        <f>HYPERLINK("https://klasma.github.io/Logging_KROKOM/kartor/A 56247-2022.png")</f>
        <v/>
      </c>
      <c r="V778">
        <f>HYPERLINK("https://klasma.github.io/Logging_KROKOM/klagomål/A 56247-2022.docx")</f>
        <v/>
      </c>
      <c r="W778">
        <f>HYPERLINK("https://klasma.github.io/Logging_KROKOM/klagomålsmail/A 56247-2022.docx")</f>
        <v/>
      </c>
      <c r="X778">
        <f>HYPERLINK("https://klasma.github.io/Logging_KROKOM/tillsyn/A 56247-2022.docx")</f>
        <v/>
      </c>
      <c r="Y778">
        <f>HYPERLINK("https://klasma.github.io/Logging_KROKOM/tillsynsmail/A 56247-2022.docx")</f>
        <v/>
      </c>
    </row>
    <row r="779" ht="15" customHeight="1">
      <c r="A779" t="inlineStr">
        <is>
          <t>A 56472-2022</t>
        </is>
      </c>
      <c r="B779" s="1" t="n">
        <v>44893</v>
      </c>
      <c r="C779" s="1" t="n">
        <v>45182</v>
      </c>
      <c r="D779" t="inlineStr">
        <is>
          <t>JÄMTLANDS LÄN</t>
        </is>
      </c>
      <c r="E779" t="inlineStr">
        <is>
          <t>ÅRE</t>
        </is>
      </c>
      <c r="F779" t="inlineStr">
        <is>
          <t>Övriga Aktiebolag</t>
        </is>
      </c>
      <c r="G779" t="n">
        <v>22</v>
      </c>
      <c r="H779" t="n">
        <v>1</v>
      </c>
      <c r="I779" t="n">
        <v>0</v>
      </c>
      <c r="J779" t="n">
        <v>2</v>
      </c>
      <c r="K779" t="n">
        <v>0</v>
      </c>
      <c r="L779" t="n">
        <v>0</v>
      </c>
      <c r="M779" t="n">
        <v>0</v>
      </c>
      <c r="N779" t="n">
        <v>0</v>
      </c>
      <c r="O779" t="n">
        <v>2</v>
      </c>
      <c r="P779" t="n">
        <v>0</v>
      </c>
      <c r="Q779" t="n">
        <v>2</v>
      </c>
      <c r="R779" s="2" t="inlineStr">
        <is>
          <t>Garnlav
Tretåig hackspett</t>
        </is>
      </c>
      <c r="S779">
        <f>HYPERLINK("https://klasma.github.io/Logging_ARE/artfynd/A 56472-2022.xlsx")</f>
        <v/>
      </c>
      <c r="T779">
        <f>HYPERLINK("https://klasma.github.io/Logging_ARE/kartor/A 56472-2022.png")</f>
        <v/>
      </c>
      <c r="V779">
        <f>HYPERLINK("https://klasma.github.io/Logging_ARE/klagomål/A 56472-2022.docx")</f>
        <v/>
      </c>
      <c r="W779">
        <f>HYPERLINK("https://klasma.github.io/Logging_ARE/klagomålsmail/A 56472-2022.docx")</f>
        <v/>
      </c>
      <c r="X779">
        <f>HYPERLINK("https://klasma.github.io/Logging_ARE/tillsyn/A 56472-2022.docx")</f>
        <v/>
      </c>
      <c r="Y779">
        <f>HYPERLINK("https://klasma.github.io/Logging_ARE/tillsynsmail/A 56472-2022.docx")</f>
        <v/>
      </c>
    </row>
    <row r="780" ht="15" customHeight="1">
      <c r="A780" t="inlineStr">
        <is>
          <t>A 57587-2022</t>
        </is>
      </c>
      <c r="B780" s="1" t="n">
        <v>44896</v>
      </c>
      <c r="C780" s="1" t="n">
        <v>45182</v>
      </c>
      <c r="D780" t="inlineStr">
        <is>
          <t>JÄMTLANDS LÄN</t>
        </is>
      </c>
      <c r="E780" t="inlineStr">
        <is>
          <t>STRÖMSUND</t>
        </is>
      </c>
      <c r="F780" t="inlineStr">
        <is>
          <t>SCA</t>
        </is>
      </c>
      <c r="G780" t="n">
        <v>4.8</v>
      </c>
      <c r="H780" t="n">
        <v>0</v>
      </c>
      <c r="I780" t="n">
        <v>0</v>
      </c>
      <c r="J780" t="n">
        <v>2</v>
      </c>
      <c r="K780" t="n">
        <v>0</v>
      </c>
      <c r="L780" t="n">
        <v>0</v>
      </c>
      <c r="M780" t="n">
        <v>0</v>
      </c>
      <c r="N780" t="n">
        <v>0</v>
      </c>
      <c r="O780" t="n">
        <v>2</v>
      </c>
      <c r="P780" t="n">
        <v>0</v>
      </c>
      <c r="Q780" t="n">
        <v>2</v>
      </c>
      <c r="R780" s="2" t="inlineStr">
        <is>
          <t>Brunklöver
Månlåsbräken</t>
        </is>
      </c>
      <c r="S780">
        <f>HYPERLINK("https://klasma.github.io/Logging_STROMSUND/artfynd/A 57587-2022.xlsx")</f>
        <v/>
      </c>
      <c r="T780">
        <f>HYPERLINK("https://klasma.github.io/Logging_STROMSUND/kartor/A 57587-2022.png")</f>
        <v/>
      </c>
      <c r="V780">
        <f>HYPERLINK("https://klasma.github.io/Logging_STROMSUND/klagomål/A 57587-2022.docx")</f>
        <v/>
      </c>
      <c r="W780">
        <f>HYPERLINK("https://klasma.github.io/Logging_STROMSUND/klagomålsmail/A 57587-2022.docx")</f>
        <v/>
      </c>
      <c r="X780">
        <f>HYPERLINK("https://klasma.github.io/Logging_STROMSUND/tillsyn/A 57587-2022.docx")</f>
        <v/>
      </c>
      <c r="Y780">
        <f>HYPERLINK("https://klasma.github.io/Logging_STROMSUND/tillsynsmail/A 57587-2022.docx")</f>
        <v/>
      </c>
    </row>
    <row r="781" ht="15" customHeight="1">
      <c r="A781" t="inlineStr">
        <is>
          <t>A 58169-2022</t>
        </is>
      </c>
      <c r="B781" s="1" t="n">
        <v>44900</v>
      </c>
      <c r="C781" s="1" t="n">
        <v>45182</v>
      </c>
      <c r="D781" t="inlineStr">
        <is>
          <t>JÄMTLANDS LÄN</t>
        </is>
      </c>
      <c r="E781" t="inlineStr">
        <is>
          <t>BRÄCKE</t>
        </is>
      </c>
      <c r="F781" t="inlineStr">
        <is>
          <t>SCA</t>
        </is>
      </c>
      <c r="G781" t="n">
        <v>9.300000000000001</v>
      </c>
      <c r="H781" t="n">
        <v>1</v>
      </c>
      <c r="I781" t="n">
        <v>0</v>
      </c>
      <c r="J781" t="n">
        <v>2</v>
      </c>
      <c r="K781" t="n">
        <v>0</v>
      </c>
      <c r="L781" t="n">
        <v>0</v>
      </c>
      <c r="M781" t="n">
        <v>0</v>
      </c>
      <c r="N781" t="n">
        <v>0</v>
      </c>
      <c r="O781" t="n">
        <v>2</v>
      </c>
      <c r="P781" t="n">
        <v>0</v>
      </c>
      <c r="Q781" t="n">
        <v>2</v>
      </c>
      <c r="R781" s="2" t="inlineStr">
        <is>
          <t>Garnlav
Talltita</t>
        </is>
      </c>
      <c r="S781">
        <f>HYPERLINK("https://klasma.github.io/Logging_BRACKE/artfynd/A 58169-2022.xlsx")</f>
        <v/>
      </c>
      <c r="T781">
        <f>HYPERLINK("https://klasma.github.io/Logging_BRACKE/kartor/A 58169-2022.png")</f>
        <v/>
      </c>
      <c r="V781">
        <f>HYPERLINK("https://klasma.github.io/Logging_BRACKE/klagomål/A 58169-2022.docx")</f>
        <v/>
      </c>
      <c r="W781">
        <f>HYPERLINK("https://klasma.github.io/Logging_BRACKE/klagomålsmail/A 58169-2022.docx")</f>
        <v/>
      </c>
      <c r="X781">
        <f>HYPERLINK("https://klasma.github.io/Logging_BRACKE/tillsyn/A 58169-2022.docx")</f>
        <v/>
      </c>
      <c r="Y781">
        <f>HYPERLINK("https://klasma.github.io/Logging_BRACKE/tillsynsmail/A 58169-2022.docx")</f>
        <v/>
      </c>
    </row>
    <row r="782" ht="15" customHeight="1">
      <c r="A782" t="inlineStr">
        <is>
          <t>A 60534-2022</t>
        </is>
      </c>
      <c r="B782" s="1" t="n">
        <v>44904</v>
      </c>
      <c r="C782" s="1" t="n">
        <v>45182</v>
      </c>
      <c r="D782" t="inlineStr">
        <is>
          <t>JÄMTLANDS LÄN</t>
        </is>
      </c>
      <c r="E782" t="inlineStr">
        <is>
          <t>ÖSTERSUND</t>
        </is>
      </c>
      <c r="G782" t="n">
        <v>9.9</v>
      </c>
      <c r="H782" t="n">
        <v>0</v>
      </c>
      <c r="I782" t="n">
        <v>0</v>
      </c>
      <c r="J782" t="n">
        <v>2</v>
      </c>
      <c r="K782" t="n">
        <v>0</v>
      </c>
      <c r="L782" t="n">
        <v>0</v>
      </c>
      <c r="M782" t="n">
        <v>0</v>
      </c>
      <c r="N782" t="n">
        <v>0</v>
      </c>
      <c r="O782" t="n">
        <v>2</v>
      </c>
      <c r="P782" t="n">
        <v>0</v>
      </c>
      <c r="Q782" t="n">
        <v>2</v>
      </c>
      <c r="R782" s="2" t="inlineStr">
        <is>
          <t>Rosenticka
Ullticka</t>
        </is>
      </c>
      <c r="S782">
        <f>HYPERLINK("https://klasma.github.io/Logging_OSTERSUND/artfynd/A 60534-2022.xlsx")</f>
        <v/>
      </c>
      <c r="T782">
        <f>HYPERLINK("https://klasma.github.io/Logging_OSTERSUND/kartor/A 60534-2022.png")</f>
        <v/>
      </c>
      <c r="V782">
        <f>HYPERLINK("https://klasma.github.io/Logging_OSTERSUND/klagomål/A 60534-2022.docx")</f>
        <v/>
      </c>
      <c r="W782">
        <f>HYPERLINK("https://klasma.github.io/Logging_OSTERSUND/klagomålsmail/A 60534-2022.docx")</f>
        <v/>
      </c>
      <c r="X782">
        <f>HYPERLINK("https://klasma.github.io/Logging_OSTERSUND/tillsyn/A 60534-2022.docx")</f>
        <v/>
      </c>
      <c r="Y782">
        <f>HYPERLINK("https://klasma.github.io/Logging_OSTERSUND/tillsynsmail/A 60534-2022.docx")</f>
        <v/>
      </c>
    </row>
    <row r="783" ht="15" customHeight="1">
      <c r="A783" t="inlineStr">
        <is>
          <t>A 59636-2022</t>
        </is>
      </c>
      <c r="B783" s="1" t="n">
        <v>44907</v>
      </c>
      <c r="C783" s="1" t="n">
        <v>45182</v>
      </c>
      <c r="D783" t="inlineStr">
        <is>
          <t>JÄMTLANDS LÄN</t>
        </is>
      </c>
      <c r="E783" t="inlineStr">
        <is>
          <t>BRÄCKE</t>
        </is>
      </c>
      <c r="F783" t="inlineStr">
        <is>
          <t>SCA</t>
        </is>
      </c>
      <c r="G783" t="n">
        <v>17.3</v>
      </c>
      <c r="H783" t="n">
        <v>0</v>
      </c>
      <c r="I783" t="n">
        <v>0</v>
      </c>
      <c r="J783" t="n">
        <v>2</v>
      </c>
      <c r="K783" t="n">
        <v>0</v>
      </c>
      <c r="L783" t="n">
        <v>0</v>
      </c>
      <c r="M783" t="n">
        <v>0</v>
      </c>
      <c r="N783" t="n">
        <v>0</v>
      </c>
      <c r="O783" t="n">
        <v>2</v>
      </c>
      <c r="P783" t="n">
        <v>0</v>
      </c>
      <c r="Q783" t="n">
        <v>2</v>
      </c>
      <c r="R783" s="2" t="inlineStr">
        <is>
          <t>Garnlav
Lunglav</t>
        </is>
      </c>
      <c r="S783">
        <f>HYPERLINK("https://klasma.github.io/Logging_BRACKE/artfynd/A 59636-2022.xlsx")</f>
        <v/>
      </c>
      <c r="T783">
        <f>HYPERLINK("https://klasma.github.io/Logging_BRACKE/kartor/A 59636-2022.png")</f>
        <v/>
      </c>
      <c r="V783">
        <f>HYPERLINK("https://klasma.github.io/Logging_BRACKE/klagomål/A 59636-2022.docx")</f>
        <v/>
      </c>
      <c r="W783">
        <f>HYPERLINK("https://klasma.github.io/Logging_BRACKE/klagomålsmail/A 59636-2022.docx")</f>
        <v/>
      </c>
      <c r="X783">
        <f>HYPERLINK("https://klasma.github.io/Logging_BRACKE/tillsyn/A 59636-2022.docx")</f>
        <v/>
      </c>
      <c r="Y783">
        <f>HYPERLINK("https://klasma.github.io/Logging_BRACKE/tillsynsmail/A 59636-2022.docx")</f>
        <v/>
      </c>
    </row>
    <row r="784" ht="15" customHeight="1">
      <c r="A784" t="inlineStr">
        <is>
          <t>A 59793-2022</t>
        </is>
      </c>
      <c r="B784" s="1" t="n">
        <v>44908</v>
      </c>
      <c r="C784" s="1" t="n">
        <v>45182</v>
      </c>
      <c r="D784" t="inlineStr">
        <is>
          <t>JÄMTLANDS LÄN</t>
        </is>
      </c>
      <c r="E784" t="inlineStr">
        <is>
          <t>ÖSTERSUND</t>
        </is>
      </c>
      <c r="G784" t="n">
        <v>23.3</v>
      </c>
      <c r="H784" t="n">
        <v>1</v>
      </c>
      <c r="I784" t="n">
        <v>1</v>
      </c>
      <c r="J784" t="n">
        <v>1</v>
      </c>
      <c r="K784" t="n">
        <v>0</v>
      </c>
      <c r="L784" t="n">
        <v>0</v>
      </c>
      <c r="M784" t="n">
        <v>0</v>
      </c>
      <c r="N784" t="n">
        <v>0</v>
      </c>
      <c r="O784" t="n">
        <v>1</v>
      </c>
      <c r="P784" t="n">
        <v>0</v>
      </c>
      <c r="Q784" t="n">
        <v>2</v>
      </c>
      <c r="R784" s="2" t="inlineStr">
        <is>
          <t>Majviva
Spindelblomster</t>
        </is>
      </c>
      <c r="S784">
        <f>HYPERLINK("https://klasma.github.io/Logging_OSTERSUND/artfynd/A 59793-2022.xlsx")</f>
        <v/>
      </c>
      <c r="T784">
        <f>HYPERLINK("https://klasma.github.io/Logging_OSTERSUND/kartor/A 59793-2022.png")</f>
        <v/>
      </c>
      <c r="V784">
        <f>HYPERLINK("https://klasma.github.io/Logging_OSTERSUND/klagomål/A 59793-2022.docx")</f>
        <v/>
      </c>
      <c r="W784">
        <f>HYPERLINK("https://klasma.github.io/Logging_OSTERSUND/klagomålsmail/A 59793-2022.docx")</f>
        <v/>
      </c>
      <c r="X784">
        <f>HYPERLINK("https://klasma.github.io/Logging_OSTERSUND/tillsyn/A 59793-2022.docx")</f>
        <v/>
      </c>
      <c r="Y784">
        <f>HYPERLINK("https://klasma.github.io/Logging_OSTERSUND/tillsynsmail/A 59793-2022.docx")</f>
        <v/>
      </c>
    </row>
    <row r="785" ht="15" customHeight="1">
      <c r="A785" t="inlineStr">
        <is>
          <t>A 60849-2022</t>
        </is>
      </c>
      <c r="B785" s="1" t="n">
        <v>44908</v>
      </c>
      <c r="C785" s="1" t="n">
        <v>45182</v>
      </c>
      <c r="D785" t="inlineStr">
        <is>
          <t>JÄMTLANDS LÄN</t>
        </is>
      </c>
      <c r="E785" t="inlineStr">
        <is>
          <t>BERG</t>
        </is>
      </c>
      <c r="G785" t="n">
        <v>19.2</v>
      </c>
      <c r="H785" t="n">
        <v>1</v>
      </c>
      <c r="I785" t="n">
        <v>0</v>
      </c>
      <c r="J785" t="n">
        <v>1</v>
      </c>
      <c r="K785" t="n">
        <v>1</v>
      </c>
      <c r="L785" t="n">
        <v>0</v>
      </c>
      <c r="M785" t="n">
        <v>0</v>
      </c>
      <c r="N785" t="n">
        <v>0</v>
      </c>
      <c r="O785" t="n">
        <v>2</v>
      </c>
      <c r="P785" t="n">
        <v>1</v>
      </c>
      <c r="Q785" t="n">
        <v>2</v>
      </c>
      <c r="R785" s="2" t="inlineStr">
        <is>
          <t>Knärot
Garnlav</t>
        </is>
      </c>
      <c r="S785">
        <f>HYPERLINK("https://klasma.github.io/Logging_BERG/artfynd/A 60849-2022.xlsx")</f>
        <v/>
      </c>
      <c r="T785">
        <f>HYPERLINK("https://klasma.github.io/Logging_BERG/kartor/A 60849-2022.png")</f>
        <v/>
      </c>
      <c r="U785">
        <f>HYPERLINK("https://klasma.github.io/Logging_BERG/knärot/A 60849-2022.png")</f>
        <v/>
      </c>
      <c r="V785">
        <f>HYPERLINK("https://klasma.github.io/Logging_BERG/klagomål/A 60849-2022.docx")</f>
        <v/>
      </c>
      <c r="W785">
        <f>HYPERLINK("https://klasma.github.io/Logging_BERG/klagomålsmail/A 60849-2022.docx")</f>
        <v/>
      </c>
      <c r="X785">
        <f>HYPERLINK("https://klasma.github.io/Logging_BERG/tillsyn/A 60849-2022.docx")</f>
        <v/>
      </c>
      <c r="Y785">
        <f>HYPERLINK("https://klasma.github.io/Logging_BERG/tillsynsmail/A 60849-2022.docx")</f>
        <v/>
      </c>
    </row>
    <row r="786" ht="15" customHeight="1">
      <c r="A786" t="inlineStr">
        <is>
          <t>A 60614-2022</t>
        </is>
      </c>
      <c r="B786" s="1" t="n">
        <v>44911</v>
      </c>
      <c r="C786" s="1" t="n">
        <v>45182</v>
      </c>
      <c r="D786" t="inlineStr">
        <is>
          <t>JÄMTLANDS LÄN</t>
        </is>
      </c>
      <c r="E786" t="inlineStr">
        <is>
          <t>ÖSTERSUND</t>
        </is>
      </c>
      <c r="G786" t="n">
        <v>17.6</v>
      </c>
      <c r="H786" t="n">
        <v>1</v>
      </c>
      <c r="I786" t="n">
        <v>1</v>
      </c>
      <c r="J786" t="n">
        <v>0</v>
      </c>
      <c r="K786" t="n">
        <v>0</v>
      </c>
      <c r="L786" t="n">
        <v>0</v>
      </c>
      <c r="M786" t="n">
        <v>0</v>
      </c>
      <c r="N786" t="n">
        <v>0</v>
      </c>
      <c r="O786" t="n">
        <v>0</v>
      </c>
      <c r="P786" t="n">
        <v>0</v>
      </c>
      <c r="Q786" t="n">
        <v>2</v>
      </c>
      <c r="R786" s="2" t="inlineStr">
        <is>
          <t>Dropptaggsvamp
Blåsippa</t>
        </is>
      </c>
      <c r="S786">
        <f>HYPERLINK("https://klasma.github.io/Logging_OSTERSUND/artfynd/A 60614-2022.xlsx")</f>
        <v/>
      </c>
      <c r="T786">
        <f>HYPERLINK("https://klasma.github.io/Logging_OSTERSUND/kartor/A 60614-2022.png")</f>
        <v/>
      </c>
      <c r="V786">
        <f>HYPERLINK("https://klasma.github.io/Logging_OSTERSUND/klagomål/A 60614-2022.docx")</f>
        <v/>
      </c>
      <c r="W786">
        <f>HYPERLINK("https://klasma.github.io/Logging_OSTERSUND/klagomålsmail/A 60614-2022.docx")</f>
        <v/>
      </c>
      <c r="X786">
        <f>HYPERLINK("https://klasma.github.io/Logging_OSTERSUND/tillsyn/A 60614-2022.docx")</f>
        <v/>
      </c>
      <c r="Y786">
        <f>HYPERLINK("https://klasma.github.io/Logging_OSTERSUND/tillsynsmail/A 60614-2022.docx")</f>
        <v/>
      </c>
    </row>
    <row r="787" ht="15" customHeight="1">
      <c r="A787" t="inlineStr">
        <is>
          <t>A 61385-2022</t>
        </is>
      </c>
      <c r="B787" s="1" t="n">
        <v>44915</v>
      </c>
      <c r="C787" s="1" t="n">
        <v>45182</v>
      </c>
      <c r="D787" t="inlineStr">
        <is>
          <t>JÄMTLANDS LÄN</t>
        </is>
      </c>
      <c r="E787" t="inlineStr">
        <is>
          <t>STRÖMSUND</t>
        </is>
      </c>
      <c r="G787" t="n">
        <v>2.6</v>
      </c>
      <c r="H787" t="n">
        <v>0</v>
      </c>
      <c r="I787" t="n">
        <v>1</v>
      </c>
      <c r="J787" t="n">
        <v>1</v>
      </c>
      <c r="K787" t="n">
        <v>0</v>
      </c>
      <c r="L787" t="n">
        <v>0</v>
      </c>
      <c r="M787" t="n">
        <v>0</v>
      </c>
      <c r="N787" t="n">
        <v>0</v>
      </c>
      <c r="O787" t="n">
        <v>1</v>
      </c>
      <c r="P787" t="n">
        <v>0</v>
      </c>
      <c r="Q787" t="n">
        <v>2</v>
      </c>
      <c r="R787" s="2" t="inlineStr">
        <is>
          <t>Orange taggsvamp
Svart trolldruva</t>
        </is>
      </c>
      <c r="S787">
        <f>HYPERLINK("https://klasma.github.io/Logging_STROMSUND/artfynd/A 61385-2022.xlsx")</f>
        <v/>
      </c>
      <c r="T787">
        <f>HYPERLINK("https://klasma.github.io/Logging_STROMSUND/kartor/A 61385-2022.png")</f>
        <v/>
      </c>
      <c r="V787">
        <f>HYPERLINK("https://klasma.github.io/Logging_STROMSUND/klagomål/A 61385-2022.docx")</f>
        <v/>
      </c>
      <c r="W787">
        <f>HYPERLINK("https://klasma.github.io/Logging_STROMSUND/klagomålsmail/A 61385-2022.docx")</f>
        <v/>
      </c>
      <c r="X787">
        <f>HYPERLINK("https://klasma.github.io/Logging_STROMSUND/tillsyn/A 61385-2022.docx")</f>
        <v/>
      </c>
      <c r="Y787">
        <f>HYPERLINK("https://klasma.github.io/Logging_STROMSUND/tillsynsmail/A 61385-2022.docx")</f>
        <v/>
      </c>
    </row>
    <row r="788" ht="15" customHeight="1">
      <c r="A788" t="inlineStr">
        <is>
          <t>A 575-2023</t>
        </is>
      </c>
      <c r="B788" s="1" t="n">
        <v>44930</v>
      </c>
      <c r="C788" s="1" t="n">
        <v>45182</v>
      </c>
      <c r="D788" t="inlineStr">
        <is>
          <t>JÄMTLANDS LÄN</t>
        </is>
      </c>
      <c r="E788" t="inlineStr">
        <is>
          <t>BERG</t>
        </is>
      </c>
      <c r="G788" t="n">
        <v>10.9</v>
      </c>
      <c r="H788" t="n">
        <v>0</v>
      </c>
      <c r="I788" t="n">
        <v>1</v>
      </c>
      <c r="J788" t="n">
        <v>1</v>
      </c>
      <c r="K788" t="n">
        <v>0</v>
      </c>
      <c r="L788" t="n">
        <v>0</v>
      </c>
      <c r="M788" t="n">
        <v>0</v>
      </c>
      <c r="N788" t="n">
        <v>0</v>
      </c>
      <c r="O788" t="n">
        <v>1</v>
      </c>
      <c r="P788" t="n">
        <v>0</v>
      </c>
      <c r="Q788" t="n">
        <v>2</v>
      </c>
      <c r="R788" s="2" t="inlineStr">
        <is>
          <t>Lunglav
Rävticka</t>
        </is>
      </c>
      <c r="S788">
        <f>HYPERLINK("https://klasma.github.io/Logging_BERG/artfynd/A 575-2023.xlsx")</f>
        <v/>
      </c>
      <c r="T788">
        <f>HYPERLINK("https://klasma.github.io/Logging_BERG/kartor/A 575-2023.png")</f>
        <v/>
      </c>
      <c r="V788">
        <f>HYPERLINK("https://klasma.github.io/Logging_BERG/klagomål/A 575-2023.docx")</f>
        <v/>
      </c>
      <c r="W788">
        <f>HYPERLINK("https://klasma.github.io/Logging_BERG/klagomålsmail/A 575-2023.docx")</f>
        <v/>
      </c>
      <c r="X788">
        <f>HYPERLINK("https://klasma.github.io/Logging_BERG/tillsyn/A 575-2023.docx")</f>
        <v/>
      </c>
      <c r="Y788">
        <f>HYPERLINK("https://klasma.github.io/Logging_BERG/tillsynsmail/A 575-2023.docx")</f>
        <v/>
      </c>
    </row>
    <row r="789" ht="15" customHeight="1">
      <c r="A789" t="inlineStr">
        <is>
          <t>A 3029-2023</t>
        </is>
      </c>
      <c r="B789" s="1" t="n">
        <v>44945</v>
      </c>
      <c r="C789" s="1" t="n">
        <v>45182</v>
      </c>
      <c r="D789" t="inlineStr">
        <is>
          <t>JÄMTLANDS LÄN</t>
        </is>
      </c>
      <c r="E789" t="inlineStr">
        <is>
          <t>BRÄCKE</t>
        </is>
      </c>
      <c r="F789" t="inlineStr">
        <is>
          <t>SCA</t>
        </is>
      </c>
      <c r="G789" t="n">
        <v>2.3</v>
      </c>
      <c r="H789" t="n">
        <v>0</v>
      </c>
      <c r="I789" t="n">
        <v>0</v>
      </c>
      <c r="J789" t="n">
        <v>2</v>
      </c>
      <c r="K789" t="n">
        <v>0</v>
      </c>
      <c r="L789" t="n">
        <v>0</v>
      </c>
      <c r="M789" t="n">
        <v>0</v>
      </c>
      <c r="N789" t="n">
        <v>0</v>
      </c>
      <c r="O789" t="n">
        <v>2</v>
      </c>
      <c r="P789" t="n">
        <v>0</v>
      </c>
      <c r="Q789" t="n">
        <v>2</v>
      </c>
      <c r="R789" s="2" t="inlineStr">
        <is>
          <t>Garnlav
Lunglav</t>
        </is>
      </c>
      <c r="S789">
        <f>HYPERLINK("https://klasma.github.io/Logging_BRACKE/artfynd/A 3029-2023.xlsx")</f>
        <v/>
      </c>
      <c r="T789">
        <f>HYPERLINK("https://klasma.github.io/Logging_BRACKE/kartor/A 3029-2023.png")</f>
        <v/>
      </c>
      <c r="V789">
        <f>HYPERLINK("https://klasma.github.io/Logging_BRACKE/klagomål/A 3029-2023.docx")</f>
        <v/>
      </c>
      <c r="W789">
        <f>HYPERLINK("https://klasma.github.io/Logging_BRACKE/klagomålsmail/A 3029-2023.docx")</f>
        <v/>
      </c>
      <c r="X789">
        <f>HYPERLINK("https://klasma.github.io/Logging_BRACKE/tillsyn/A 3029-2023.docx")</f>
        <v/>
      </c>
      <c r="Y789">
        <f>HYPERLINK("https://klasma.github.io/Logging_BRACKE/tillsynsmail/A 3029-2023.docx")</f>
        <v/>
      </c>
    </row>
    <row r="790" ht="15" customHeight="1">
      <c r="A790" t="inlineStr">
        <is>
          <t>A 3152-2023</t>
        </is>
      </c>
      <c r="B790" s="1" t="n">
        <v>44946</v>
      </c>
      <c r="C790" s="1" t="n">
        <v>45182</v>
      </c>
      <c r="D790" t="inlineStr">
        <is>
          <t>JÄMTLANDS LÄN</t>
        </is>
      </c>
      <c r="E790" t="inlineStr">
        <is>
          <t>ÅRE</t>
        </is>
      </c>
      <c r="G790" t="n">
        <v>1.9</v>
      </c>
      <c r="H790" t="n">
        <v>1</v>
      </c>
      <c r="I790" t="n">
        <v>0</v>
      </c>
      <c r="J790" t="n">
        <v>2</v>
      </c>
      <c r="K790" t="n">
        <v>0</v>
      </c>
      <c r="L790" t="n">
        <v>0</v>
      </c>
      <c r="M790" t="n">
        <v>0</v>
      </c>
      <c r="N790" t="n">
        <v>0</v>
      </c>
      <c r="O790" t="n">
        <v>2</v>
      </c>
      <c r="P790" t="n">
        <v>0</v>
      </c>
      <c r="Q790" t="n">
        <v>2</v>
      </c>
      <c r="R790" s="2" t="inlineStr">
        <is>
          <t>Lunglav
Tretåig hackspett</t>
        </is>
      </c>
      <c r="S790">
        <f>HYPERLINK("https://klasma.github.io/Logging_ARE/artfynd/A 3152-2023.xlsx")</f>
        <v/>
      </c>
      <c r="T790">
        <f>HYPERLINK("https://klasma.github.io/Logging_ARE/kartor/A 3152-2023.png")</f>
        <v/>
      </c>
      <c r="V790">
        <f>HYPERLINK("https://klasma.github.io/Logging_ARE/klagomål/A 3152-2023.docx")</f>
        <v/>
      </c>
      <c r="W790">
        <f>HYPERLINK("https://klasma.github.io/Logging_ARE/klagomålsmail/A 3152-2023.docx")</f>
        <v/>
      </c>
      <c r="X790">
        <f>HYPERLINK("https://klasma.github.io/Logging_ARE/tillsyn/A 3152-2023.docx")</f>
        <v/>
      </c>
      <c r="Y790">
        <f>HYPERLINK("https://klasma.github.io/Logging_ARE/tillsynsmail/A 3152-2023.docx")</f>
        <v/>
      </c>
    </row>
    <row r="791" ht="15" customHeight="1">
      <c r="A791" t="inlineStr">
        <is>
          <t>A 4372-2023</t>
        </is>
      </c>
      <c r="B791" s="1" t="n">
        <v>44955</v>
      </c>
      <c r="C791" s="1" t="n">
        <v>45182</v>
      </c>
      <c r="D791" t="inlineStr">
        <is>
          <t>JÄMTLANDS LÄN</t>
        </is>
      </c>
      <c r="E791" t="inlineStr">
        <is>
          <t>HÄRJEDALEN</t>
        </is>
      </c>
      <c r="G791" t="n">
        <v>10.1</v>
      </c>
      <c r="H791" t="n">
        <v>2</v>
      </c>
      <c r="I791" t="n">
        <v>0</v>
      </c>
      <c r="J791" t="n">
        <v>2</v>
      </c>
      <c r="K791" t="n">
        <v>0</v>
      </c>
      <c r="L791" t="n">
        <v>0</v>
      </c>
      <c r="M791" t="n">
        <v>0</v>
      </c>
      <c r="N791" t="n">
        <v>0</v>
      </c>
      <c r="O791" t="n">
        <v>2</v>
      </c>
      <c r="P791" t="n">
        <v>0</v>
      </c>
      <c r="Q791" t="n">
        <v>2</v>
      </c>
      <c r="R791" s="2" t="inlineStr">
        <is>
          <t>Spillkråka
Tretåig hackspett</t>
        </is>
      </c>
      <c r="S791">
        <f>HYPERLINK("https://klasma.github.io/Logging_HARJEDALEN/artfynd/A 4372-2023.xlsx")</f>
        <v/>
      </c>
      <c r="T791">
        <f>HYPERLINK("https://klasma.github.io/Logging_HARJEDALEN/kartor/A 4372-2023.png")</f>
        <v/>
      </c>
      <c r="V791">
        <f>HYPERLINK("https://klasma.github.io/Logging_HARJEDALEN/klagomål/A 4372-2023.docx")</f>
        <v/>
      </c>
      <c r="W791">
        <f>HYPERLINK("https://klasma.github.io/Logging_HARJEDALEN/klagomålsmail/A 4372-2023.docx")</f>
        <v/>
      </c>
      <c r="X791">
        <f>HYPERLINK("https://klasma.github.io/Logging_HARJEDALEN/tillsyn/A 4372-2023.docx")</f>
        <v/>
      </c>
      <c r="Y791">
        <f>HYPERLINK("https://klasma.github.io/Logging_HARJEDALEN/tillsynsmail/A 4372-2023.docx")</f>
        <v/>
      </c>
    </row>
    <row r="792" ht="15" customHeight="1">
      <c r="A792" t="inlineStr">
        <is>
          <t>A 5418-2023</t>
        </is>
      </c>
      <c r="B792" s="1" t="n">
        <v>44957</v>
      </c>
      <c r="C792" s="1" t="n">
        <v>45182</v>
      </c>
      <c r="D792" t="inlineStr">
        <is>
          <t>JÄMTLANDS LÄN</t>
        </is>
      </c>
      <c r="E792" t="inlineStr">
        <is>
          <t>ÅRE</t>
        </is>
      </c>
      <c r="G792" t="n">
        <v>5</v>
      </c>
      <c r="H792" t="n">
        <v>1</v>
      </c>
      <c r="I792" t="n">
        <v>0</v>
      </c>
      <c r="J792" t="n">
        <v>2</v>
      </c>
      <c r="K792" t="n">
        <v>0</v>
      </c>
      <c r="L792" t="n">
        <v>0</v>
      </c>
      <c r="M792" t="n">
        <v>0</v>
      </c>
      <c r="N792" t="n">
        <v>0</v>
      </c>
      <c r="O792" t="n">
        <v>2</v>
      </c>
      <c r="P792" t="n">
        <v>0</v>
      </c>
      <c r="Q792" t="n">
        <v>2</v>
      </c>
      <c r="R792" s="2" t="inlineStr">
        <is>
          <t>Garnlav
Tretåig hackspett</t>
        </is>
      </c>
      <c r="S792">
        <f>HYPERLINK("https://klasma.github.io/Logging_ARE/artfynd/A 5418-2023.xlsx")</f>
        <v/>
      </c>
      <c r="T792">
        <f>HYPERLINK("https://klasma.github.io/Logging_ARE/kartor/A 5418-2023.png")</f>
        <v/>
      </c>
      <c r="V792">
        <f>HYPERLINK("https://klasma.github.io/Logging_ARE/klagomål/A 5418-2023.docx")</f>
        <v/>
      </c>
      <c r="W792">
        <f>HYPERLINK("https://klasma.github.io/Logging_ARE/klagomålsmail/A 5418-2023.docx")</f>
        <v/>
      </c>
      <c r="X792">
        <f>HYPERLINK("https://klasma.github.io/Logging_ARE/tillsyn/A 5418-2023.docx")</f>
        <v/>
      </c>
      <c r="Y792">
        <f>HYPERLINK("https://klasma.github.io/Logging_ARE/tillsynsmail/A 5418-2023.docx")</f>
        <v/>
      </c>
    </row>
    <row r="793" ht="15" customHeight="1">
      <c r="A793" t="inlineStr">
        <is>
          <t>A 5531-2023</t>
        </is>
      </c>
      <c r="B793" s="1" t="n">
        <v>44957</v>
      </c>
      <c r="C793" s="1" t="n">
        <v>45182</v>
      </c>
      <c r="D793" t="inlineStr">
        <is>
          <t>JÄMTLANDS LÄN</t>
        </is>
      </c>
      <c r="E793" t="inlineStr">
        <is>
          <t>ÅRE</t>
        </is>
      </c>
      <c r="G793" t="n">
        <v>3.8</v>
      </c>
      <c r="H793" t="n">
        <v>1</v>
      </c>
      <c r="I793" t="n">
        <v>0</v>
      </c>
      <c r="J793" t="n">
        <v>2</v>
      </c>
      <c r="K793" t="n">
        <v>0</v>
      </c>
      <c r="L793" t="n">
        <v>0</v>
      </c>
      <c r="M793" t="n">
        <v>0</v>
      </c>
      <c r="N793" t="n">
        <v>0</v>
      </c>
      <c r="O793" t="n">
        <v>2</v>
      </c>
      <c r="P793" t="n">
        <v>0</v>
      </c>
      <c r="Q793" t="n">
        <v>2</v>
      </c>
      <c r="R793" s="2" t="inlineStr">
        <is>
          <t>Granticka
Tretåig hackspett</t>
        </is>
      </c>
      <c r="S793">
        <f>HYPERLINK("https://klasma.github.io/Logging_ARE/artfynd/A 5531-2023.xlsx")</f>
        <v/>
      </c>
      <c r="T793">
        <f>HYPERLINK("https://klasma.github.io/Logging_ARE/kartor/A 5531-2023.png")</f>
        <v/>
      </c>
      <c r="V793">
        <f>HYPERLINK("https://klasma.github.io/Logging_ARE/klagomål/A 5531-2023.docx")</f>
        <v/>
      </c>
      <c r="W793">
        <f>HYPERLINK("https://klasma.github.io/Logging_ARE/klagomålsmail/A 5531-2023.docx")</f>
        <v/>
      </c>
      <c r="X793">
        <f>HYPERLINK("https://klasma.github.io/Logging_ARE/tillsyn/A 5531-2023.docx")</f>
        <v/>
      </c>
      <c r="Y793">
        <f>HYPERLINK("https://klasma.github.io/Logging_ARE/tillsynsmail/A 5531-2023.docx")</f>
        <v/>
      </c>
    </row>
    <row r="794" ht="15" customHeight="1">
      <c r="A794" t="inlineStr">
        <is>
          <t>A 6108-2023</t>
        </is>
      </c>
      <c r="B794" s="1" t="n">
        <v>44964</v>
      </c>
      <c r="C794" s="1" t="n">
        <v>45182</v>
      </c>
      <c r="D794" t="inlineStr">
        <is>
          <t>JÄMTLANDS LÄN</t>
        </is>
      </c>
      <c r="E794" t="inlineStr">
        <is>
          <t>ÅRE</t>
        </is>
      </c>
      <c r="G794" t="n">
        <v>15.4</v>
      </c>
      <c r="H794" t="n">
        <v>1</v>
      </c>
      <c r="I794" t="n">
        <v>0</v>
      </c>
      <c r="J794" t="n">
        <v>2</v>
      </c>
      <c r="K794" t="n">
        <v>0</v>
      </c>
      <c r="L794" t="n">
        <v>0</v>
      </c>
      <c r="M794" t="n">
        <v>0</v>
      </c>
      <c r="N794" t="n">
        <v>0</v>
      </c>
      <c r="O794" t="n">
        <v>2</v>
      </c>
      <c r="P794" t="n">
        <v>0</v>
      </c>
      <c r="Q794" t="n">
        <v>2</v>
      </c>
      <c r="R794" s="2" t="inlineStr">
        <is>
          <t>Skrovellav
Tretåig hackspett</t>
        </is>
      </c>
      <c r="S794">
        <f>HYPERLINK("https://klasma.github.io/Logging_ARE/artfynd/A 6108-2023.xlsx")</f>
        <v/>
      </c>
      <c r="T794">
        <f>HYPERLINK("https://klasma.github.io/Logging_ARE/kartor/A 6108-2023.png")</f>
        <v/>
      </c>
      <c r="V794">
        <f>HYPERLINK("https://klasma.github.io/Logging_ARE/klagomål/A 6108-2023.docx")</f>
        <v/>
      </c>
      <c r="W794">
        <f>HYPERLINK("https://klasma.github.io/Logging_ARE/klagomålsmail/A 6108-2023.docx")</f>
        <v/>
      </c>
      <c r="X794">
        <f>HYPERLINK("https://klasma.github.io/Logging_ARE/tillsyn/A 6108-2023.docx")</f>
        <v/>
      </c>
      <c r="Y794">
        <f>HYPERLINK("https://klasma.github.io/Logging_ARE/tillsynsmail/A 6108-2023.docx")</f>
        <v/>
      </c>
    </row>
    <row r="795" ht="15" customHeight="1">
      <c r="A795" t="inlineStr">
        <is>
          <t>A 6107-2023</t>
        </is>
      </c>
      <c r="B795" s="1" t="n">
        <v>44964</v>
      </c>
      <c r="C795" s="1" t="n">
        <v>45182</v>
      </c>
      <c r="D795" t="inlineStr">
        <is>
          <t>JÄMTLANDS LÄN</t>
        </is>
      </c>
      <c r="E795" t="inlineStr">
        <is>
          <t>ÅRE</t>
        </is>
      </c>
      <c r="G795" t="n">
        <v>1.9</v>
      </c>
      <c r="H795" t="n">
        <v>0</v>
      </c>
      <c r="I795" t="n">
        <v>1</v>
      </c>
      <c r="J795" t="n">
        <v>1</v>
      </c>
      <c r="K795" t="n">
        <v>0</v>
      </c>
      <c r="L795" t="n">
        <v>0</v>
      </c>
      <c r="M795" t="n">
        <v>0</v>
      </c>
      <c r="N795" t="n">
        <v>0</v>
      </c>
      <c r="O795" t="n">
        <v>1</v>
      </c>
      <c r="P795" t="n">
        <v>0</v>
      </c>
      <c r="Q795" t="n">
        <v>2</v>
      </c>
      <c r="R795" s="2" t="inlineStr">
        <is>
          <t>Skrovellav
Stuplav</t>
        </is>
      </c>
      <c r="S795">
        <f>HYPERLINK("https://klasma.github.io/Logging_ARE/artfynd/A 6107-2023.xlsx")</f>
        <v/>
      </c>
      <c r="T795">
        <f>HYPERLINK("https://klasma.github.io/Logging_ARE/kartor/A 6107-2023.png")</f>
        <v/>
      </c>
      <c r="V795">
        <f>HYPERLINK("https://klasma.github.io/Logging_ARE/klagomål/A 6107-2023.docx")</f>
        <v/>
      </c>
      <c r="W795">
        <f>HYPERLINK("https://klasma.github.io/Logging_ARE/klagomålsmail/A 6107-2023.docx")</f>
        <v/>
      </c>
      <c r="X795">
        <f>HYPERLINK("https://klasma.github.io/Logging_ARE/tillsyn/A 6107-2023.docx")</f>
        <v/>
      </c>
      <c r="Y795">
        <f>HYPERLINK("https://klasma.github.io/Logging_ARE/tillsynsmail/A 6107-2023.docx")</f>
        <v/>
      </c>
    </row>
    <row r="796" ht="15" customHeight="1">
      <c r="A796" t="inlineStr">
        <is>
          <t>A 7473-2023</t>
        </is>
      </c>
      <c r="B796" s="1" t="n">
        <v>44966</v>
      </c>
      <c r="C796" s="1" t="n">
        <v>45182</v>
      </c>
      <c r="D796" t="inlineStr">
        <is>
          <t>JÄMTLANDS LÄN</t>
        </is>
      </c>
      <c r="E796" t="inlineStr">
        <is>
          <t>BERG</t>
        </is>
      </c>
      <c r="G796" t="n">
        <v>26.8</v>
      </c>
      <c r="H796" t="n">
        <v>1</v>
      </c>
      <c r="I796" t="n">
        <v>1</v>
      </c>
      <c r="J796" t="n">
        <v>1</v>
      </c>
      <c r="K796" t="n">
        <v>0</v>
      </c>
      <c r="L796" t="n">
        <v>0</v>
      </c>
      <c r="M796" t="n">
        <v>0</v>
      </c>
      <c r="N796" t="n">
        <v>0</v>
      </c>
      <c r="O796" t="n">
        <v>1</v>
      </c>
      <c r="P796" t="n">
        <v>0</v>
      </c>
      <c r="Q796" t="n">
        <v>2</v>
      </c>
      <c r="R796" s="2" t="inlineStr">
        <is>
          <t>Tretåig hackspett
Dropptaggsvamp</t>
        </is>
      </c>
      <c r="S796">
        <f>HYPERLINK("https://klasma.github.io/Logging_BERG/artfynd/A 7473-2023.xlsx")</f>
        <v/>
      </c>
      <c r="T796">
        <f>HYPERLINK("https://klasma.github.io/Logging_BERG/kartor/A 7473-2023.png")</f>
        <v/>
      </c>
      <c r="V796">
        <f>HYPERLINK("https://klasma.github.io/Logging_BERG/klagomål/A 7473-2023.docx")</f>
        <v/>
      </c>
      <c r="W796">
        <f>HYPERLINK("https://klasma.github.io/Logging_BERG/klagomålsmail/A 7473-2023.docx")</f>
        <v/>
      </c>
      <c r="X796">
        <f>HYPERLINK("https://klasma.github.io/Logging_BERG/tillsyn/A 7473-2023.docx")</f>
        <v/>
      </c>
      <c r="Y796">
        <f>HYPERLINK("https://klasma.github.io/Logging_BERG/tillsynsmail/A 7473-2023.docx")</f>
        <v/>
      </c>
    </row>
    <row r="797" ht="15" customHeight="1">
      <c r="A797" t="inlineStr">
        <is>
          <t>A 7170-2023</t>
        </is>
      </c>
      <c r="B797" s="1" t="n">
        <v>44970</v>
      </c>
      <c r="C797" s="1" t="n">
        <v>45182</v>
      </c>
      <c r="D797" t="inlineStr">
        <is>
          <t>JÄMTLANDS LÄN</t>
        </is>
      </c>
      <c r="E797" t="inlineStr">
        <is>
          <t>ÅRE</t>
        </is>
      </c>
      <c r="F797" t="inlineStr">
        <is>
          <t>Övriga Aktiebolag</t>
        </is>
      </c>
      <c r="G797" t="n">
        <v>37.3</v>
      </c>
      <c r="H797" t="n">
        <v>0</v>
      </c>
      <c r="I797" t="n">
        <v>0</v>
      </c>
      <c r="J797" t="n">
        <v>2</v>
      </c>
      <c r="K797" t="n">
        <v>0</v>
      </c>
      <c r="L797" t="n">
        <v>0</v>
      </c>
      <c r="M797" t="n">
        <v>0</v>
      </c>
      <c r="N797" t="n">
        <v>0</v>
      </c>
      <c r="O797" t="n">
        <v>2</v>
      </c>
      <c r="P797" t="n">
        <v>0</v>
      </c>
      <c r="Q797" t="n">
        <v>2</v>
      </c>
      <c r="R797" s="2" t="inlineStr">
        <is>
          <t>Lunglav
Skrovellav</t>
        </is>
      </c>
      <c r="S797">
        <f>HYPERLINK("https://klasma.github.io/Logging_ARE/artfynd/A 7170-2023.xlsx")</f>
        <v/>
      </c>
      <c r="T797">
        <f>HYPERLINK("https://klasma.github.io/Logging_ARE/kartor/A 7170-2023.png")</f>
        <v/>
      </c>
      <c r="V797">
        <f>HYPERLINK("https://klasma.github.io/Logging_ARE/klagomål/A 7170-2023.docx")</f>
        <v/>
      </c>
      <c r="W797">
        <f>HYPERLINK("https://klasma.github.io/Logging_ARE/klagomålsmail/A 7170-2023.docx")</f>
        <v/>
      </c>
      <c r="X797">
        <f>HYPERLINK("https://klasma.github.io/Logging_ARE/tillsyn/A 7170-2023.docx")</f>
        <v/>
      </c>
      <c r="Y797">
        <f>HYPERLINK("https://klasma.github.io/Logging_ARE/tillsynsmail/A 7170-2023.docx")</f>
        <v/>
      </c>
    </row>
    <row r="798" ht="15" customHeight="1">
      <c r="A798" t="inlineStr">
        <is>
          <t>A 8033-2023</t>
        </is>
      </c>
      <c r="B798" s="1" t="n">
        <v>44973</v>
      </c>
      <c r="C798" s="1" t="n">
        <v>45182</v>
      </c>
      <c r="D798" t="inlineStr">
        <is>
          <t>JÄMTLANDS LÄN</t>
        </is>
      </c>
      <c r="E798" t="inlineStr">
        <is>
          <t>RAGUNDA</t>
        </is>
      </c>
      <c r="F798" t="inlineStr">
        <is>
          <t>SCA</t>
        </is>
      </c>
      <c r="G798" t="n">
        <v>9.199999999999999</v>
      </c>
      <c r="H798" t="n">
        <v>0</v>
      </c>
      <c r="I798" t="n">
        <v>1</v>
      </c>
      <c r="J798" t="n">
        <v>1</v>
      </c>
      <c r="K798" t="n">
        <v>0</v>
      </c>
      <c r="L798" t="n">
        <v>0</v>
      </c>
      <c r="M798" t="n">
        <v>0</v>
      </c>
      <c r="N798" t="n">
        <v>0</v>
      </c>
      <c r="O798" t="n">
        <v>1</v>
      </c>
      <c r="P798" t="n">
        <v>0</v>
      </c>
      <c r="Q798" t="n">
        <v>2</v>
      </c>
      <c r="R798" s="2" t="inlineStr">
        <is>
          <t>Kolflarnlav
Grönpyrola</t>
        </is>
      </c>
      <c r="S798">
        <f>HYPERLINK("https://klasma.github.io/Logging_RAGUNDA/artfynd/A 8033-2023.xlsx")</f>
        <v/>
      </c>
      <c r="T798">
        <f>HYPERLINK("https://klasma.github.io/Logging_RAGUNDA/kartor/A 8033-2023.png")</f>
        <v/>
      </c>
      <c r="V798">
        <f>HYPERLINK("https://klasma.github.io/Logging_RAGUNDA/klagomål/A 8033-2023.docx")</f>
        <v/>
      </c>
      <c r="W798">
        <f>HYPERLINK("https://klasma.github.io/Logging_RAGUNDA/klagomålsmail/A 8033-2023.docx")</f>
        <v/>
      </c>
      <c r="X798">
        <f>HYPERLINK("https://klasma.github.io/Logging_RAGUNDA/tillsyn/A 8033-2023.docx")</f>
        <v/>
      </c>
      <c r="Y798">
        <f>HYPERLINK("https://klasma.github.io/Logging_RAGUNDA/tillsynsmail/A 8033-2023.docx")</f>
        <v/>
      </c>
    </row>
    <row r="799" ht="15" customHeight="1">
      <c r="A799" t="inlineStr">
        <is>
          <t>A 8673-2023</t>
        </is>
      </c>
      <c r="B799" s="1" t="n">
        <v>44977</v>
      </c>
      <c r="C799" s="1" t="n">
        <v>45182</v>
      </c>
      <c r="D799" t="inlineStr">
        <is>
          <t>JÄMTLANDS LÄN</t>
        </is>
      </c>
      <c r="E799" t="inlineStr">
        <is>
          <t>BRÄCKE</t>
        </is>
      </c>
      <c r="G799" t="n">
        <v>11.6</v>
      </c>
      <c r="H799" t="n">
        <v>0</v>
      </c>
      <c r="I799" t="n">
        <v>1</v>
      </c>
      <c r="J799" t="n">
        <v>1</v>
      </c>
      <c r="K799" t="n">
        <v>0</v>
      </c>
      <c r="L799" t="n">
        <v>0</v>
      </c>
      <c r="M799" t="n">
        <v>0</v>
      </c>
      <c r="N799" t="n">
        <v>0</v>
      </c>
      <c r="O799" t="n">
        <v>1</v>
      </c>
      <c r="P799" t="n">
        <v>0</v>
      </c>
      <c r="Q799" t="n">
        <v>2</v>
      </c>
      <c r="R799" s="2" t="inlineStr">
        <is>
          <t>Ullticka
Dropptaggsvamp</t>
        </is>
      </c>
      <c r="S799">
        <f>HYPERLINK("https://klasma.github.io/Logging_BRACKE/artfynd/A 8673-2023.xlsx")</f>
        <v/>
      </c>
      <c r="T799">
        <f>HYPERLINK("https://klasma.github.io/Logging_BRACKE/kartor/A 8673-2023.png")</f>
        <v/>
      </c>
      <c r="V799">
        <f>HYPERLINK("https://klasma.github.io/Logging_BRACKE/klagomål/A 8673-2023.docx")</f>
        <v/>
      </c>
      <c r="W799">
        <f>HYPERLINK("https://klasma.github.io/Logging_BRACKE/klagomålsmail/A 8673-2023.docx")</f>
        <v/>
      </c>
      <c r="X799">
        <f>HYPERLINK("https://klasma.github.io/Logging_BRACKE/tillsyn/A 8673-2023.docx")</f>
        <v/>
      </c>
      <c r="Y799">
        <f>HYPERLINK("https://klasma.github.io/Logging_BRACKE/tillsynsmail/A 8673-2023.docx")</f>
        <v/>
      </c>
    </row>
    <row r="800" ht="15" customHeight="1">
      <c r="A800" t="inlineStr">
        <is>
          <t>A 9340-2023</t>
        </is>
      </c>
      <c r="B800" s="1" t="n">
        <v>44980</v>
      </c>
      <c r="C800" s="1" t="n">
        <v>45182</v>
      </c>
      <c r="D800" t="inlineStr">
        <is>
          <t>JÄMTLANDS LÄN</t>
        </is>
      </c>
      <c r="E800" t="inlineStr">
        <is>
          <t>RAGUNDA</t>
        </is>
      </c>
      <c r="G800" t="n">
        <v>2.9</v>
      </c>
      <c r="H800" t="n">
        <v>0</v>
      </c>
      <c r="I800" t="n">
        <v>0</v>
      </c>
      <c r="J800" t="n">
        <v>2</v>
      </c>
      <c r="K800" t="n">
        <v>0</v>
      </c>
      <c r="L800" t="n">
        <v>0</v>
      </c>
      <c r="M800" t="n">
        <v>0</v>
      </c>
      <c r="N800" t="n">
        <v>0</v>
      </c>
      <c r="O800" t="n">
        <v>2</v>
      </c>
      <c r="P800" t="n">
        <v>0</v>
      </c>
      <c r="Q800" t="n">
        <v>2</v>
      </c>
      <c r="R800" s="2" t="inlineStr">
        <is>
          <t>Garnlav
Lunglav</t>
        </is>
      </c>
      <c r="S800">
        <f>HYPERLINK("https://klasma.github.io/Logging_RAGUNDA/artfynd/A 9340-2023.xlsx")</f>
        <v/>
      </c>
      <c r="T800">
        <f>HYPERLINK("https://klasma.github.io/Logging_RAGUNDA/kartor/A 9340-2023.png")</f>
        <v/>
      </c>
      <c r="V800">
        <f>HYPERLINK("https://klasma.github.io/Logging_RAGUNDA/klagomål/A 9340-2023.docx")</f>
        <v/>
      </c>
      <c r="W800">
        <f>HYPERLINK("https://klasma.github.io/Logging_RAGUNDA/klagomålsmail/A 9340-2023.docx")</f>
        <v/>
      </c>
      <c r="X800">
        <f>HYPERLINK("https://klasma.github.io/Logging_RAGUNDA/tillsyn/A 9340-2023.docx")</f>
        <v/>
      </c>
      <c r="Y800">
        <f>HYPERLINK("https://klasma.github.io/Logging_RAGUNDA/tillsynsmail/A 9340-2023.docx")</f>
        <v/>
      </c>
    </row>
    <row r="801" ht="15" customHeight="1">
      <c r="A801" t="inlineStr">
        <is>
          <t>A 10133-2023</t>
        </is>
      </c>
      <c r="B801" s="1" t="n">
        <v>44986</v>
      </c>
      <c r="C801" s="1" t="n">
        <v>45182</v>
      </c>
      <c r="D801" t="inlineStr">
        <is>
          <t>JÄMTLANDS LÄN</t>
        </is>
      </c>
      <c r="E801" t="inlineStr">
        <is>
          <t>BERG</t>
        </is>
      </c>
      <c r="F801" t="inlineStr">
        <is>
          <t>Holmen skog AB</t>
        </is>
      </c>
      <c r="G801" t="n">
        <v>3</v>
      </c>
      <c r="H801" t="n">
        <v>0</v>
      </c>
      <c r="I801" t="n">
        <v>0</v>
      </c>
      <c r="J801" t="n">
        <v>2</v>
      </c>
      <c r="K801" t="n">
        <v>0</v>
      </c>
      <c r="L801" t="n">
        <v>0</v>
      </c>
      <c r="M801" t="n">
        <v>0</v>
      </c>
      <c r="N801" t="n">
        <v>0</v>
      </c>
      <c r="O801" t="n">
        <v>2</v>
      </c>
      <c r="P801" t="n">
        <v>0</v>
      </c>
      <c r="Q801" t="n">
        <v>2</v>
      </c>
      <c r="R801" s="2" t="inlineStr">
        <is>
          <t>Garnlav
Vitgrynig nållav</t>
        </is>
      </c>
      <c r="S801">
        <f>HYPERLINK("https://klasma.github.io/Logging_BERG/artfynd/A 10133-2023.xlsx")</f>
        <v/>
      </c>
      <c r="T801">
        <f>HYPERLINK("https://klasma.github.io/Logging_BERG/kartor/A 10133-2023.png")</f>
        <v/>
      </c>
      <c r="V801">
        <f>HYPERLINK("https://klasma.github.io/Logging_BERG/klagomål/A 10133-2023.docx")</f>
        <v/>
      </c>
      <c r="W801">
        <f>HYPERLINK("https://klasma.github.io/Logging_BERG/klagomålsmail/A 10133-2023.docx")</f>
        <v/>
      </c>
      <c r="X801">
        <f>HYPERLINK("https://klasma.github.io/Logging_BERG/tillsyn/A 10133-2023.docx")</f>
        <v/>
      </c>
      <c r="Y801">
        <f>HYPERLINK("https://klasma.github.io/Logging_BERG/tillsynsmail/A 10133-2023.docx")</f>
        <v/>
      </c>
    </row>
    <row r="802" ht="15" customHeight="1">
      <c r="A802" t="inlineStr">
        <is>
          <t>A 13189-2023</t>
        </is>
      </c>
      <c r="B802" s="1" t="n">
        <v>45002</v>
      </c>
      <c r="C802" s="1" t="n">
        <v>45182</v>
      </c>
      <c r="D802" t="inlineStr">
        <is>
          <t>JÄMTLANDS LÄN</t>
        </is>
      </c>
      <c r="E802" t="inlineStr">
        <is>
          <t>STRÖMSUND</t>
        </is>
      </c>
      <c r="G802" t="n">
        <v>14.9</v>
      </c>
      <c r="H802" t="n">
        <v>1</v>
      </c>
      <c r="I802" t="n">
        <v>1</v>
      </c>
      <c r="J802" t="n">
        <v>1</v>
      </c>
      <c r="K802" t="n">
        <v>0</v>
      </c>
      <c r="L802" t="n">
        <v>0</v>
      </c>
      <c r="M802" t="n">
        <v>0</v>
      </c>
      <c r="N802" t="n">
        <v>0</v>
      </c>
      <c r="O802" t="n">
        <v>1</v>
      </c>
      <c r="P802" t="n">
        <v>0</v>
      </c>
      <c r="Q802" t="n">
        <v>2</v>
      </c>
      <c r="R802" s="2" t="inlineStr">
        <is>
          <t>Lunglav
Guckusko</t>
        </is>
      </c>
      <c r="S802">
        <f>HYPERLINK("https://klasma.github.io/Logging_STROMSUND/artfynd/A 13189-2023.xlsx")</f>
        <v/>
      </c>
      <c r="T802">
        <f>HYPERLINK("https://klasma.github.io/Logging_STROMSUND/kartor/A 13189-2023.png")</f>
        <v/>
      </c>
      <c r="V802">
        <f>HYPERLINK("https://klasma.github.io/Logging_STROMSUND/klagomål/A 13189-2023.docx")</f>
        <v/>
      </c>
      <c r="W802">
        <f>HYPERLINK("https://klasma.github.io/Logging_STROMSUND/klagomålsmail/A 13189-2023.docx")</f>
        <v/>
      </c>
      <c r="X802">
        <f>HYPERLINK("https://klasma.github.io/Logging_STROMSUND/tillsyn/A 13189-2023.docx")</f>
        <v/>
      </c>
      <c r="Y802">
        <f>HYPERLINK("https://klasma.github.io/Logging_STROMSUND/tillsynsmail/A 13189-2023.docx")</f>
        <v/>
      </c>
    </row>
    <row r="803" ht="15" customHeight="1">
      <c r="A803" t="inlineStr">
        <is>
          <t>A 13486-2023</t>
        </is>
      </c>
      <c r="B803" s="1" t="n">
        <v>45005</v>
      </c>
      <c r="C803" s="1" t="n">
        <v>45182</v>
      </c>
      <c r="D803" t="inlineStr">
        <is>
          <t>JÄMTLANDS LÄN</t>
        </is>
      </c>
      <c r="E803" t="inlineStr">
        <is>
          <t>RAGUNDA</t>
        </is>
      </c>
      <c r="F803" t="inlineStr">
        <is>
          <t>SCA</t>
        </is>
      </c>
      <c r="G803" t="n">
        <v>4</v>
      </c>
      <c r="H803" t="n">
        <v>0</v>
      </c>
      <c r="I803" t="n">
        <v>0</v>
      </c>
      <c r="J803" t="n">
        <v>2</v>
      </c>
      <c r="K803" t="n">
        <v>0</v>
      </c>
      <c r="L803" t="n">
        <v>0</v>
      </c>
      <c r="M803" t="n">
        <v>0</v>
      </c>
      <c r="N803" t="n">
        <v>0</v>
      </c>
      <c r="O803" t="n">
        <v>2</v>
      </c>
      <c r="P803" t="n">
        <v>0</v>
      </c>
      <c r="Q803" t="n">
        <v>2</v>
      </c>
      <c r="R803" s="2" t="inlineStr">
        <is>
          <t>Dvärgbägarlav
Lunglav</t>
        </is>
      </c>
      <c r="S803">
        <f>HYPERLINK("https://klasma.github.io/Logging_RAGUNDA/artfynd/A 13486-2023.xlsx")</f>
        <v/>
      </c>
      <c r="T803">
        <f>HYPERLINK("https://klasma.github.io/Logging_RAGUNDA/kartor/A 13486-2023.png")</f>
        <v/>
      </c>
      <c r="V803">
        <f>HYPERLINK("https://klasma.github.io/Logging_RAGUNDA/klagomål/A 13486-2023.docx")</f>
        <v/>
      </c>
      <c r="W803">
        <f>HYPERLINK("https://klasma.github.io/Logging_RAGUNDA/klagomålsmail/A 13486-2023.docx")</f>
        <v/>
      </c>
      <c r="X803">
        <f>HYPERLINK("https://klasma.github.io/Logging_RAGUNDA/tillsyn/A 13486-2023.docx")</f>
        <v/>
      </c>
      <c r="Y803">
        <f>HYPERLINK("https://klasma.github.io/Logging_RAGUNDA/tillsynsmail/A 13486-2023.docx")</f>
        <v/>
      </c>
    </row>
    <row r="804" ht="15" customHeight="1">
      <c r="A804" t="inlineStr">
        <is>
          <t>A 14669-2023</t>
        </is>
      </c>
      <c r="B804" s="1" t="n">
        <v>45013</v>
      </c>
      <c r="C804" s="1" t="n">
        <v>45182</v>
      </c>
      <c r="D804" t="inlineStr">
        <is>
          <t>JÄMTLANDS LÄN</t>
        </is>
      </c>
      <c r="E804" t="inlineStr">
        <is>
          <t>BRÄCKE</t>
        </is>
      </c>
      <c r="F804" t="inlineStr">
        <is>
          <t>SCA</t>
        </is>
      </c>
      <c r="G804" t="n">
        <v>1.2</v>
      </c>
      <c r="H804" t="n">
        <v>2</v>
      </c>
      <c r="I804" t="n">
        <v>0</v>
      </c>
      <c r="J804" t="n">
        <v>2</v>
      </c>
      <c r="K804" t="n">
        <v>0</v>
      </c>
      <c r="L804" t="n">
        <v>0</v>
      </c>
      <c r="M804" t="n">
        <v>0</v>
      </c>
      <c r="N804" t="n">
        <v>0</v>
      </c>
      <c r="O804" t="n">
        <v>2</v>
      </c>
      <c r="P804" t="n">
        <v>0</v>
      </c>
      <c r="Q804" t="n">
        <v>2</v>
      </c>
      <c r="R804" s="2" t="inlineStr">
        <is>
          <t>Duvhök
Järpe</t>
        </is>
      </c>
      <c r="S804">
        <f>HYPERLINK("https://klasma.github.io/Logging_BRACKE/artfynd/A 14669-2023.xlsx")</f>
        <v/>
      </c>
      <c r="T804">
        <f>HYPERLINK("https://klasma.github.io/Logging_BRACKE/kartor/A 14669-2023.png")</f>
        <v/>
      </c>
      <c r="V804">
        <f>HYPERLINK("https://klasma.github.io/Logging_BRACKE/klagomål/A 14669-2023.docx")</f>
        <v/>
      </c>
      <c r="W804">
        <f>HYPERLINK("https://klasma.github.io/Logging_BRACKE/klagomålsmail/A 14669-2023.docx")</f>
        <v/>
      </c>
      <c r="X804">
        <f>HYPERLINK("https://klasma.github.io/Logging_BRACKE/tillsyn/A 14669-2023.docx")</f>
        <v/>
      </c>
      <c r="Y804">
        <f>HYPERLINK("https://klasma.github.io/Logging_BRACKE/tillsynsmail/A 14669-2023.docx")</f>
        <v/>
      </c>
    </row>
    <row r="805" ht="15" customHeight="1">
      <c r="A805" t="inlineStr">
        <is>
          <t>A 16761-2023</t>
        </is>
      </c>
      <c r="B805" s="1" t="n">
        <v>45030</v>
      </c>
      <c r="C805" s="1" t="n">
        <v>45182</v>
      </c>
      <c r="D805" t="inlineStr">
        <is>
          <t>JÄMTLANDS LÄN</t>
        </is>
      </c>
      <c r="E805" t="inlineStr">
        <is>
          <t>STRÖMSUND</t>
        </is>
      </c>
      <c r="F805" t="inlineStr">
        <is>
          <t>SCA</t>
        </is>
      </c>
      <c r="G805" t="n">
        <v>41.3</v>
      </c>
      <c r="H805" t="n">
        <v>1</v>
      </c>
      <c r="I805" t="n">
        <v>1</v>
      </c>
      <c r="J805" t="n">
        <v>1</v>
      </c>
      <c r="K805" t="n">
        <v>0</v>
      </c>
      <c r="L805" t="n">
        <v>0</v>
      </c>
      <c r="M805" t="n">
        <v>0</v>
      </c>
      <c r="N805" t="n">
        <v>0</v>
      </c>
      <c r="O805" t="n">
        <v>1</v>
      </c>
      <c r="P805" t="n">
        <v>0</v>
      </c>
      <c r="Q805" t="n">
        <v>2</v>
      </c>
      <c r="R805" s="2" t="inlineStr">
        <is>
          <t>Brunklöver
Plattlummer</t>
        </is>
      </c>
      <c r="S805">
        <f>HYPERLINK("https://klasma.github.io/Logging_STROMSUND/artfynd/A 16761-2023.xlsx")</f>
        <v/>
      </c>
      <c r="T805">
        <f>HYPERLINK("https://klasma.github.io/Logging_STROMSUND/kartor/A 16761-2023.png")</f>
        <v/>
      </c>
      <c r="V805">
        <f>HYPERLINK("https://klasma.github.io/Logging_STROMSUND/klagomål/A 16761-2023.docx")</f>
        <v/>
      </c>
      <c r="W805">
        <f>HYPERLINK("https://klasma.github.io/Logging_STROMSUND/klagomålsmail/A 16761-2023.docx")</f>
        <v/>
      </c>
      <c r="X805">
        <f>HYPERLINK("https://klasma.github.io/Logging_STROMSUND/tillsyn/A 16761-2023.docx")</f>
        <v/>
      </c>
      <c r="Y805">
        <f>HYPERLINK("https://klasma.github.io/Logging_STROMSUND/tillsynsmail/A 16761-2023.docx")</f>
        <v/>
      </c>
    </row>
    <row r="806" ht="15" customHeight="1">
      <c r="A806" t="inlineStr">
        <is>
          <t>A 17956-2023</t>
        </is>
      </c>
      <c r="B806" s="1" t="n">
        <v>45037</v>
      </c>
      <c r="C806" s="1" t="n">
        <v>45182</v>
      </c>
      <c r="D806" t="inlineStr">
        <is>
          <t>JÄMTLANDS LÄN</t>
        </is>
      </c>
      <c r="E806" t="inlineStr">
        <is>
          <t>STRÖMSUND</t>
        </is>
      </c>
      <c r="G806" t="n">
        <v>5.1</v>
      </c>
      <c r="H806" t="n">
        <v>0</v>
      </c>
      <c r="I806" t="n">
        <v>1</v>
      </c>
      <c r="J806" t="n">
        <v>1</v>
      </c>
      <c r="K806" t="n">
        <v>0</v>
      </c>
      <c r="L806" t="n">
        <v>0</v>
      </c>
      <c r="M806" t="n">
        <v>0</v>
      </c>
      <c r="N806" t="n">
        <v>0</v>
      </c>
      <c r="O806" t="n">
        <v>1</v>
      </c>
      <c r="P806" t="n">
        <v>0</v>
      </c>
      <c r="Q806" t="n">
        <v>2</v>
      </c>
      <c r="R806" s="2" t="inlineStr">
        <is>
          <t>Koralltaggsvamp
Stuplav</t>
        </is>
      </c>
      <c r="S806">
        <f>HYPERLINK("https://klasma.github.io/Logging_STROMSUND/artfynd/A 17956-2023.xlsx")</f>
        <v/>
      </c>
      <c r="T806">
        <f>HYPERLINK("https://klasma.github.io/Logging_STROMSUND/kartor/A 17956-2023.png")</f>
        <v/>
      </c>
      <c r="V806">
        <f>HYPERLINK("https://klasma.github.io/Logging_STROMSUND/klagomål/A 17956-2023.docx")</f>
        <v/>
      </c>
      <c r="W806">
        <f>HYPERLINK("https://klasma.github.io/Logging_STROMSUND/klagomålsmail/A 17956-2023.docx")</f>
        <v/>
      </c>
      <c r="X806">
        <f>HYPERLINK("https://klasma.github.io/Logging_STROMSUND/tillsyn/A 17956-2023.docx")</f>
        <v/>
      </c>
      <c r="Y806">
        <f>HYPERLINK("https://klasma.github.io/Logging_STROMSUND/tillsynsmail/A 17956-2023.docx")</f>
        <v/>
      </c>
    </row>
    <row r="807" ht="15" customHeight="1">
      <c r="A807" t="inlineStr">
        <is>
          <t>A 19147-2023</t>
        </is>
      </c>
      <c r="B807" s="1" t="n">
        <v>45044</v>
      </c>
      <c r="C807" s="1" t="n">
        <v>45182</v>
      </c>
      <c r="D807" t="inlineStr">
        <is>
          <t>JÄMTLANDS LÄN</t>
        </is>
      </c>
      <c r="E807" t="inlineStr">
        <is>
          <t>ÖSTERSUND</t>
        </is>
      </c>
      <c r="G807" t="n">
        <v>5</v>
      </c>
      <c r="H807" t="n">
        <v>0</v>
      </c>
      <c r="I807" t="n">
        <v>0</v>
      </c>
      <c r="J807" t="n">
        <v>1</v>
      </c>
      <c r="K807" t="n">
        <v>0</v>
      </c>
      <c r="L807" t="n">
        <v>1</v>
      </c>
      <c r="M807" t="n">
        <v>0</v>
      </c>
      <c r="N807" t="n">
        <v>0</v>
      </c>
      <c r="O807" t="n">
        <v>2</v>
      </c>
      <c r="P807" t="n">
        <v>1</v>
      </c>
      <c r="Q807" t="n">
        <v>2</v>
      </c>
      <c r="R807" s="2" t="inlineStr">
        <is>
          <t>Bredgentiana
Scharlakansvaxskivling</t>
        </is>
      </c>
      <c r="S807">
        <f>HYPERLINK("https://klasma.github.io/Logging_OSTERSUND/artfynd/A 19147-2023.xlsx")</f>
        <v/>
      </c>
      <c r="T807">
        <f>HYPERLINK("https://klasma.github.io/Logging_OSTERSUND/kartor/A 19147-2023.png")</f>
        <v/>
      </c>
      <c r="V807">
        <f>HYPERLINK("https://klasma.github.io/Logging_OSTERSUND/klagomål/A 19147-2023.docx")</f>
        <v/>
      </c>
      <c r="W807">
        <f>HYPERLINK("https://klasma.github.io/Logging_OSTERSUND/klagomålsmail/A 19147-2023.docx")</f>
        <v/>
      </c>
      <c r="X807">
        <f>HYPERLINK("https://klasma.github.io/Logging_OSTERSUND/tillsyn/A 19147-2023.docx")</f>
        <v/>
      </c>
      <c r="Y807">
        <f>HYPERLINK("https://klasma.github.io/Logging_OSTERSUND/tillsynsmail/A 19147-2023.docx")</f>
        <v/>
      </c>
    </row>
    <row r="808" ht="15" customHeight="1">
      <c r="A808" t="inlineStr">
        <is>
          <t>A 19437-2023</t>
        </is>
      </c>
      <c r="B808" s="1" t="n">
        <v>45049</v>
      </c>
      <c r="C808" s="1" t="n">
        <v>45182</v>
      </c>
      <c r="D808" t="inlineStr">
        <is>
          <t>JÄMTLANDS LÄN</t>
        </is>
      </c>
      <c r="E808" t="inlineStr">
        <is>
          <t>BRÄCKE</t>
        </is>
      </c>
      <c r="G808" t="n">
        <v>1.5</v>
      </c>
      <c r="H808" t="n">
        <v>0</v>
      </c>
      <c r="I808" t="n">
        <v>2</v>
      </c>
      <c r="J808" t="n">
        <v>0</v>
      </c>
      <c r="K808" t="n">
        <v>0</v>
      </c>
      <c r="L808" t="n">
        <v>0</v>
      </c>
      <c r="M808" t="n">
        <v>0</v>
      </c>
      <c r="N808" t="n">
        <v>0</v>
      </c>
      <c r="O808" t="n">
        <v>0</v>
      </c>
      <c r="P808" t="n">
        <v>0</v>
      </c>
      <c r="Q808" t="n">
        <v>2</v>
      </c>
      <c r="R808" s="2" t="inlineStr">
        <is>
          <t>Stuplav
Svart trolldruva</t>
        </is>
      </c>
      <c r="S808">
        <f>HYPERLINK("https://klasma.github.io/Logging_BRACKE/artfynd/A 19437-2023.xlsx")</f>
        <v/>
      </c>
      <c r="T808">
        <f>HYPERLINK("https://klasma.github.io/Logging_BRACKE/kartor/A 19437-2023.png")</f>
        <v/>
      </c>
      <c r="U808">
        <f>HYPERLINK("https://klasma.github.io/Logging_BRACKE/knärot/A 19437-2023.png")</f>
        <v/>
      </c>
      <c r="V808">
        <f>HYPERLINK("https://klasma.github.io/Logging_BRACKE/klagomål/A 19437-2023.docx")</f>
        <v/>
      </c>
      <c r="W808">
        <f>HYPERLINK("https://klasma.github.io/Logging_BRACKE/klagomålsmail/A 19437-2023.docx")</f>
        <v/>
      </c>
      <c r="X808">
        <f>HYPERLINK("https://klasma.github.io/Logging_BRACKE/tillsyn/A 19437-2023.docx")</f>
        <v/>
      </c>
      <c r="Y808">
        <f>HYPERLINK("https://klasma.github.io/Logging_BRACKE/tillsynsmail/A 19437-2023.docx")</f>
        <v/>
      </c>
    </row>
    <row r="809" ht="15" customHeight="1">
      <c r="A809" t="inlineStr">
        <is>
          <t>A 19818-2023</t>
        </is>
      </c>
      <c r="B809" s="1" t="n">
        <v>45051</v>
      </c>
      <c r="C809" s="1" t="n">
        <v>45182</v>
      </c>
      <c r="D809" t="inlineStr">
        <is>
          <t>JÄMTLANDS LÄN</t>
        </is>
      </c>
      <c r="E809" t="inlineStr">
        <is>
          <t>BRÄCKE</t>
        </is>
      </c>
      <c r="F809" t="inlineStr">
        <is>
          <t>SCA</t>
        </is>
      </c>
      <c r="G809" t="n">
        <v>2.8</v>
      </c>
      <c r="H809" t="n">
        <v>0</v>
      </c>
      <c r="I809" t="n">
        <v>0</v>
      </c>
      <c r="J809" t="n">
        <v>2</v>
      </c>
      <c r="K809" t="n">
        <v>0</v>
      </c>
      <c r="L809" t="n">
        <v>0</v>
      </c>
      <c r="M809" t="n">
        <v>0</v>
      </c>
      <c r="N809" t="n">
        <v>0</v>
      </c>
      <c r="O809" t="n">
        <v>2</v>
      </c>
      <c r="P809" t="n">
        <v>0</v>
      </c>
      <c r="Q809" t="n">
        <v>2</v>
      </c>
      <c r="R809" s="2" t="inlineStr">
        <is>
          <t>Lunglav
Stiftgelélav</t>
        </is>
      </c>
      <c r="S809">
        <f>HYPERLINK("https://klasma.github.io/Logging_BRACKE/artfynd/A 19818-2023.xlsx")</f>
        <v/>
      </c>
      <c r="T809">
        <f>HYPERLINK("https://klasma.github.io/Logging_BRACKE/kartor/A 19818-2023.png")</f>
        <v/>
      </c>
      <c r="V809">
        <f>HYPERLINK("https://klasma.github.io/Logging_BRACKE/klagomål/A 19818-2023.docx")</f>
        <v/>
      </c>
      <c r="W809">
        <f>HYPERLINK("https://klasma.github.io/Logging_BRACKE/klagomålsmail/A 19818-2023.docx")</f>
        <v/>
      </c>
      <c r="X809">
        <f>HYPERLINK("https://klasma.github.io/Logging_BRACKE/tillsyn/A 19818-2023.docx")</f>
        <v/>
      </c>
      <c r="Y809">
        <f>HYPERLINK("https://klasma.github.io/Logging_BRACKE/tillsynsmail/A 19818-2023.docx")</f>
        <v/>
      </c>
    </row>
    <row r="810" ht="15" customHeight="1">
      <c r="A810" t="inlineStr">
        <is>
          <t>A 23706-2023</t>
        </is>
      </c>
      <c r="B810" s="1" t="n">
        <v>45072</v>
      </c>
      <c r="C810" s="1" t="n">
        <v>45182</v>
      </c>
      <c r="D810" t="inlineStr">
        <is>
          <t>JÄMTLANDS LÄN</t>
        </is>
      </c>
      <c r="E810" t="inlineStr">
        <is>
          <t>ÅRE</t>
        </is>
      </c>
      <c r="G810" t="n">
        <v>8.1</v>
      </c>
      <c r="H810" t="n">
        <v>1</v>
      </c>
      <c r="I810" t="n">
        <v>0</v>
      </c>
      <c r="J810" t="n">
        <v>2</v>
      </c>
      <c r="K810" t="n">
        <v>0</v>
      </c>
      <c r="L810" t="n">
        <v>0</v>
      </c>
      <c r="M810" t="n">
        <v>0</v>
      </c>
      <c r="N810" t="n">
        <v>0</v>
      </c>
      <c r="O810" t="n">
        <v>2</v>
      </c>
      <c r="P810" t="n">
        <v>0</v>
      </c>
      <c r="Q810" t="n">
        <v>2</v>
      </c>
      <c r="R810" s="2" t="inlineStr">
        <is>
          <t>Granticka
Tretåig hackspett</t>
        </is>
      </c>
      <c r="S810">
        <f>HYPERLINK("https://klasma.github.io/Logging_ARE/artfynd/A 23706-2023.xlsx")</f>
        <v/>
      </c>
      <c r="T810">
        <f>HYPERLINK("https://klasma.github.io/Logging_ARE/kartor/A 23706-2023.png")</f>
        <v/>
      </c>
      <c r="V810">
        <f>HYPERLINK("https://klasma.github.io/Logging_ARE/klagomål/A 23706-2023.docx")</f>
        <v/>
      </c>
      <c r="W810">
        <f>HYPERLINK("https://klasma.github.io/Logging_ARE/klagomålsmail/A 23706-2023.docx")</f>
        <v/>
      </c>
      <c r="X810">
        <f>HYPERLINK("https://klasma.github.io/Logging_ARE/tillsyn/A 23706-2023.docx")</f>
        <v/>
      </c>
      <c r="Y810">
        <f>HYPERLINK("https://klasma.github.io/Logging_ARE/tillsynsmail/A 23706-2023.docx")</f>
        <v/>
      </c>
    </row>
    <row r="811" ht="15" customHeight="1">
      <c r="A811" t="inlineStr">
        <is>
          <t>A 22989-2023</t>
        </is>
      </c>
      <c r="B811" s="1" t="n">
        <v>45072</v>
      </c>
      <c r="C811" s="1" t="n">
        <v>45182</v>
      </c>
      <c r="D811" t="inlineStr">
        <is>
          <t>JÄMTLANDS LÄN</t>
        </is>
      </c>
      <c r="E811" t="inlineStr">
        <is>
          <t>BRÄCKE</t>
        </is>
      </c>
      <c r="F811" t="inlineStr">
        <is>
          <t>SCA</t>
        </is>
      </c>
      <c r="G811" t="n">
        <v>9.800000000000001</v>
      </c>
      <c r="H811" t="n">
        <v>0</v>
      </c>
      <c r="I811" t="n">
        <v>1</v>
      </c>
      <c r="J811" t="n">
        <v>1</v>
      </c>
      <c r="K811" t="n">
        <v>0</v>
      </c>
      <c r="L811" t="n">
        <v>0</v>
      </c>
      <c r="M811" t="n">
        <v>0</v>
      </c>
      <c r="N811" t="n">
        <v>0</v>
      </c>
      <c r="O811" t="n">
        <v>1</v>
      </c>
      <c r="P811" t="n">
        <v>0</v>
      </c>
      <c r="Q811" t="n">
        <v>2</v>
      </c>
      <c r="R811" s="2" t="inlineStr">
        <is>
          <t>Lunglav
Stuplav</t>
        </is>
      </c>
      <c r="S811">
        <f>HYPERLINK("https://klasma.github.io/Logging_BRACKE/artfynd/A 22989-2023.xlsx")</f>
        <v/>
      </c>
      <c r="T811">
        <f>HYPERLINK("https://klasma.github.io/Logging_BRACKE/kartor/A 22989-2023.png")</f>
        <v/>
      </c>
      <c r="V811">
        <f>HYPERLINK("https://klasma.github.io/Logging_BRACKE/klagomål/A 22989-2023.docx")</f>
        <v/>
      </c>
      <c r="W811">
        <f>HYPERLINK("https://klasma.github.io/Logging_BRACKE/klagomålsmail/A 22989-2023.docx")</f>
        <v/>
      </c>
      <c r="X811">
        <f>HYPERLINK("https://klasma.github.io/Logging_BRACKE/tillsyn/A 22989-2023.docx")</f>
        <v/>
      </c>
      <c r="Y811">
        <f>HYPERLINK("https://klasma.github.io/Logging_BRACKE/tillsynsmail/A 22989-2023.docx")</f>
        <v/>
      </c>
    </row>
    <row r="812" ht="15" customHeight="1">
      <c r="A812" t="inlineStr">
        <is>
          <t>A 23776-2023</t>
        </is>
      </c>
      <c r="B812" s="1" t="n">
        <v>45077</v>
      </c>
      <c r="C812" s="1" t="n">
        <v>45182</v>
      </c>
      <c r="D812" t="inlineStr">
        <is>
          <t>JÄMTLANDS LÄN</t>
        </is>
      </c>
      <c r="E812" t="inlineStr">
        <is>
          <t>STRÖMSUND</t>
        </is>
      </c>
      <c r="F812" t="inlineStr">
        <is>
          <t>SCA</t>
        </is>
      </c>
      <c r="G812" t="n">
        <v>10.6</v>
      </c>
      <c r="H812" t="n">
        <v>0</v>
      </c>
      <c r="I812" t="n">
        <v>1</v>
      </c>
      <c r="J812" t="n">
        <v>1</v>
      </c>
      <c r="K812" t="n">
        <v>0</v>
      </c>
      <c r="L812" t="n">
        <v>0</v>
      </c>
      <c r="M812" t="n">
        <v>0</v>
      </c>
      <c r="N812" t="n">
        <v>0</v>
      </c>
      <c r="O812" t="n">
        <v>1</v>
      </c>
      <c r="P812" t="n">
        <v>0</v>
      </c>
      <c r="Q812" t="n">
        <v>2</v>
      </c>
      <c r="R812" s="2" t="inlineStr">
        <is>
          <t>Lunglav
Stor aspticka</t>
        </is>
      </c>
      <c r="S812">
        <f>HYPERLINK("https://klasma.github.io/Logging_STROMSUND/artfynd/A 23776-2023.xlsx")</f>
        <v/>
      </c>
      <c r="T812">
        <f>HYPERLINK("https://klasma.github.io/Logging_STROMSUND/kartor/A 23776-2023.png")</f>
        <v/>
      </c>
      <c r="V812">
        <f>HYPERLINK("https://klasma.github.io/Logging_STROMSUND/klagomål/A 23776-2023.docx")</f>
        <v/>
      </c>
      <c r="W812">
        <f>HYPERLINK("https://klasma.github.io/Logging_STROMSUND/klagomålsmail/A 23776-2023.docx")</f>
        <v/>
      </c>
      <c r="X812">
        <f>HYPERLINK("https://klasma.github.io/Logging_STROMSUND/tillsyn/A 23776-2023.docx")</f>
        <v/>
      </c>
      <c r="Y812">
        <f>HYPERLINK("https://klasma.github.io/Logging_STROMSUND/tillsynsmail/A 23776-2023.docx")</f>
        <v/>
      </c>
    </row>
    <row r="813" ht="15" customHeight="1">
      <c r="A813" t="inlineStr">
        <is>
          <t>A 25327-2023</t>
        </is>
      </c>
      <c r="B813" s="1" t="n">
        <v>45086</v>
      </c>
      <c r="C813" s="1" t="n">
        <v>45182</v>
      </c>
      <c r="D813" t="inlineStr">
        <is>
          <t>JÄMTLANDS LÄN</t>
        </is>
      </c>
      <c r="E813" t="inlineStr">
        <is>
          <t>STRÖMSUND</t>
        </is>
      </c>
      <c r="F813" t="inlineStr">
        <is>
          <t>SCA</t>
        </is>
      </c>
      <c r="G813" t="n">
        <v>4.2</v>
      </c>
      <c r="H813" t="n">
        <v>0</v>
      </c>
      <c r="I813" t="n">
        <v>0</v>
      </c>
      <c r="J813" t="n">
        <v>2</v>
      </c>
      <c r="K813" t="n">
        <v>0</v>
      </c>
      <c r="L813" t="n">
        <v>0</v>
      </c>
      <c r="M813" t="n">
        <v>0</v>
      </c>
      <c r="N813" t="n">
        <v>0</v>
      </c>
      <c r="O813" t="n">
        <v>2</v>
      </c>
      <c r="P813" t="n">
        <v>0</v>
      </c>
      <c r="Q813" t="n">
        <v>2</v>
      </c>
      <c r="R813" s="2" t="inlineStr">
        <is>
          <t>Lunglav
Skrovellav</t>
        </is>
      </c>
      <c r="S813">
        <f>HYPERLINK("https://klasma.github.io/Logging_STROMSUND/artfynd/A 25327-2023.xlsx")</f>
        <v/>
      </c>
      <c r="T813">
        <f>HYPERLINK("https://klasma.github.io/Logging_STROMSUND/kartor/A 25327-2023.png")</f>
        <v/>
      </c>
      <c r="V813">
        <f>HYPERLINK("https://klasma.github.io/Logging_STROMSUND/klagomål/A 25327-2023.docx")</f>
        <v/>
      </c>
      <c r="W813">
        <f>HYPERLINK("https://klasma.github.io/Logging_STROMSUND/klagomålsmail/A 25327-2023.docx")</f>
        <v/>
      </c>
      <c r="X813">
        <f>HYPERLINK("https://klasma.github.io/Logging_STROMSUND/tillsyn/A 25327-2023.docx")</f>
        <v/>
      </c>
      <c r="Y813">
        <f>HYPERLINK("https://klasma.github.io/Logging_STROMSUND/tillsynsmail/A 25327-2023.docx")</f>
        <v/>
      </c>
    </row>
    <row r="814" ht="15" customHeight="1">
      <c r="A814" t="inlineStr">
        <is>
          <t>A 25742-2023</t>
        </is>
      </c>
      <c r="B814" s="1" t="n">
        <v>45090</v>
      </c>
      <c r="C814" s="1" t="n">
        <v>45182</v>
      </c>
      <c r="D814" t="inlineStr">
        <is>
          <t>JÄMTLANDS LÄN</t>
        </is>
      </c>
      <c r="E814" t="inlineStr">
        <is>
          <t>HÄRJEDALEN</t>
        </is>
      </c>
      <c r="F814" t="inlineStr">
        <is>
          <t>Bergvik skog väst AB</t>
        </is>
      </c>
      <c r="G814" t="n">
        <v>55</v>
      </c>
      <c r="H814" t="n">
        <v>0</v>
      </c>
      <c r="I814" t="n">
        <v>0</v>
      </c>
      <c r="J814" t="n">
        <v>2</v>
      </c>
      <c r="K814" t="n">
        <v>0</v>
      </c>
      <c r="L814" t="n">
        <v>0</v>
      </c>
      <c r="M814" t="n">
        <v>0</v>
      </c>
      <c r="N814" t="n">
        <v>0</v>
      </c>
      <c r="O814" t="n">
        <v>2</v>
      </c>
      <c r="P814" t="n">
        <v>0</v>
      </c>
      <c r="Q814" t="n">
        <v>2</v>
      </c>
      <c r="R814" s="2" t="inlineStr">
        <is>
          <t>Dvärgbägarlav
Mörk kolflarnlav</t>
        </is>
      </c>
      <c r="S814">
        <f>HYPERLINK("https://klasma.github.io/Logging_HARJEDALEN/artfynd/A 25742-2023.xlsx")</f>
        <v/>
      </c>
      <c r="T814">
        <f>HYPERLINK("https://klasma.github.io/Logging_HARJEDALEN/kartor/A 25742-2023.png")</f>
        <v/>
      </c>
      <c r="V814">
        <f>HYPERLINK("https://klasma.github.io/Logging_HARJEDALEN/klagomål/A 25742-2023.docx")</f>
        <v/>
      </c>
      <c r="W814">
        <f>HYPERLINK("https://klasma.github.io/Logging_HARJEDALEN/klagomålsmail/A 25742-2023.docx")</f>
        <v/>
      </c>
      <c r="X814">
        <f>HYPERLINK("https://klasma.github.io/Logging_HARJEDALEN/tillsyn/A 25742-2023.docx")</f>
        <v/>
      </c>
      <c r="Y814">
        <f>HYPERLINK("https://klasma.github.io/Logging_HARJEDALEN/tillsynsmail/A 25742-2023.docx")</f>
        <v/>
      </c>
    </row>
    <row r="815" ht="15" customHeight="1">
      <c r="A815" t="inlineStr">
        <is>
          <t>A 26098-2023</t>
        </is>
      </c>
      <c r="B815" s="1" t="n">
        <v>45091</v>
      </c>
      <c r="C815" s="1" t="n">
        <v>45182</v>
      </c>
      <c r="D815" t="inlineStr">
        <is>
          <t>JÄMTLANDS LÄN</t>
        </is>
      </c>
      <c r="E815" t="inlineStr">
        <is>
          <t>ÅRE</t>
        </is>
      </c>
      <c r="G815" t="n">
        <v>15.7</v>
      </c>
      <c r="H815" t="n">
        <v>0</v>
      </c>
      <c r="I815" t="n">
        <v>0</v>
      </c>
      <c r="J815" t="n">
        <v>2</v>
      </c>
      <c r="K815" t="n">
        <v>0</v>
      </c>
      <c r="L815" t="n">
        <v>0</v>
      </c>
      <c r="M815" t="n">
        <v>0</v>
      </c>
      <c r="N815" t="n">
        <v>0</v>
      </c>
      <c r="O815" t="n">
        <v>2</v>
      </c>
      <c r="P815" t="n">
        <v>0</v>
      </c>
      <c r="Q815" t="n">
        <v>2</v>
      </c>
      <c r="R815" s="2" t="inlineStr">
        <is>
          <t>Lunglav
Skrovellav</t>
        </is>
      </c>
      <c r="S815">
        <f>HYPERLINK("https://klasma.github.io/Logging_ARE/artfynd/A 26098-2023.xlsx")</f>
        <v/>
      </c>
      <c r="T815">
        <f>HYPERLINK("https://klasma.github.io/Logging_ARE/kartor/A 26098-2023.png")</f>
        <v/>
      </c>
      <c r="V815">
        <f>HYPERLINK("https://klasma.github.io/Logging_ARE/klagomål/A 26098-2023.docx")</f>
        <v/>
      </c>
      <c r="W815">
        <f>HYPERLINK("https://klasma.github.io/Logging_ARE/klagomålsmail/A 26098-2023.docx")</f>
        <v/>
      </c>
      <c r="X815">
        <f>HYPERLINK("https://klasma.github.io/Logging_ARE/tillsyn/A 26098-2023.docx")</f>
        <v/>
      </c>
      <c r="Y815">
        <f>HYPERLINK("https://klasma.github.io/Logging_ARE/tillsynsmail/A 26098-2023.docx")</f>
        <v/>
      </c>
    </row>
    <row r="816" ht="15" customHeight="1">
      <c r="A816" t="inlineStr">
        <is>
          <t>A 27000-2023</t>
        </is>
      </c>
      <c r="B816" s="1" t="n">
        <v>45093</v>
      </c>
      <c r="C816" s="1" t="n">
        <v>45182</v>
      </c>
      <c r="D816" t="inlineStr">
        <is>
          <t>JÄMTLANDS LÄN</t>
        </is>
      </c>
      <c r="E816" t="inlineStr">
        <is>
          <t>BRÄCKE</t>
        </is>
      </c>
      <c r="F816" t="inlineStr">
        <is>
          <t>SCA</t>
        </is>
      </c>
      <c r="G816" t="n">
        <v>5.8</v>
      </c>
      <c r="H816" t="n">
        <v>0</v>
      </c>
      <c r="I816" t="n">
        <v>0</v>
      </c>
      <c r="J816" t="n">
        <v>2</v>
      </c>
      <c r="K816" t="n">
        <v>0</v>
      </c>
      <c r="L816" t="n">
        <v>0</v>
      </c>
      <c r="M816" t="n">
        <v>0</v>
      </c>
      <c r="N816" t="n">
        <v>0</v>
      </c>
      <c r="O816" t="n">
        <v>2</v>
      </c>
      <c r="P816" t="n">
        <v>0</v>
      </c>
      <c r="Q816" t="n">
        <v>2</v>
      </c>
      <c r="R816" s="2" t="inlineStr">
        <is>
          <t>Dvärgbägarlav
Lunglav</t>
        </is>
      </c>
      <c r="S816">
        <f>HYPERLINK("https://klasma.github.io/Logging_BRACKE/artfynd/A 27000-2023.xlsx")</f>
        <v/>
      </c>
      <c r="T816">
        <f>HYPERLINK("https://klasma.github.io/Logging_BRACKE/kartor/A 27000-2023.png")</f>
        <v/>
      </c>
      <c r="V816">
        <f>HYPERLINK("https://klasma.github.io/Logging_BRACKE/klagomål/A 27000-2023.docx")</f>
        <v/>
      </c>
      <c r="W816">
        <f>HYPERLINK("https://klasma.github.io/Logging_BRACKE/klagomålsmail/A 27000-2023.docx")</f>
        <v/>
      </c>
      <c r="X816">
        <f>HYPERLINK("https://klasma.github.io/Logging_BRACKE/tillsyn/A 27000-2023.docx")</f>
        <v/>
      </c>
      <c r="Y816">
        <f>HYPERLINK("https://klasma.github.io/Logging_BRACKE/tillsynsmail/A 27000-2023.docx")</f>
        <v/>
      </c>
    </row>
    <row r="817" ht="15" customHeight="1">
      <c r="A817" t="inlineStr">
        <is>
          <t>A 27367-2023</t>
        </is>
      </c>
      <c r="B817" s="1" t="n">
        <v>45096</v>
      </c>
      <c r="C817" s="1" t="n">
        <v>45182</v>
      </c>
      <c r="D817" t="inlineStr">
        <is>
          <t>JÄMTLANDS LÄN</t>
        </is>
      </c>
      <c r="E817" t="inlineStr">
        <is>
          <t>STRÖMSUND</t>
        </is>
      </c>
      <c r="F817" t="inlineStr">
        <is>
          <t>SCA</t>
        </is>
      </c>
      <c r="G817" t="n">
        <v>2.8</v>
      </c>
      <c r="H817" t="n">
        <v>0</v>
      </c>
      <c r="I817" t="n">
        <v>2</v>
      </c>
      <c r="J817" t="n">
        <v>0</v>
      </c>
      <c r="K817" t="n">
        <v>0</v>
      </c>
      <c r="L817" t="n">
        <v>0</v>
      </c>
      <c r="M817" t="n">
        <v>0</v>
      </c>
      <c r="N817" t="n">
        <v>0</v>
      </c>
      <c r="O817" t="n">
        <v>0</v>
      </c>
      <c r="P817" t="n">
        <v>0</v>
      </c>
      <c r="Q817" t="n">
        <v>2</v>
      </c>
      <c r="R817" s="2" t="inlineStr">
        <is>
          <t>Bollvitmossa
Skinnlav</t>
        </is>
      </c>
      <c r="S817">
        <f>HYPERLINK("https://klasma.github.io/Logging_STROMSUND/artfynd/A 27367-2023.xlsx")</f>
        <v/>
      </c>
      <c r="T817">
        <f>HYPERLINK("https://klasma.github.io/Logging_STROMSUND/kartor/A 27367-2023.png")</f>
        <v/>
      </c>
      <c r="V817">
        <f>HYPERLINK("https://klasma.github.io/Logging_STROMSUND/klagomål/A 27367-2023.docx")</f>
        <v/>
      </c>
      <c r="W817">
        <f>HYPERLINK("https://klasma.github.io/Logging_STROMSUND/klagomålsmail/A 27367-2023.docx")</f>
        <v/>
      </c>
      <c r="X817">
        <f>HYPERLINK("https://klasma.github.io/Logging_STROMSUND/tillsyn/A 27367-2023.docx")</f>
        <v/>
      </c>
      <c r="Y817">
        <f>HYPERLINK("https://klasma.github.io/Logging_STROMSUND/tillsynsmail/A 27367-2023.docx")</f>
        <v/>
      </c>
    </row>
    <row r="818" ht="15" customHeight="1">
      <c r="A818" t="inlineStr">
        <is>
          <t>A 28765-2023</t>
        </is>
      </c>
      <c r="B818" s="1" t="n">
        <v>45103</v>
      </c>
      <c r="C818" s="1" t="n">
        <v>45182</v>
      </c>
      <c r="D818" t="inlineStr">
        <is>
          <t>JÄMTLANDS LÄN</t>
        </is>
      </c>
      <c r="E818" t="inlineStr">
        <is>
          <t>BRÄCKE</t>
        </is>
      </c>
      <c r="F818" t="inlineStr">
        <is>
          <t>SCA</t>
        </is>
      </c>
      <c r="G818" t="n">
        <v>6</v>
      </c>
      <c r="H818" t="n">
        <v>0</v>
      </c>
      <c r="I818" t="n">
        <v>1</v>
      </c>
      <c r="J818" t="n">
        <v>1</v>
      </c>
      <c r="K818" t="n">
        <v>0</v>
      </c>
      <c r="L818" t="n">
        <v>0</v>
      </c>
      <c r="M818" t="n">
        <v>0</v>
      </c>
      <c r="N818" t="n">
        <v>0</v>
      </c>
      <c r="O818" t="n">
        <v>1</v>
      </c>
      <c r="P818" t="n">
        <v>0</v>
      </c>
      <c r="Q818" t="n">
        <v>2</v>
      </c>
      <c r="R818" s="2" t="inlineStr">
        <is>
          <t>Vedskivlav
Kransrams</t>
        </is>
      </c>
      <c r="S818">
        <f>HYPERLINK("https://klasma.github.io/Logging_BRACKE/artfynd/A 28765-2023.xlsx")</f>
        <v/>
      </c>
      <c r="T818">
        <f>HYPERLINK("https://klasma.github.io/Logging_BRACKE/kartor/A 28765-2023.png")</f>
        <v/>
      </c>
      <c r="V818">
        <f>HYPERLINK("https://klasma.github.io/Logging_BRACKE/klagomål/A 28765-2023.docx")</f>
        <v/>
      </c>
      <c r="W818">
        <f>HYPERLINK("https://klasma.github.io/Logging_BRACKE/klagomålsmail/A 28765-2023.docx")</f>
        <v/>
      </c>
      <c r="X818">
        <f>HYPERLINK("https://klasma.github.io/Logging_BRACKE/tillsyn/A 28765-2023.docx")</f>
        <v/>
      </c>
      <c r="Y818">
        <f>HYPERLINK("https://klasma.github.io/Logging_BRACKE/tillsynsmail/A 28765-2023.docx")</f>
        <v/>
      </c>
    </row>
    <row r="819" ht="15" customHeight="1">
      <c r="A819" t="inlineStr">
        <is>
          <t>A 29071-2023</t>
        </is>
      </c>
      <c r="B819" s="1" t="n">
        <v>45104</v>
      </c>
      <c r="C819" s="1" t="n">
        <v>45182</v>
      </c>
      <c r="D819" t="inlineStr">
        <is>
          <t>JÄMTLANDS LÄN</t>
        </is>
      </c>
      <c r="E819" t="inlineStr">
        <is>
          <t>STRÖMSUND</t>
        </is>
      </c>
      <c r="F819" t="inlineStr">
        <is>
          <t>SCA</t>
        </is>
      </c>
      <c r="G819" t="n">
        <v>6.9</v>
      </c>
      <c r="H819" t="n">
        <v>0</v>
      </c>
      <c r="I819" t="n">
        <v>0</v>
      </c>
      <c r="J819" t="n">
        <v>2</v>
      </c>
      <c r="K819" t="n">
        <v>0</v>
      </c>
      <c r="L819" t="n">
        <v>0</v>
      </c>
      <c r="M819" t="n">
        <v>0</v>
      </c>
      <c r="N819" t="n">
        <v>0</v>
      </c>
      <c r="O819" t="n">
        <v>2</v>
      </c>
      <c r="P819" t="n">
        <v>0</v>
      </c>
      <c r="Q819" t="n">
        <v>2</v>
      </c>
      <c r="R819" s="2" t="inlineStr">
        <is>
          <t>Dvärgbägarlav
Kortskaftad ärgspik</t>
        </is>
      </c>
      <c r="S819">
        <f>HYPERLINK("https://klasma.github.io/Logging_STROMSUND/artfynd/A 29071-2023.xlsx")</f>
        <v/>
      </c>
      <c r="T819">
        <f>HYPERLINK("https://klasma.github.io/Logging_STROMSUND/kartor/A 29071-2023.png")</f>
        <v/>
      </c>
      <c r="V819">
        <f>HYPERLINK("https://klasma.github.io/Logging_STROMSUND/klagomål/A 29071-2023.docx")</f>
        <v/>
      </c>
      <c r="W819">
        <f>HYPERLINK("https://klasma.github.io/Logging_STROMSUND/klagomålsmail/A 29071-2023.docx")</f>
        <v/>
      </c>
      <c r="X819">
        <f>HYPERLINK("https://klasma.github.io/Logging_STROMSUND/tillsyn/A 29071-2023.docx")</f>
        <v/>
      </c>
      <c r="Y819">
        <f>HYPERLINK("https://klasma.github.io/Logging_STROMSUND/tillsynsmail/A 29071-2023.docx")</f>
        <v/>
      </c>
    </row>
    <row r="820" ht="15" customHeight="1">
      <c r="A820" t="inlineStr">
        <is>
          <t>A 29333-2023</t>
        </is>
      </c>
      <c r="B820" s="1" t="n">
        <v>45105</v>
      </c>
      <c r="C820" s="1" t="n">
        <v>45182</v>
      </c>
      <c r="D820" t="inlineStr">
        <is>
          <t>JÄMTLANDS LÄN</t>
        </is>
      </c>
      <c r="E820" t="inlineStr">
        <is>
          <t>BRÄCKE</t>
        </is>
      </c>
      <c r="F820" t="inlineStr">
        <is>
          <t>SCA</t>
        </is>
      </c>
      <c r="G820" t="n">
        <v>11.8</v>
      </c>
      <c r="H820" t="n">
        <v>0</v>
      </c>
      <c r="I820" t="n">
        <v>1</v>
      </c>
      <c r="J820" t="n">
        <v>0</v>
      </c>
      <c r="K820" t="n">
        <v>1</v>
      </c>
      <c r="L820" t="n">
        <v>0</v>
      </c>
      <c r="M820" t="n">
        <v>0</v>
      </c>
      <c r="N820" t="n">
        <v>0</v>
      </c>
      <c r="O820" t="n">
        <v>1</v>
      </c>
      <c r="P820" t="n">
        <v>1</v>
      </c>
      <c r="Q820" t="n">
        <v>2</v>
      </c>
      <c r="R820" s="2" t="inlineStr">
        <is>
          <t>Smalfotad taggsvamp
Dropptaggsvamp</t>
        </is>
      </c>
      <c r="S820">
        <f>HYPERLINK("https://klasma.github.io/Logging_BRACKE/artfynd/A 29333-2023.xlsx")</f>
        <v/>
      </c>
      <c r="T820">
        <f>HYPERLINK("https://klasma.github.io/Logging_BRACKE/kartor/A 29333-2023.png")</f>
        <v/>
      </c>
      <c r="V820">
        <f>HYPERLINK("https://klasma.github.io/Logging_BRACKE/klagomål/A 29333-2023.docx")</f>
        <v/>
      </c>
      <c r="W820">
        <f>HYPERLINK("https://klasma.github.io/Logging_BRACKE/klagomålsmail/A 29333-2023.docx")</f>
        <v/>
      </c>
      <c r="X820">
        <f>HYPERLINK("https://klasma.github.io/Logging_BRACKE/tillsyn/A 29333-2023.docx")</f>
        <v/>
      </c>
      <c r="Y820">
        <f>HYPERLINK("https://klasma.github.io/Logging_BRACKE/tillsynsmail/A 29333-2023.docx")</f>
        <v/>
      </c>
    </row>
    <row r="821" ht="15" customHeight="1">
      <c r="A821" t="inlineStr">
        <is>
          <t>A 29633-2023</t>
        </is>
      </c>
      <c r="B821" s="1" t="n">
        <v>45106</v>
      </c>
      <c r="C821" s="1" t="n">
        <v>45182</v>
      </c>
      <c r="D821" t="inlineStr">
        <is>
          <t>JÄMTLANDS LÄN</t>
        </is>
      </c>
      <c r="E821" t="inlineStr">
        <is>
          <t>STRÖMSUND</t>
        </is>
      </c>
      <c r="F821" t="inlineStr">
        <is>
          <t>SCA</t>
        </is>
      </c>
      <c r="G821" t="n">
        <v>1</v>
      </c>
      <c r="H821" t="n">
        <v>0</v>
      </c>
      <c r="I821" t="n">
        <v>1</v>
      </c>
      <c r="J821" t="n">
        <v>1</v>
      </c>
      <c r="K821" t="n">
        <v>0</v>
      </c>
      <c r="L821" t="n">
        <v>0</v>
      </c>
      <c r="M821" t="n">
        <v>0</v>
      </c>
      <c r="N821" t="n">
        <v>0</v>
      </c>
      <c r="O821" t="n">
        <v>1</v>
      </c>
      <c r="P821" t="n">
        <v>0</v>
      </c>
      <c r="Q821" t="n">
        <v>2</v>
      </c>
      <c r="R821" s="2" t="inlineStr">
        <is>
          <t>Lunglav
Stuplav</t>
        </is>
      </c>
      <c r="S821">
        <f>HYPERLINK("https://klasma.github.io/Logging_STROMSUND/artfynd/A 29633-2023.xlsx")</f>
        <v/>
      </c>
      <c r="T821">
        <f>HYPERLINK("https://klasma.github.io/Logging_STROMSUND/kartor/A 29633-2023.png")</f>
        <v/>
      </c>
      <c r="V821">
        <f>HYPERLINK("https://klasma.github.io/Logging_STROMSUND/klagomål/A 29633-2023.docx")</f>
        <v/>
      </c>
      <c r="W821">
        <f>HYPERLINK("https://klasma.github.io/Logging_STROMSUND/klagomålsmail/A 29633-2023.docx")</f>
        <v/>
      </c>
      <c r="X821">
        <f>HYPERLINK("https://klasma.github.io/Logging_STROMSUND/tillsyn/A 29633-2023.docx")</f>
        <v/>
      </c>
      <c r="Y821">
        <f>HYPERLINK("https://klasma.github.io/Logging_STROMSUND/tillsynsmail/A 29633-2023.docx")</f>
        <v/>
      </c>
    </row>
    <row r="822" ht="15" customHeight="1">
      <c r="A822" t="inlineStr">
        <is>
          <t>A 29962-2023</t>
        </is>
      </c>
      <c r="B822" s="1" t="n">
        <v>45107</v>
      </c>
      <c r="C822" s="1" t="n">
        <v>45182</v>
      </c>
      <c r="D822" t="inlineStr">
        <is>
          <t>JÄMTLANDS LÄN</t>
        </is>
      </c>
      <c r="E822" t="inlineStr">
        <is>
          <t>STRÖMSUND</t>
        </is>
      </c>
      <c r="F822" t="inlineStr">
        <is>
          <t>SCA</t>
        </is>
      </c>
      <c r="G822" t="n">
        <v>13.3</v>
      </c>
      <c r="H822" t="n">
        <v>0</v>
      </c>
      <c r="I822" t="n">
        <v>0</v>
      </c>
      <c r="J822" t="n">
        <v>2</v>
      </c>
      <c r="K822" t="n">
        <v>0</v>
      </c>
      <c r="L822" t="n">
        <v>0</v>
      </c>
      <c r="M822" t="n">
        <v>0</v>
      </c>
      <c r="N822" t="n">
        <v>0</v>
      </c>
      <c r="O822" t="n">
        <v>2</v>
      </c>
      <c r="P822" t="n">
        <v>0</v>
      </c>
      <c r="Q822" t="n">
        <v>2</v>
      </c>
      <c r="R822" s="2" t="inlineStr">
        <is>
          <t>Gammelgransskål
Ullticka</t>
        </is>
      </c>
      <c r="S822">
        <f>HYPERLINK("https://klasma.github.io/Logging_STROMSUND/artfynd/A 29962-2023.xlsx")</f>
        <v/>
      </c>
      <c r="T822">
        <f>HYPERLINK("https://klasma.github.io/Logging_STROMSUND/kartor/A 29962-2023.png")</f>
        <v/>
      </c>
      <c r="V822">
        <f>HYPERLINK("https://klasma.github.io/Logging_STROMSUND/klagomål/A 29962-2023.docx")</f>
        <v/>
      </c>
      <c r="W822">
        <f>HYPERLINK("https://klasma.github.io/Logging_STROMSUND/klagomålsmail/A 29962-2023.docx")</f>
        <v/>
      </c>
      <c r="X822">
        <f>HYPERLINK("https://klasma.github.io/Logging_STROMSUND/tillsyn/A 29962-2023.docx")</f>
        <v/>
      </c>
      <c r="Y822">
        <f>HYPERLINK("https://klasma.github.io/Logging_STROMSUND/tillsynsmail/A 29962-2023.docx")</f>
        <v/>
      </c>
    </row>
    <row r="823" ht="15" customHeight="1">
      <c r="A823" t="inlineStr">
        <is>
          <t>A 32221-2023</t>
        </is>
      </c>
      <c r="B823" s="1" t="n">
        <v>45119</v>
      </c>
      <c r="C823" s="1" t="n">
        <v>45182</v>
      </c>
      <c r="D823" t="inlineStr">
        <is>
          <t>JÄMTLANDS LÄN</t>
        </is>
      </c>
      <c r="E823" t="inlineStr">
        <is>
          <t>STRÖMSUND</t>
        </is>
      </c>
      <c r="F823" t="inlineStr">
        <is>
          <t>SCA</t>
        </is>
      </c>
      <c r="G823" t="n">
        <v>15.1</v>
      </c>
      <c r="H823" t="n">
        <v>0</v>
      </c>
      <c r="I823" t="n">
        <v>0</v>
      </c>
      <c r="J823" t="n">
        <v>2</v>
      </c>
      <c r="K823" t="n">
        <v>0</v>
      </c>
      <c r="L823" t="n">
        <v>0</v>
      </c>
      <c r="M823" t="n">
        <v>0</v>
      </c>
      <c r="N823" t="n">
        <v>0</v>
      </c>
      <c r="O823" t="n">
        <v>2</v>
      </c>
      <c r="P823" t="n">
        <v>0</v>
      </c>
      <c r="Q823" t="n">
        <v>2</v>
      </c>
      <c r="R823" s="2" t="inlineStr">
        <is>
          <t>Gammelgransskål
Skrovellav</t>
        </is>
      </c>
      <c r="S823">
        <f>HYPERLINK("https://klasma.github.io/Logging_STROMSUND/artfynd/A 32221-2023.xlsx")</f>
        <v/>
      </c>
      <c r="T823">
        <f>HYPERLINK("https://klasma.github.io/Logging_STROMSUND/kartor/A 32221-2023.png")</f>
        <v/>
      </c>
      <c r="V823">
        <f>HYPERLINK("https://klasma.github.io/Logging_STROMSUND/klagomål/A 32221-2023.docx")</f>
        <v/>
      </c>
      <c r="W823">
        <f>HYPERLINK("https://klasma.github.io/Logging_STROMSUND/klagomålsmail/A 32221-2023.docx")</f>
        <v/>
      </c>
      <c r="X823">
        <f>HYPERLINK("https://klasma.github.io/Logging_STROMSUND/tillsyn/A 32221-2023.docx")</f>
        <v/>
      </c>
      <c r="Y823">
        <f>HYPERLINK("https://klasma.github.io/Logging_STROMSUND/tillsynsmail/A 32221-2023.docx")</f>
        <v/>
      </c>
    </row>
    <row r="824" ht="15" customHeight="1">
      <c r="A824" t="inlineStr">
        <is>
          <t>A 32736-2023</t>
        </is>
      </c>
      <c r="B824" s="1" t="n">
        <v>45121</v>
      </c>
      <c r="C824" s="1" t="n">
        <v>45182</v>
      </c>
      <c r="D824" t="inlineStr">
        <is>
          <t>JÄMTLANDS LÄN</t>
        </is>
      </c>
      <c r="E824" t="inlineStr">
        <is>
          <t>RAGUNDA</t>
        </is>
      </c>
      <c r="F824" t="inlineStr">
        <is>
          <t>SCA</t>
        </is>
      </c>
      <c r="G824" t="n">
        <v>2.5</v>
      </c>
      <c r="H824" t="n">
        <v>0</v>
      </c>
      <c r="I824" t="n">
        <v>1</v>
      </c>
      <c r="J824" t="n">
        <v>1</v>
      </c>
      <c r="K824" t="n">
        <v>0</v>
      </c>
      <c r="L824" t="n">
        <v>0</v>
      </c>
      <c r="M824" t="n">
        <v>0</v>
      </c>
      <c r="N824" t="n">
        <v>0</v>
      </c>
      <c r="O824" t="n">
        <v>1</v>
      </c>
      <c r="P824" t="n">
        <v>0</v>
      </c>
      <c r="Q824" t="n">
        <v>2</v>
      </c>
      <c r="R824" s="2" t="inlineStr">
        <is>
          <t>Vedtrappmossa
Stor aspticka</t>
        </is>
      </c>
      <c r="S824">
        <f>HYPERLINK("https://klasma.github.io/Logging_RAGUNDA/artfynd/A 32736-2023.xlsx")</f>
        <v/>
      </c>
      <c r="T824">
        <f>HYPERLINK("https://klasma.github.io/Logging_RAGUNDA/kartor/A 32736-2023.png")</f>
        <v/>
      </c>
      <c r="V824">
        <f>HYPERLINK("https://klasma.github.io/Logging_RAGUNDA/klagomål/A 32736-2023.docx")</f>
        <v/>
      </c>
      <c r="W824">
        <f>HYPERLINK("https://klasma.github.io/Logging_RAGUNDA/klagomålsmail/A 32736-2023.docx")</f>
        <v/>
      </c>
      <c r="X824">
        <f>HYPERLINK("https://klasma.github.io/Logging_RAGUNDA/tillsyn/A 32736-2023.docx")</f>
        <v/>
      </c>
      <c r="Y824">
        <f>HYPERLINK("https://klasma.github.io/Logging_RAGUNDA/tillsynsmail/A 32736-2023.docx")</f>
        <v/>
      </c>
    </row>
    <row r="825" ht="15" customHeight="1">
      <c r="A825" t="inlineStr">
        <is>
          <t>A 38334-2023</t>
        </is>
      </c>
      <c r="B825" s="1" t="n">
        <v>45161</v>
      </c>
      <c r="C825" s="1" t="n">
        <v>45182</v>
      </c>
      <c r="D825" t="inlineStr">
        <is>
          <t>JÄMTLANDS LÄN</t>
        </is>
      </c>
      <c r="E825" t="inlineStr">
        <is>
          <t>ÖSTERSUND</t>
        </is>
      </c>
      <c r="G825" t="n">
        <v>10.5</v>
      </c>
      <c r="H825" t="n">
        <v>0</v>
      </c>
      <c r="I825" t="n">
        <v>0</v>
      </c>
      <c r="J825" t="n">
        <v>0</v>
      </c>
      <c r="K825" t="n">
        <v>2</v>
      </c>
      <c r="L825" t="n">
        <v>0</v>
      </c>
      <c r="M825" t="n">
        <v>0</v>
      </c>
      <c r="N825" t="n">
        <v>0</v>
      </c>
      <c r="O825" t="n">
        <v>2</v>
      </c>
      <c r="P825" t="n">
        <v>2</v>
      </c>
      <c r="Q825" t="n">
        <v>2</v>
      </c>
      <c r="R825" s="2" t="inlineStr">
        <is>
          <t>Rynkskinn
Violett fingersvamp</t>
        </is>
      </c>
      <c r="S825">
        <f>HYPERLINK("https://klasma.github.io/Logging_OSTERSUND/artfynd/A 38334-2023.xlsx")</f>
        <v/>
      </c>
      <c r="T825">
        <f>HYPERLINK("https://klasma.github.io/Logging_OSTERSUND/kartor/A 38334-2023.png")</f>
        <v/>
      </c>
      <c r="V825">
        <f>HYPERLINK("https://klasma.github.io/Logging_OSTERSUND/klagomål/A 38334-2023.docx")</f>
        <v/>
      </c>
      <c r="W825">
        <f>HYPERLINK("https://klasma.github.io/Logging_OSTERSUND/klagomålsmail/A 38334-2023.docx")</f>
        <v/>
      </c>
      <c r="X825">
        <f>HYPERLINK("https://klasma.github.io/Logging_OSTERSUND/tillsyn/A 38334-2023.docx")</f>
        <v/>
      </c>
      <c r="Y825">
        <f>HYPERLINK("https://klasma.github.io/Logging_OSTERSUND/tillsynsmail/A 38334-2023.docx")</f>
        <v/>
      </c>
    </row>
    <row r="826" ht="15" customHeight="1">
      <c r="A826" t="inlineStr">
        <is>
          <t>A 39055-2023</t>
        </is>
      </c>
      <c r="B826" s="1" t="n">
        <v>45163</v>
      </c>
      <c r="C826" s="1" t="n">
        <v>45182</v>
      </c>
      <c r="D826" t="inlineStr">
        <is>
          <t>JÄMTLANDS LÄN</t>
        </is>
      </c>
      <c r="E826" t="inlineStr">
        <is>
          <t>STRÖMSUND</t>
        </is>
      </c>
      <c r="F826" t="inlineStr">
        <is>
          <t>SCA</t>
        </is>
      </c>
      <c r="G826" t="n">
        <v>7</v>
      </c>
      <c r="H826" t="n">
        <v>0</v>
      </c>
      <c r="I826" t="n">
        <v>0</v>
      </c>
      <c r="J826" t="n">
        <v>2</v>
      </c>
      <c r="K826" t="n">
        <v>0</v>
      </c>
      <c r="L826" t="n">
        <v>0</v>
      </c>
      <c r="M826" t="n">
        <v>0</v>
      </c>
      <c r="N826" t="n">
        <v>0</v>
      </c>
      <c r="O826" t="n">
        <v>2</v>
      </c>
      <c r="P826" t="n">
        <v>0</v>
      </c>
      <c r="Q826" t="n">
        <v>2</v>
      </c>
      <c r="R826" s="2" t="inlineStr">
        <is>
          <t>Lunglav
Skrovellav</t>
        </is>
      </c>
      <c r="S826">
        <f>HYPERLINK("https://klasma.github.io/Logging_STROMSUND/artfynd/A 39055-2023.xlsx")</f>
        <v/>
      </c>
      <c r="T826">
        <f>HYPERLINK("https://klasma.github.io/Logging_STROMSUND/kartor/A 39055-2023.png")</f>
        <v/>
      </c>
      <c r="V826">
        <f>HYPERLINK("https://klasma.github.io/Logging_STROMSUND/klagomål/A 39055-2023.docx")</f>
        <v/>
      </c>
      <c r="W826">
        <f>HYPERLINK("https://klasma.github.io/Logging_STROMSUND/klagomålsmail/A 39055-2023.docx")</f>
        <v/>
      </c>
      <c r="X826">
        <f>HYPERLINK("https://klasma.github.io/Logging_STROMSUND/tillsyn/A 39055-2023.docx")</f>
        <v/>
      </c>
      <c r="Y826">
        <f>HYPERLINK("https://klasma.github.io/Logging_STROMSUND/tillsynsmail/A 39055-2023.docx")</f>
        <v/>
      </c>
    </row>
    <row r="827" ht="15" customHeight="1">
      <c r="A827" t="inlineStr">
        <is>
          <t>A 33947-2018</t>
        </is>
      </c>
      <c r="B827" s="1" t="n">
        <v>43314</v>
      </c>
      <c r="C827" s="1" t="n">
        <v>45182</v>
      </c>
      <c r="D827" t="inlineStr">
        <is>
          <t>JÄMTLANDS LÄN</t>
        </is>
      </c>
      <c r="E827" t="inlineStr">
        <is>
          <t>ÅRE</t>
        </is>
      </c>
      <c r="F827" t="inlineStr">
        <is>
          <t>Övriga Aktiebolag</t>
        </is>
      </c>
      <c r="G827" t="n">
        <v>8.5</v>
      </c>
      <c r="H827" t="n">
        <v>0</v>
      </c>
      <c r="I827" t="n">
        <v>0</v>
      </c>
      <c r="J827" t="n">
        <v>0</v>
      </c>
      <c r="K827" t="n">
        <v>1</v>
      </c>
      <c r="L827" t="n">
        <v>0</v>
      </c>
      <c r="M827" t="n">
        <v>0</v>
      </c>
      <c r="N827" t="n">
        <v>0</v>
      </c>
      <c r="O827" t="n">
        <v>1</v>
      </c>
      <c r="P827" t="n">
        <v>1</v>
      </c>
      <c r="Q827" t="n">
        <v>1</v>
      </c>
      <c r="R827" s="2" t="inlineStr">
        <is>
          <t>Norsk näverlav</t>
        </is>
      </c>
      <c r="S827">
        <f>HYPERLINK("https://klasma.github.io/Logging_ARE/artfynd/A 33947-2018.xlsx")</f>
        <v/>
      </c>
      <c r="T827">
        <f>HYPERLINK("https://klasma.github.io/Logging_ARE/kartor/A 33947-2018.png")</f>
        <v/>
      </c>
      <c r="V827">
        <f>HYPERLINK("https://klasma.github.io/Logging_ARE/klagomål/A 33947-2018.docx")</f>
        <v/>
      </c>
      <c r="W827">
        <f>HYPERLINK("https://klasma.github.io/Logging_ARE/klagomålsmail/A 33947-2018.docx")</f>
        <v/>
      </c>
      <c r="X827">
        <f>HYPERLINK("https://klasma.github.io/Logging_ARE/tillsyn/A 33947-2018.docx")</f>
        <v/>
      </c>
      <c r="Y827">
        <f>HYPERLINK("https://klasma.github.io/Logging_ARE/tillsynsmail/A 33947-2018.docx")</f>
        <v/>
      </c>
    </row>
    <row r="828" ht="15" customHeight="1">
      <c r="A828" t="inlineStr">
        <is>
          <t>A 35917-2018</t>
        </is>
      </c>
      <c r="B828" s="1" t="n">
        <v>43327</v>
      </c>
      <c r="C828" s="1" t="n">
        <v>45182</v>
      </c>
      <c r="D828" t="inlineStr">
        <is>
          <t>JÄMTLANDS LÄN</t>
        </is>
      </c>
      <c r="E828" t="inlineStr">
        <is>
          <t>KROKOM</t>
        </is>
      </c>
      <c r="G828" t="n">
        <v>11.2</v>
      </c>
      <c r="H828" t="n">
        <v>1</v>
      </c>
      <c r="I828" t="n">
        <v>0</v>
      </c>
      <c r="J828" t="n">
        <v>1</v>
      </c>
      <c r="K828" t="n">
        <v>0</v>
      </c>
      <c r="L828" t="n">
        <v>0</v>
      </c>
      <c r="M828" t="n">
        <v>0</v>
      </c>
      <c r="N828" t="n">
        <v>0</v>
      </c>
      <c r="O828" t="n">
        <v>1</v>
      </c>
      <c r="P828" t="n">
        <v>0</v>
      </c>
      <c r="Q828" t="n">
        <v>1</v>
      </c>
      <c r="R828" s="2" t="inlineStr">
        <is>
          <t>Tretåig hackspett</t>
        </is>
      </c>
      <c r="S828">
        <f>HYPERLINK("https://klasma.github.io/Logging_KROKOM/artfynd/A 35917-2018.xlsx")</f>
        <v/>
      </c>
      <c r="T828">
        <f>HYPERLINK("https://klasma.github.io/Logging_KROKOM/kartor/A 35917-2018.png")</f>
        <v/>
      </c>
      <c r="V828">
        <f>HYPERLINK("https://klasma.github.io/Logging_KROKOM/klagomål/A 35917-2018.docx")</f>
        <v/>
      </c>
      <c r="W828">
        <f>HYPERLINK("https://klasma.github.io/Logging_KROKOM/klagomålsmail/A 35917-2018.docx")</f>
        <v/>
      </c>
      <c r="X828">
        <f>HYPERLINK("https://klasma.github.io/Logging_KROKOM/tillsyn/A 35917-2018.docx")</f>
        <v/>
      </c>
      <c r="Y828">
        <f>HYPERLINK("https://klasma.github.io/Logging_KROKOM/tillsynsmail/A 35917-2018.docx")</f>
        <v/>
      </c>
    </row>
    <row r="829" ht="15" customHeight="1">
      <c r="A829" t="inlineStr">
        <is>
          <t>A 42165-2018</t>
        </is>
      </c>
      <c r="B829" s="1" t="n">
        <v>43353</v>
      </c>
      <c r="C829" s="1" t="n">
        <v>45182</v>
      </c>
      <c r="D829" t="inlineStr">
        <is>
          <t>JÄMTLANDS LÄN</t>
        </is>
      </c>
      <c r="E829" t="inlineStr">
        <is>
          <t>KROKOM</t>
        </is>
      </c>
      <c r="G829" t="n">
        <v>2.9</v>
      </c>
      <c r="H829" t="n">
        <v>1</v>
      </c>
      <c r="I829" t="n">
        <v>0</v>
      </c>
      <c r="J829" t="n">
        <v>1</v>
      </c>
      <c r="K829" t="n">
        <v>0</v>
      </c>
      <c r="L829" t="n">
        <v>0</v>
      </c>
      <c r="M829" t="n">
        <v>0</v>
      </c>
      <c r="N829" t="n">
        <v>0</v>
      </c>
      <c r="O829" t="n">
        <v>1</v>
      </c>
      <c r="P829" t="n">
        <v>0</v>
      </c>
      <c r="Q829" t="n">
        <v>1</v>
      </c>
      <c r="R829" s="2" t="inlineStr">
        <is>
          <t>Buskskvätta</t>
        </is>
      </c>
      <c r="S829">
        <f>HYPERLINK("https://klasma.github.io/Logging_KROKOM/artfynd/A 42165-2018.xlsx")</f>
        <v/>
      </c>
      <c r="T829">
        <f>HYPERLINK("https://klasma.github.io/Logging_KROKOM/kartor/A 42165-2018.png")</f>
        <v/>
      </c>
      <c r="V829">
        <f>HYPERLINK("https://klasma.github.io/Logging_KROKOM/klagomål/A 42165-2018.docx")</f>
        <v/>
      </c>
      <c r="W829">
        <f>HYPERLINK("https://klasma.github.io/Logging_KROKOM/klagomålsmail/A 42165-2018.docx")</f>
        <v/>
      </c>
      <c r="X829">
        <f>HYPERLINK("https://klasma.github.io/Logging_KROKOM/tillsyn/A 42165-2018.docx")</f>
        <v/>
      </c>
      <c r="Y829">
        <f>HYPERLINK("https://klasma.github.io/Logging_KROKOM/tillsynsmail/A 42165-2018.docx")</f>
        <v/>
      </c>
    </row>
    <row r="830" ht="15" customHeight="1">
      <c r="A830" t="inlineStr">
        <is>
          <t>A 61187-2018</t>
        </is>
      </c>
      <c r="B830" s="1" t="n">
        <v>43412</v>
      </c>
      <c r="C830" s="1" t="n">
        <v>45182</v>
      </c>
      <c r="D830" t="inlineStr">
        <is>
          <t>JÄMTLANDS LÄN</t>
        </is>
      </c>
      <c r="E830" t="inlineStr">
        <is>
          <t>KROKOM</t>
        </is>
      </c>
      <c r="G830" t="n">
        <v>2</v>
      </c>
      <c r="H830" t="n">
        <v>1</v>
      </c>
      <c r="I830" t="n">
        <v>0</v>
      </c>
      <c r="J830" t="n">
        <v>0</v>
      </c>
      <c r="K830" t="n">
        <v>0</v>
      </c>
      <c r="L830" t="n">
        <v>0</v>
      </c>
      <c r="M830" t="n">
        <v>0</v>
      </c>
      <c r="N830" t="n">
        <v>0</v>
      </c>
      <c r="O830" t="n">
        <v>0</v>
      </c>
      <c r="P830" t="n">
        <v>0</v>
      </c>
      <c r="Q830" t="n">
        <v>1</v>
      </c>
      <c r="R830" s="2" t="inlineStr">
        <is>
          <t>Fläcknycklar</t>
        </is>
      </c>
      <c r="S830">
        <f>HYPERLINK("https://klasma.github.io/Logging_KROKOM/artfynd/A 61187-2018.xlsx")</f>
        <v/>
      </c>
      <c r="T830">
        <f>HYPERLINK("https://klasma.github.io/Logging_KROKOM/kartor/A 61187-2018.png")</f>
        <v/>
      </c>
      <c r="V830">
        <f>HYPERLINK("https://klasma.github.io/Logging_KROKOM/klagomål/A 61187-2018.docx")</f>
        <v/>
      </c>
      <c r="W830">
        <f>HYPERLINK("https://klasma.github.io/Logging_KROKOM/klagomålsmail/A 61187-2018.docx")</f>
        <v/>
      </c>
      <c r="X830">
        <f>HYPERLINK("https://klasma.github.io/Logging_KROKOM/tillsyn/A 61187-2018.docx")</f>
        <v/>
      </c>
      <c r="Y830">
        <f>HYPERLINK("https://klasma.github.io/Logging_KROKOM/tillsynsmail/A 61187-2018.docx")</f>
        <v/>
      </c>
    </row>
    <row r="831" ht="15" customHeight="1">
      <c r="A831" t="inlineStr">
        <is>
          <t>A 62476-2018</t>
        </is>
      </c>
      <c r="B831" s="1" t="n">
        <v>43415</v>
      </c>
      <c r="C831" s="1" t="n">
        <v>45182</v>
      </c>
      <c r="D831" t="inlineStr">
        <is>
          <t>JÄMTLANDS LÄN</t>
        </is>
      </c>
      <c r="E831" t="inlineStr">
        <is>
          <t>STRÖMSUND</t>
        </is>
      </c>
      <c r="F831" t="inlineStr">
        <is>
          <t>SCA</t>
        </is>
      </c>
      <c r="G831" t="n">
        <v>4.6</v>
      </c>
      <c r="H831" t="n">
        <v>0</v>
      </c>
      <c r="I831" t="n">
        <v>0</v>
      </c>
      <c r="J831" t="n">
        <v>1</v>
      </c>
      <c r="K831" t="n">
        <v>0</v>
      </c>
      <c r="L831" t="n">
        <v>0</v>
      </c>
      <c r="M831" t="n">
        <v>0</v>
      </c>
      <c r="N831" t="n">
        <v>0</v>
      </c>
      <c r="O831" t="n">
        <v>1</v>
      </c>
      <c r="P831" t="n">
        <v>0</v>
      </c>
      <c r="Q831" t="n">
        <v>1</v>
      </c>
      <c r="R831" s="2" t="inlineStr">
        <is>
          <t>Ullticka</t>
        </is>
      </c>
      <c r="S831">
        <f>HYPERLINK("https://klasma.github.io/Logging_STROMSUND/artfynd/A 62476-2018.xlsx")</f>
        <v/>
      </c>
      <c r="T831">
        <f>HYPERLINK("https://klasma.github.io/Logging_STROMSUND/kartor/A 62476-2018.png")</f>
        <v/>
      </c>
      <c r="V831">
        <f>HYPERLINK("https://klasma.github.io/Logging_STROMSUND/klagomål/A 62476-2018.docx")</f>
        <v/>
      </c>
      <c r="W831">
        <f>HYPERLINK("https://klasma.github.io/Logging_STROMSUND/klagomålsmail/A 62476-2018.docx")</f>
        <v/>
      </c>
      <c r="X831">
        <f>HYPERLINK("https://klasma.github.io/Logging_STROMSUND/tillsyn/A 62476-2018.docx")</f>
        <v/>
      </c>
      <c r="Y831">
        <f>HYPERLINK("https://klasma.github.io/Logging_STROMSUND/tillsynsmail/A 62476-2018.docx")</f>
        <v/>
      </c>
    </row>
    <row r="832" ht="15" customHeight="1">
      <c r="A832" t="inlineStr">
        <is>
          <t>A 59147-2018</t>
        </is>
      </c>
      <c r="B832" s="1" t="n">
        <v>43417</v>
      </c>
      <c r="C832" s="1" t="n">
        <v>45182</v>
      </c>
      <c r="D832" t="inlineStr">
        <is>
          <t>JÄMTLANDS LÄN</t>
        </is>
      </c>
      <c r="E832" t="inlineStr">
        <is>
          <t>ÖSTERSUND</t>
        </is>
      </c>
      <c r="F832" t="inlineStr">
        <is>
          <t>Kommuner</t>
        </is>
      </c>
      <c r="G832" t="n">
        <v>15.4</v>
      </c>
      <c r="H832" t="n">
        <v>0</v>
      </c>
      <c r="I832" t="n">
        <v>0</v>
      </c>
      <c r="J832" t="n">
        <v>1</v>
      </c>
      <c r="K832" t="n">
        <v>0</v>
      </c>
      <c r="L832" t="n">
        <v>0</v>
      </c>
      <c r="M832" t="n">
        <v>0</v>
      </c>
      <c r="N832" t="n">
        <v>0</v>
      </c>
      <c r="O832" t="n">
        <v>1</v>
      </c>
      <c r="P832" t="n">
        <v>0</v>
      </c>
      <c r="Q832" t="n">
        <v>1</v>
      </c>
      <c r="R832" s="2" t="inlineStr">
        <is>
          <t>Skogshare</t>
        </is>
      </c>
      <c r="S832">
        <f>HYPERLINK("https://klasma.github.io/Logging_OSTERSUND/artfynd/A 59147-2018.xlsx")</f>
        <v/>
      </c>
      <c r="T832">
        <f>HYPERLINK("https://klasma.github.io/Logging_OSTERSUND/kartor/A 59147-2018.png")</f>
        <v/>
      </c>
      <c r="V832">
        <f>HYPERLINK("https://klasma.github.io/Logging_OSTERSUND/klagomål/A 59147-2018.docx")</f>
        <v/>
      </c>
      <c r="W832">
        <f>HYPERLINK("https://klasma.github.io/Logging_OSTERSUND/klagomålsmail/A 59147-2018.docx")</f>
        <v/>
      </c>
      <c r="X832">
        <f>HYPERLINK("https://klasma.github.io/Logging_OSTERSUND/tillsyn/A 59147-2018.docx")</f>
        <v/>
      </c>
      <c r="Y832">
        <f>HYPERLINK("https://klasma.github.io/Logging_OSTERSUND/tillsynsmail/A 59147-2018.docx")</f>
        <v/>
      </c>
    </row>
    <row r="833" ht="15" customHeight="1">
      <c r="A833" t="inlineStr">
        <is>
          <t>A 64311-2018</t>
        </is>
      </c>
      <c r="B833" s="1" t="n">
        <v>43430</v>
      </c>
      <c r="C833" s="1" t="n">
        <v>45182</v>
      </c>
      <c r="D833" t="inlineStr">
        <is>
          <t>JÄMTLANDS LÄN</t>
        </is>
      </c>
      <c r="E833" t="inlineStr">
        <is>
          <t>BRÄCKE</t>
        </is>
      </c>
      <c r="F833" t="inlineStr">
        <is>
          <t>Övriga Aktiebolag</t>
        </is>
      </c>
      <c r="G833" t="n">
        <v>29.1</v>
      </c>
      <c r="H833" t="n">
        <v>0</v>
      </c>
      <c r="I833" t="n">
        <v>0</v>
      </c>
      <c r="J833" t="n">
        <v>1</v>
      </c>
      <c r="K833" t="n">
        <v>0</v>
      </c>
      <c r="L833" t="n">
        <v>0</v>
      </c>
      <c r="M833" t="n">
        <v>0</v>
      </c>
      <c r="N833" t="n">
        <v>0</v>
      </c>
      <c r="O833" t="n">
        <v>1</v>
      </c>
      <c r="P833" t="n">
        <v>0</v>
      </c>
      <c r="Q833" t="n">
        <v>1</v>
      </c>
      <c r="R833" s="2" t="inlineStr">
        <is>
          <t>Brunklöver</t>
        </is>
      </c>
      <c r="S833">
        <f>HYPERLINK("https://klasma.github.io/Logging_BRACKE/artfynd/A 64311-2018.xlsx")</f>
        <v/>
      </c>
      <c r="T833">
        <f>HYPERLINK("https://klasma.github.io/Logging_BRACKE/kartor/A 64311-2018.png")</f>
        <v/>
      </c>
      <c r="V833">
        <f>HYPERLINK("https://klasma.github.io/Logging_BRACKE/klagomål/A 64311-2018.docx")</f>
        <v/>
      </c>
      <c r="W833">
        <f>HYPERLINK("https://klasma.github.io/Logging_BRACKE/klagomålsmail/A 64311-2018.docx")</f>
        <v/>
      </c>
      <c r="X833">
        <f>HYPERLINK("https://klasma.github.io/Logging_BRACKE/tillsyn/A 64311-2018.docx")</f>
        <v/>
      </c>
      <c r="Y833">
        <f>HYPERLINK("https://klasma.github.io/Logging_BRACKE/tillsynsmail/A 64311-2018.docx")</f>
        <v/>
      </c>
    </row>
    <row r="834" ht="15" customHeight="1">
      <c r="A834" t="inlineStr">
        <is>
          <t>A 64479-2018</t>
        </is>
      </c>
      <c r="B834" s="1" t="n">
        <v>43431</v>
      </c>
      <c r="C834" s="1" t="n">
        <v>45182</v>
      </c>
      <c r="D834" t="inlineStr">
        <is>
          <t>JÄMTLANDS LÄN</t>
        </is>
      </c>
      <c r="E834" t="inlineStr">
        <is>
          <t>ÅRE</t>
        </is>
      </c>
      <c r="G834" t="n">
        <v>10.1</v>
      </c>
      <c r="H834" t="n">
        <v>1</v>
      </c>
      <c r="I834" t="n">
        <v>0</v>
      </c>
      <c r="J834" t="n">
        <v>1</v>
      </c>
      <c r="K834" t="n">
        <v>0</v>
      </c>
      <c r="L834" t="n">
        <v>0</v>
      </c>
      <c r="M834" t="n">
        <v>0</v>
      </c>
      <c r="N834" t="n">
        <v>0</v>
      </c>
      <c r="O834" t="n">
        <v>1</v>
      </c>
      <c r="P834" t="n">
        <v>0</v>
      </c>
      <c r="Q834" t="n">
        <v>1</v>
      </c>
      <c r="R834" s="2" t="inlineStr">
        <is>
          <t>Tretåig hackspett</t>
        </is>
      </c>
      <c r="S834">
        <f>HYPERLINK("https://klasma.github.io/Logging_ARE/artfynd/A 64479-2018.xlsx")</f>
        <v/>
      </c>
      <c r="T834">
        <f>HYPERLINK("https://klasma.github.io/Logging_ARE/kartor/A 64479-2018.png")</f>
        <v/>
      </c>
      <c r="V834">
        <f>HYPERLINK("https://klasma.github.io/Logging_ARE/klagomål/A 64479-2018.docx")</f>
        <v/>
      </c>
      <c r="W834">
        <f>HYPERLINK("https://klasma.github.io/Logging_ARE/klagomålsmail/A 64479-2018.docx")</f>
        <v/>
      </c>
      <c r="X834">
        <f>HYPERLINK("https://klasma.github.io/Logging_ARE/tillsyn/A 64479-2018.docx")</f>
        <v/>
      </c>
      <c r="Y834">
        <f>HYPERLINK("https://klasma.github.io/Logging_ARE/tillsynsmail/A 64479-2018.docx")</f>
        <v/>
      </c>
    </row>
    <row r="835" ht="15" customHeight="1">
      <c r="A835" t="inlineStr">
        <is>
          <t>A 66769-2018</t>
        </is>
      </c>
      <c r="B835" s="1" t="n">
        <v>43437</v>
      </c>
      <c r="C835" s="1" t="n">
        <v>45182</v>
      </c>
      <c r="D835" t="inlineStr">
        <is>
          <t>JÄMTLANDS LÄN</t>
        </is>
      </c>
      <c r="E835" t="inlineStr">
        <is>
          <t>BERG</t>
        </is>
      </c>
      <c r="G835" t="n">
        <v>0.9</v>
      </c>
      <c r="H835" t="n">
        <v>0</v>
      </c>
      <c r="I835" t="n">
        <v>0</v>
      </c>
      <c r="J835" t="n">
        <v>1</v>
      </c>
      <c r="K835" t="n">
        <v>0</v>
      </c>
      <c r="L835" t="n">
        <v>0</v>
      </c>
      <c r="M835" t="n">
        <v>0</v>
      </c>
      <c r="N835" t="n">
        <v>0</v>
      </c>
      <c r="O835" t="n">
        <v>1</v>
      </c>
      <c r="P835" t="n">
        <v>0</v>
      </c>
      <c r="Q835" t="n">
        <v>1</v>
      </c>
      <c r="R835" s="2" t="inlineStr">
        <is>
          <t>Garnlav</t>
        </is>
      </c>
      <c r="S835">
        <f>HYPERLINK("https://klasma.github.io/Logging_BERG/artfynd/A 66769-2018.xlsx")</f>
        <v/>
      </c>
      <c r="T835">
        <f>HYPERLINK("https://klasma.github.io/Logging_BERG/kartor/A 66769-2018.png")</f>
        <v/>
      </c>
      <c r="V835">
        <f>HYPERLINK("https://klasma.github.io/Logging_BERG/klagomål/A 66769-2018.docx")</f>
        <v/>
      </c>
      <c r="W835">
        <f>HYPERLINK("https://klasma.github.io/Logging_BERG/klagomålsmail/A 66769-2018.docx")</f>
        <v/>
      </c>
      <c r="X835">
        <f>HYPERLINK("https://klasma.github.io/Logging_BERG/tillsyn/A 66769-2018.docx")</f>
        <v/>
      </c>
      <c r="Y835">
        <f>HYPERLINK("https://klasma.github.io/Logging_BERG/tillsynsmail/A 66769-2018.docx")</f>
        <v/>
      </c>
    </row>
    <row r="836" ht="15" customHeight="1">
      <c r="A836" t="inlineStr">
        <is>
          <t>A 1417-2019</t>
        </is>
      </c>
      <c r="B836" s="1" t="n">
        <v>43461</v>
      </c>
      <c r="C836" s="1" t="n">
        <v>45182</v>
      </c>
      <c r="D836" t="inlineStr">
        <is>
          <t>JÄMTLANDS LÄN</t>
        </is>
      </c>
      <c r="E836" t="inlineStr">
        <is>
          <t>HÄRJEDALEN</t>
        </is>
      </c>
      <c r="G836" t="n">
        <v>46.2</v>
      </c>
      <c r="H836" t="n">
        <v>0</v>
      </c>
      <c r="I836" t="n">
        <v>0</v>
      </c>
      <c r="J836" t="n">
        <v>1</v>
      </c>
      <c r="K836" t="n">
        <v>0</v>
      </c>
      <c r="L836" t="n">
        <v>0</v>
      </c>
      <c r="M836" t="n">
        <v>0</v>
      </c>
      <c r="N836" t="n">
        <v>0</v>
      </c>
      <c r="O836" t="n">
        <v>1</v>
      </c>
      <c r="P836" t="n">
        <v>0</v>
      </c>
      <c r="Q836" t="n">
        <v>1</v>
      </c>
      <c r="R836" s="2" t="inlineStr">
        <is>
          <t>Garnlav</t>
        </is>
      </c>
      <c r="S836">
        <f>HYPERLINK("https://klasma.github.io/Logging_HARJEDALEN/artfynd/A 1417-2019.xlsx")</f>
        <v/>
      </c>
      <c r="T836">
        <f>HYPERLINK("https://klasma.github.io/Logging_HARJEDALEN/kartor/A 1417-2019.png")</f>
        <v/>
      </c>
      <c r="V836">
        <f>HYPERLINK("https://klasma.github.io/Logging_HARJEDALEN/klagomål/A 1417-2019.docx")</f>
        <v/>
      </c>
      <c r="W836">
        <f>HYPERLINK("https://klasma.github.io/Logging_HARJEDALEN/klagomålsmail/A 1417-2019.docx")</f>
        <v/>
      </c>
      <c r="X836">
        <f>HYPERLINK("https://klasma.github.io/Logging_HARJEDALEN/tillsyn/A 1417-2019.docx")</f>
        <v/>
      </c>
      <c r="Y836">
        <f>HYPERLINK("https://klasma.github.io/Logging_HARJEDALEN/tillsynsmail/A 1417-2019.docx")</f>
        <v/>
      </c>
    </row>
    <row r="837" ht="15" customHeight="1">
      <c r="A837" t="inlineStr">
        <is>
          <t>A 1129-2019</t>
        </is>
      </c>
      <c r="B837" s="1" t="n">
        <v>43472</v>
      </c>
      <c r="C837" s="1" t="n">
        <v>45182</v>
      </c>
      <c r="D837" t="inlineStr">
        <is>
          <t>JÄMTLANDS LÄN</t>
        </is>
      </c>
      <c r="E837" t="inlineStr">
        <is>
          <t>STRÖMSUND</t>
        </is>
      </c>
      <c r="F837" t="inlineStr">
        <is>
          <t>SCA</t>
        </is>
      </c>
      <c r="G837" t="n">
        <v>4.3</v>
      </c>
      <c r="H837" t="n">
        <v>1</v>
      </c>
      <c r="I837" t="n">
        <v>0</v>
      </c>
      <c r="J837" t="n">
        <v>0</v>
      </c>
      <c r="K837" t="n">
        <v>0</v>
      </c>
      <c r="L837" t="n">
        <v>0</v>
      </c>
      <c r="M837" t="n">
        <v>0</v>
      </c>
      <c r="N837" t="n">
        <v>0</v>
      </c>
      <c r="O837" t="n">
        <v>0</v>
      </c>
      <c r="P837" t="n">
        <v>0</v>
      </c>
      <c r="Q837" t="n">
        <v>1</v>
      </c>
      <c r="R837" s="2" t="inlineStr">
        <is>
          <t>Fläcknycklar</t>
        </is>
      </c>
      <c r="S837">
        <f>HYPERLINK("https://klasma.github.io/Logging_STROMSUND/artfynd/A 1129-2019.xlsx")</f>
        <v/>
      </c>
      <c r="T837">
        <f>HYPERLINK("https://klasma.github.io/Logging_STROMSUND/kartor/A 1129-2019.png")</f>
        <v/>
      </c>
      <c r="V837">
        <f>HYPERLINK("https://klasma.github.io/Logging_STROMSUND/klagomål/A 1129-2019.docx")</f>
        <v/>
      </c>
      <c r="W837">
        <f>HYPERLINK("https://klasma.github.io/Logging_STROMSUND/klagomålsmail/A 1129-2019.docx")</f>
        <v/>
      </c>
      <c r="X837">
        <f>HYPERLINK("https://klasma.github.io/Logging_STROMSUND/tillsyn/A 1129-2019.docx")</f>
        <v/>
      </c>
      <c r="Y837">
        <f>HYPERLINK("https://klasma.github.io/Logging_STROMSUND/tillsynsmail/A 1129-2019.docx")</f>
        <v/>
      </c>
    </row>
    <row r="838" ht="15" customHeight="1">
      <c r="A838" t="inlineStr">
        <is>
          <t>A 9736-2019</t>
        </is>
      </c>
      <c r="B838" s="1" t="n">
        <v>43508</v>
      </c>
      <c r="C838" s="1" t="n">
        <v>45182</v>
      </c>
      <c r="D838" t="inlineStr">
        <is>
          <t>JÄMTLANDS LÄN</t>
        </is>
      </c>
      <c r="E838" t="inlineStr">
        <is>
          <t>KROKOM</t>
        </is>
      </c>
      <c r="G838" t="n">
        <v>1</v>
      </c>
      <c r="H838" t="n">
        <v>0</v>
      </c>
      <c r="I838" t="n">
        <v>1</v>
      </c>
      <c r="J838" t="n">
        <v>0</v>
      </c>
      <c r="K838" t="n">
        <v>0</v>
      </c>
      <c r="L838" t="n">
        <v>0</v>
      </c>
      <c r="M838" t="n">
        <v>0</v>
      </c>
      <c r="N838" t="n">
        <v>0</v>
      </c>
      <c r="O838" t="n">
        <v>0</v>
      </c>
      <c r="P838" t="n">
        <v>0</v>
      </c>
      <c r="Q838" t="n">
        <v>1</v>
      </c>
      <c r="R838" s="2" t="inlineStr">
        <is>
          <t>Barkkornlav</t>
        </is>
      </c>
      <c r="S838">
        <f>HYPERLINK("https://klasma.github.io/Logging_KROKOM/artfynd/A 9736-2019.xlsx")</f>
        <v/>
      </c>
      <c r="T838">
        <f>HYPERLINK("https://klasma.github.io/Logging_KROKOM/kartor/A 9736-2019.png")</f>
        <v/>
      </c>
      <c r="V838">
        <f>HYPERLINK("https://klasma.github.io/Logging_KROKOM/klagomål/A 9736-2019.docx")</f>
        <v/>
      </c>
      <c r="W838">
        <f>HYPERLINK("https://klasma.github.io/Logging_KROKOM/klagomålsmail/A 9736-2019.docx")</f>
        <v/>
      </c>
      <c r="X838">
        <f>HYPERLINK("https://klasma.github.io/Logging_KROKOM/tillsyn/A 9736-2019.docx")</f>
        <v/>
      </c>
      <c r="Y838">
        <f>HYPERLINK("https://klasma.github.io/Logging_KROKOM/tillsynsmail/A 9736-2019.docx")</f>
        <v/>
      </c>
    </row>
    <row r="839" ht="15" customHeight="1">
      <c r="A839" t="inlineStr">
        <is>
          <t>A 11079-2019</t>
        </is>
      </c>
      <c r="B839" s="1" t="n">
        <v>43515</v>
      </c>
      <c r="C839" s="1" t="n">
        <v>45182</v>
      </c>
      <c r="D839" t="inlineStr">
        <is>
          <t>JÄMTLANDS LÄN</t>
        </is>
      </c>
      <c r="E839" t="inlineStr">
        <is>
          <t>RAGUNDA</t>
        </is>
      </c>
      <c r="G839" t="n">
        <v>0.9</v>
      </c>
      <c r="H839" t="n">
        <v>1</v>
      </c>
      <c r="I839" t="n">
        <v>0</v>
      </c>
      <c r="J839" t="n">
        <v>0</v>
      </c>
      <c r="K839" t="n">
        <v>1</v>
      </c>
      <c r="L839" t="n">
        <v>0</v>
      </c>
      <c r="M839" t="n">
        <v>0</v>
      </c>
      <c r="N839" t="n">
        <v>0</v>
      </c>
      <c r="O839" t="n">
        <v>1</v>
      </c>
      <c r="P839" t="n">
        <v>1</v>
      </c>
      <c r="Q839" t="n">
        <v>1</v>
      </c>
      <c r="R839" s="2" t="inlineStr">
        <is>
          <t>Bombmurkla</t>
        </is>
      </c>
      <c r="S839">
        <f>HYPERLINK("https://klasma.github.io/Logging_RAGUNDA/artfynd/A 11079-2019.xlsx")</f>
        <v/>
      </c>
      <c r="T839">
        <f>HYPERLINK("https://klasma.github.io/Logging_RAGUNDA/kartor/A 11079-2019.png")</f>
        <v/>
      </c>
      <c r="V839">
        <f>HYPERLINK("https://klasma.github.io/Logging_RAGUNDA/klagomål/A 11079-2019.docx")</f>
        <v/>
      </c>
      <c r="W839">
        <f>HYPERLINK("https://klasma.github.io/Logging_RAGUNDA/klagomålsmail/A 11079-2019.docx")</f>
        <v/>
      </c>
      <c r="X839">
        <f>HYPERLINK("https://klasma.github.io/Logging_RAGUNDA/tillsyn/A 11079-2019.docx")</f>
        <v/>
      </c>
      <c r="Y839">
        <f>HYPERLINK("https://klasma.github.io/Logging_RAGUNDA/tillsynsmail/A 11079-2019.docx")</f>
        <v/>
      </c>
    </row>
    <row r="840" ht="15" customHeight="1">
      <c r="A840" t="inlineStr">
        <is>
          <t>A 14325-2019</t>
        </is>
      </c>
      <c r="B840" s="1" t="n">
        <v>43535</v>
      </c>
      <c r="C840" s="1" t="n">
        <v>45182</v>
      </c>
      <c r="D840" t="inlineStr">
        <is>
          <t>JÄMTLANDS LÄN</t>
        </is>
      </c>
      <c r="E840" t="inlineStr">
        <is>
          <t>BERG</t>
        </is>
      </c>
      <c r="G840" t="n">
        <v>1.5</v>
      </c>
      <c r="H840" t="n">
        <v>0</v>
      </c>
      <c r="I840" t="n">
        <v>0</v>
      </c>
      <c r="J840" t="n">
        <v>1</v>
      </c>
      <c r="K840" t="n">
        <v>0</v>
      </c>
      <c r="L840" t="n">
        <v>0</v>
      </c>
      <c r="M840" t="n">
        <v>0</v>
      </c>
      <c r="N840" t="n">
        <v>0</v>
      </c>
      <c r="O840" t="n">
        <v>1</v>
      </c>
      <c r="P840" t="n">
        <v>0</v>
      </c>
      <c r="Q840" t="n">
        <v>1</v>
      </c>
      <c r="R840" s="2" t="inlineStr">
        <is>
          <t>Ullticka</t>
        </is>
      </c>
      <c r="S840">
        <f>HYPERLINK("https://klasma.github.io/Logging_BERG/artfynd/A 14325-2019.xlsx")</f>
        <v/>
      </c>
      <c r="T840">
        <f>HYPERLINK("https://klasma.github.io/Logging_BERG/kartor/A 14325-2019.png")</f>
        <v/>
      </c>
      <c r="V840">
        <f>HYPERLINK("https://klasma.github.io/Logging_BERG/klagomål/A 14325-2019.docx")</f>
        <v/>
      </c>
      <c r="W840">
        <f>HYPERLINK("https://klasma.github.io/Logging_BERG/klagomålsmail/A 14325-2019.docx")</f>
        <v/>
      </c>
      <c r="X840">
        <f>HYPERLINK("https://klasma.github.io/Logging_BERG/tillsyn/A 14325-2019.docx")</f>
        <v/>
      </c>
      <c r="Y840">
        <f>HYPERLINK("https://klasma.github.io/Logging_BERG/tillsynsmail/A 14325-2019.docx")</f>
        <v/>
      </c>
    </row>
    <row r="841" ht="15" customHeight="1">
      <c r="A841" t="inlineStr">
        <is>
          <t>A 14312-2019</t>
        </is>
      </c>
      <c r="B841" s="1" t="n">
        <v>43535</v>
      </c>
      <c r="C841" s="1" t="n">
        <v>45182</v>
      </c>
      <c r="D841" t="inlineStr">
        <is>
          <t>JÄMTLANDS LÄN</t>
        </is>
      </c>
      <c r="E841" t="inlineStr">
        <is>
          <t>BERG</t>
        </is>
      </c>
      <c r="G841" t="n">
        <v>5.3</v>
      </c>
      <c r="H841" t="n">
        <v>1</v>
      </c>
      <c r="I841" t="n">
        <v>0</v>
      </c>
      <c r="J841" t="n">
        <v>1</v>
      </c>
      <c r="K841" t="n">
        <v>0</v>
      </c>
      <c r="L841" t="n">
        <v>0</v>
      </c>
      <c r="M841" t="n">
        <v>0</v>
      </c>
      <c r="N841" t="n">
        <v>0</v>
      </c>
      <c r="O841" t="n">
        <v>1</v>
      </c>
      <c r="P841" t="n">
        <v>0</v>
      </c>
      <c r="Q841" t="n">
        <v>1</v>
      </c>
      <c r="R841" s="2" t="inlineStr">
        <is>
          <t>Tretåig hackspett</t>
        </is>
      </c>
      <c r="S841">
        <f>HYPERLINK("https://klasma.github.io/Logging_BERG/artfynd/A 14312-2019.xlsx")</f>
        <v/>
      </c>
      <c r="T841">
        <f>HYPERLINK("https://klasma.github.io/Logging_BERG/kartor/A 14312-2019.png")</f>
        <v/>
      </c>
      <c r="V841">
        <f>HYPERLINK("https://klasma.github.io/Logging_BERG/klagomål/A 14312-2019.docx")</f>
        <v/>
      </c>
      <c r="W841">
        <f>HYPERLINK("https://klasma.github.io/Logging_BERG/klagomålsmail/A 14312-2019.docx")</f>
        <v/>
      </c>
      <c r="X841">
        <f>HYPERLINK("https://klasma.github.io/Logging_BERG/tillsyn/A 14312-2019.docx")</f>
        <v/>
      </c>
      <c r="Y841">
        <f>HYPERLINK("https://klasma.github.io/Logging_BERG/tillsynsmail/A 14312-2019.docx")</f>
        <v/>
      </c>
    </row>
    <row r="842" ht="15" customHeight="1">
      <c r="A842" t="inlineStr">
        <is>
          <t>A 18156-2019</t>
        </is>
      </c>
      <c r="B842" s="1" t="n">
        <v>43558</v>
      </c>
      <c r="C842" s="1" t="n">
        <v>45182</v>
      </c>
      <c r="D842" t="inlineStr">
        <is>
          <t>JÄMTLANDS LÄN</t>
        </is>
      </c>
      <c r="E842" t="inlineStr">
        <is>
          <t>HÄRJEDALEN</t>
        </is>
      </c>
      <c r="F842" t="inlineStr">
        <is>
          <t>Bergvik skog väst AB</t>
        </is>
      </c>
      <c r="G842" t="n">
        <v>102.9</v>
      </c>
      <c r="H842" t="n">
        <v>0</v>
      </c>
      <c r="I842" t="n">
        <v>0</v>
      </c>
      <c r="J842" t="n">
        <v>1</v>
      </c>
      <c r="K842" t="n">
        <v>0</v>
      </c>
      <c r="L842" t="n">
        <v>0</v>
      </c>
      <c r="M842" t="n">
        <v>0</v>
      </c>
      <c r="N842" t="n">
        <v>0</v>
      </c>
      <c r="O842" t="n">
        <v>1</v>
      </c>
      <c r="P842" t="n">
        <v>0</v>
      </c>
      <c r="Q842" t="n">
        <v>1</v>
      </c>
      <c r="R842" s="2" t="inlineStr">
        <is>
          <t>Stiftgelélav</t>
        </is>
      </c>
      <c r="S842">
        <f>HYPERLINK("https://klasma.github.io/Logging_HARJEDALEN/artfynd/A 18156-2019.xlsx")</f>
        <v/>
      </c>
      <c r="T842">
        <f>HYPERLINK("https://klasma.github.io/Logging_HARJEDALEN/kartor/A 18156-2019.png")</f>
        <v/>
      </c>
      <c r="V842">
        <f>HYPERLINK("https://klasma.github.io/Logging_HARJEDALEN/klagomål/A 18156-2019.docx")</f>
        <v/>
      </c>
      <c r="W842">
        <f>HYPERLINK("https://klasma.github.io/Logging_HARJEDALEN/klagomålsmail/A 18156-2019.docx")</f>
        <v/>
      </c>
      <c r="X842">
        <f>HYPERLINK("https://klasma.github.io/Logging_HARJEDALEN/tillsyn/A 18156-2019.docx")</f>
        <v/>
      </c>
      <c r="Y842">
        <f>HYPERLINK("https://klasma.github.io/Logging_HARJEDALEN/tillsynsmail/A 18156-2019.docx")</f>
        <v/>
      </c>
    </row>
    <row r="843" ht="15" customHeight="1">
      <c r="A843" t="inlineStr">
        <is>
          <t>A 21660-2019</t>
        </is>
      </c>
      <c r="B843" s="1" t="n">
        <v>43581</v>
      </c>
      <c r="C843" s="1" t="n">
        <v>45182</v>
      </c>
      <c r="D843" t="inlineStr">
        <is>
          <t>JÄMTLANDS LÄN</t>
        </is>
      </c>
      <c r="E843" t="inlineStr">
        <is>
          <t>STRÖMSUND</t>
        </is>
      </c>
      <c r="G843" t="n">
        <v>1.7</v>
      </c>
      <c r="H843" t="n">
        <v>0</v>
      </c>
      <c r="I843" t="n">
        <v>0</v>
      </c>
      <c r="J843" t="n">
        <v>1</v>
      </c>
      <c r="K843" t="n">
        <v>0</v>
      </c>
      <c r="L843" t="n">
        <v>0</v>
      </c>
      <c r="M843" t="n">
        <v>0</v>
      </c>
      <c r="N843" t="n">
        <v>0</v>
      </c>
      <c r="O843" t="n">
        <v>1</v>
      </c>
      <c r="P843" t="n">
        <v>0</v>
      </c>
      <c r="Q843" t="n">
        <v>1</v>
      </c>
      <c r="R843" s="2" t="inlineStr">
        <is>
          <t>Granticka</t>
        </is>
      </c>
      <c r="S843">
        <f>HYPERLINK("https://klasma.github.io/Logging_STROMSUND/artfynd/A 21660-2019.xlsx")</f>
        <v/>
      </c>
      <c r="T843">
        <f>HYPERLINK("https://klasma.github.io/Logging_STROMSUND/kartor/A 21660-2019.png")</f>
        <v/>
      </c>
      <c r="V843">
        <f>HYPERLINK("https://klasma.github.io/Logging_STROMSUND/klagomål/A 21660-2019.docx")</f>
        <v/>
      </c>
      <c r="W843">
        <f>HYPERLINK("https://klasma.github.io/Logging_STROMSUND/klagomålsmail/A 21660-2019.docx")</f>
        <v/>
      </c>
      <c r="X843">
        <f>HYPERLINK("https://klasma.github.io/Logging_STROMSUND/tillsyn/A 21660-2019.docx")</f>
        <v/>
      </c>
      <c r="Y843">
        <f>HYPERLINK("https://klasma.github.io/Logging_STROMSUND/tillsynsmail/A 21660-2019.docx")</f>
        <v/>
      </c>
    </row>
    <row r="844" ht="15" customHeight="1">
      <c r="A844" t="inlineStr">
        <is>
          <t>A 22339-2019</t>
        </is>
      </c>
      <c r="B844" s="1" t="n">
        <v>43586</v>
      </c>
      <c r="C844" s="1" t="n">
        <v>45182</v>
      </c>
      <c r="D844" t="inlineStr">
        <is>
          <t>JÄMTLANDS LÄN</t>
        </is>
      </c>
      <c r="E844" t="inlineStr">
        <is>
          <t>STRÖMSUND</t>
        </is>
      </c>
      <c r="F844" t="inlineStr">
        <is>
          <t>SCA</t>
        </is>
      </c>
      <c r="G844" t="n">
        <v>2.8</v>
      </c>
      <c r="H844" t="n">
        <v>0</v>
      </c>
      <c r="I844" t="n">
        <v>0</v>
      </c>
      <c r="J844" t="n">
        <v>1</v>
      </c>
      <c r="K844" t="n">
        <v>0</v>
      </c>
      <c r="L844" t="n">
        <v>0</v>
      </c>
      <c r="M844" t="n">
        <v>0</v>
      </c>
      <c r="N844" t="n">
        <v>0</v>
      </c>
      <c r="O844" t="n">
        <v>1</v>
      </c>
      <c r="P844" t="n">
        <v>0</v>
      </c>
      <c r="Q844" t="n">
        <v>1</v>
      </c>
      <c r="R844" s="2" t="inlineStr">
        <is>
          <t>Vedflikmossa</t>
        </is>
      </c>
      <c r="S844">
        <f>HYPERLINK("https://klasma.github.io/Logging_STROMSUND/artfynd/A 22339-2019.xlsx")</f>
        <v/>
      </c>
      <c r="T844">
        <f>HYPERLINK("https://klasma.github.io/Logging_STROMSUND/kartor/A 22339-2019.png")</f>
        <v/>
      </c>
      <c r="V844">
        <f>HYPERLINK("https://klasma.github.io/Logging_STROMSUND/klagomål/A 22339-2019.docx")</f>
        <v/>
      </c>
      <c r="W844">
        <f>HYPERLINK("https://klasma.github.io/Logging_STROMSUND/klagomålsmail/A 22339-2019.docx")</f>
        <v/>
      </c>
      <c r="X844">
        <f>HYPERLINK("https://klasma.github.io/Logging_STROMSUND/tillsyn/A 22339-2019.docx")</f>
        <v/>
      </c>
      <c r="Y844">
        <f>HYPERLINK("https://klasma.github.io/Logging_STROMSUND/tillsynsmail/A 22339-2019.docx")</f>
        <v/>
      </c>
    </row>
    <row r="845" ht="15" customHeight="1">
      <c r="A845" t="inlineStr">
        <is>
          <t>A 27770-2019</t>
        </is>
      </c>
      <c r="B845" s="1" t="n">
        <v>43619</v>
      </c>
      <c r="C845" s="1" t="n">
        <v>45182</v>
      </c>
      <c r="D845" t="inlineStr">
        <is>
          <t>JÄMTLANDS LÄN</t>
        </is>
      </c>
      <c r="E845" t="inlineStr">
        <is>
          <t>RAGUNDA</t>
        </is>
      </c>
      <c r="F845" t="inlineStr">
        <is>
          <t>SCA</t>
        </is>
      </c>
      <c r="G845" t="n">
        <v>2.3</v>
      </c>
      <c r="H845" t="n">
        <v>0</v>
      </c>
      <c r="I845" t="n">
        <v>0</v>
      </c>
      <c r="J845" t="n">
        <v>0</v>
      </c>
      <c r="K845" t="n">
        <v>1</v>
      </c>
      <c r="L845" t="n">
        <v>0</v>
      </c>
      <c r="M845" t="n">
        <v>0</v>
      </c>
      <c r="N845" t="n">
        <v>0</v>
      </c>
      <c r="O845" t="n">
        <v>1</v>
      </c>
      <c r="P845" t="n">
        <v>1</v>
      </c>
      <c r="Q845" t="n">
        <v>1</v>
      </c>
      <c r="R845" s="2" t="inlineStr">
        <is>
          <t>Gräddporing</t>
        </is>
      </c>
      <c r="S845">
        <f>HYPERLINK("https://klasma.github.io/Logging_RAGUNDA/artfynd/A 27770-2019.xlsx")</f>
        <v/>
      </c>
      <c r="T845">
        <f>HYPERLINK("https://klasma.github.io/Logging_RAGUNDA/kartor/A 27770-2019.png")</f>
        <v/>
      </c>
      <c r="V845">
        <f>HYPERLINK("https://klasma.github.io/Logging_RAGUNDA/klagomål/A 27770-2019.docx")</f>
        <v/>
      </c>
      <c r="W845">
        <f>HYPERLINK("https://klasma.github.io/Logging_RAGUNDA/klagomålsmail/A 27770-2019.docx")</f>
        <v/>
      </c>
      <c r="X845">
        <f>HYPERLINK("https://klasma.github.io/Logging_RAGUNDA/tillsyn/A 27770-2019.docx")</f>
        <v/>
      </c>
      <c r="Y845">
        <f>HYPERLINK("https://klasma.github.io/Logging_RAGUNDA/tillsynsmail/A 27770-2019.docx")</f>
        <v/>
      </c>
    </row>
    <row r="846" ht="15" customHeight="1">
      <c r="A846" t="inlineStr">
        <is>
          <t>A 28216-2019</t>
        </is>
      </c>
      <c r="B846" s="1" t="n">
        <v>43621</v>
      </c>
      <c r="C846" s="1" t="n">
        <v>45182</v>
      </c>
      <c r="D846" t="inlineStr">
        <is>
          <t>JÄMTLANDS LÄN</t>
        </is>
      </c>
      <c r="E846" t="inlineStr">
        <is>
          <t>BRÄCKE</t>
        </is>
      </c>
      <c r="F846" t="inlineStr">
        <is>
          <t>SCA</t>
        </is>
      </c>
      <c r="G846" t="n">
        <v>4.6</v>
      </c>
      <c r="H846" t="n">
        <v>0</v>
      </c>
      <c r="I846" t="n">
        <v>0</v>
      </c>
      <c r="J846" t="n">
        <v>1</v>
      </c>
      <c r="K846" t="n">
        <v>0</v>
      </c>
      <c r="L846" t="n">
        <v>0</v>
      </c>
      <c r="M846" t="n">
        <v>0</v>
      </c>
      <c r="N846" t="n">
        <v>0</v>
      </c>
      <c r="O846" t="n">
        <v>1</v>
      </c>
      <c r="P846" t="n">
        <v>0</v>
      </c>
      <c r="Q846" t="n">
        <v>1</v>
      </c>
      <c r="R846" s="2" t="inlineStr">
        <is>
          <t>Lunglav</t>
        </is>
      </c>
      <c r="S846">
        <f>HYPERLINK("https://klasma.github.io/Logging_BRACKE/artfynd/A 28216-2019.xlsx")</f>
        <v/>
      </c>
      <c r="T846">
        <f>HYPERLINK("https://klasma.github.io/Logging_BRACKE/kartor/A 28216-2019.png")</f>
        <v/>
      </c>
      <c r="V846">
        <f>HYPERLINK("https://klasma.github.io/Logging_BRACKE/klagomål/A 28216-2019.docx")</f>
        <v/>
      </c>
      <c r="W846">
        <f>HYPERLINK("https://klasma.github.io/Logging_BRACKE/klagomålsmail/A 28216-2019.docx")</f>
        <v/>
      </c>
      <c r="X846">
        <f>HYPERLINK("https://klasma.github.io/Logging_BRACKE/tillsyn/A 28216-2019.docx")</f>
        <v/>
      </c>
      <c r="Y846">
        <f>HYPERLINK("https://klasma.github.io/Logging_BRACKE/tillsynsmail/A 28216-2019.docx")</f>
        <v/>
      </c>
    </row>
    <row r="847" ht="15" customHeight="1">
      <c r="A847" t="inlineStr">
        <is>
          <t>A 29291-2019</t>
        </is>
      </c>
      <c r="B847" s="1" t="n">
        <v>43629</v>
      </c>
      <c r="C847" s="1" t="n">
        <v>45182</v>
      </c>
      <c r="D847" t="inlineStr">
        <is>
          <t>JÄMTLANDS LÄN</t>
        </is>
      </c>
      <c r="E847" t="inlineStr">
        <is>
          <t>STRÖMSUND</t>
        </is>
      </c>
      <c r="G847" t="n">
        <v>16</v>
      </c>
      <c r="H847" t="n">
        <v>0</v>
      </c>
      <c r="I847" t="n">
        <v>1</v>
      </c>
      <c r="J847" t="n">
        <v>0</v>
      </c>
      <c r="K847" t="n">
        <v>0</v>
      </c>
      <c r="L847" t="n">
        <v>0</v>
      </c>
      <c r="M847" t="n">
        <v>0</v>
      </c>
      <c r="N847" t="n">
        <v>0</v>
      </c>
      <c r="O847" t="n">
        <v>0</v>
      </c>
      <c r="P847" t="n">
        <v>0</v>
      </c>
      <c r="Q847" t="n">
        <v>1</v>
      </c>
      <c r="R847" s="2" t="inlineStr">
        <is>
          <t>Finbräken</t>
        </is>
      </c>
      <c r="S847">
        <f>HYPERLINK("https://klasma.github.io/Logging_STROMSUND/artfynd/A 29291-2019.xlsx")</f>
        <v/>
      </c>
      <c r="T847">
        <f>HYPERLINK("https://klasma.github.io/Logging_STROMSUND/kartor/A 29291-2019.png")</f>
        <v/>
      </c>
      <c r="V847">
        <f>HYPERLINK("https://klasma.github.io/Logging_STROMSUND/klagomål/A 29291-2019.docx")</f>
        <v/>
      </c>
      <c r="W847">
        <f>HYPERLINK("https://klasma.github.io/Logging_STROMSUND/klagomålsmail/A 29291-2019.docx")</f>
        <v/>
      </c>
      <c r="X847">
        <f>HYPERLINK("https://klasma.github.io/Logging_STROMSUND/tillsyn/A 29291-2019.docx")</f>
        <v/>
      </c>
      <c r="Y847">
        <f>HYPERLINK("https://klasma.github.io/Logging_STROMSUND/tillsynsmail/A 29291-2019.docx")</f>
        <v/>
      </c>
    </row>
    <row r="848" ht="15" customHeight="1">
      <c r="A848" t="inlineStr">
        <is>
          <t>A 30819-2019</t>
        </is>
      </c>
      <c r="B848" s="1" t="n">
        <v>43636</v>
      </c>
      <c r="C848" s="1" t="n">
        <v>45182</v>
      </c>
      <c r="D848" t="inlineStr">
        <is>
          <t>JÄMTLANDS LÄN</t>
        </is>
      </c>
      <c r="E848" t="inlineStr">
        <is>
          <t>KROKOM</t>
        </is>
      </c>
      <c r="G848" t="n">
        <v>18.8</v>
      </c>
      <c r="H848" t="n">
        <v>0</v>
      </c>
      <c r="I848" t="n">
        <v>1</v>
      </c>
      <c r="J848" t="n">
        <v>0</v>
      </c>
      <c r="K848" t="n">
        <v>0</v>
      </c>
      <c r="L848" t="n">
        <v>0</v>
      </c>
      <c r="M848" t="n">
        <v>0</v>
      </c>
      <c r="N848" t="n">
        <v>0</v>
      </c>
      <c r="O848" t="n">
        <v>0</v>
      </c>
      <c r="P848" t="n">
        <v>0</v>
      </c>
      <c r="Q848" t="n">
        <v>1</v>
      </c>
      <c r="R848" s="2" t="inlineStr">
        <is>
          <t>Ögonpyrola</t>
        </is>
      </c>
      <c r="S848">
        <f>HYPERLINK("https://klasma.github.io/Logging_KROKOM/artfynd/A 30819-2019.xlsx")</f>
        <v/>
      </c>
      <c r="T848">
        <f>HYPERLINK("https://klasma.github.io/Logging_KROKOM/kartor/A 30819-2019.png")</f>
        <v/>
      </c>
      <c r="V848">
        <f>HYPERLINK("https://klasma.github.io/Logging_KROKOM/klagomål/A 30819-2019.docx")</f>
        <v/>
      </c>
      <c r="W848">
        <f>HYPERLINK("https://klasma.github.io/Logging_KROKOM/klagomålsmail/A 30819-2019.docx")</f>
        <v/>
      </c>
      <c r="X848">
        <f>HYPERLINK("https://klasma.github.io/Logging_KROKOM/tillsyn/A 30819-2019.docx")</f>
        <v/>
      </c>
      <c r="Y848">
        <f>HYPERLINK("https://klasma.github.io/Logging_KROKOM/tillsynsmail/A 30819-2019.docx")</f>
        <v/>
      </c>
    </row>
    <row r="849" ht="15" customHeight="1">
      <c r="A849" t="inlineStr">
        <is>
          <t>A 30941-2019</t>
        </is>
      </c>
      <c r="B849" s="1" t="n">
        <v>43636</v>
      </c>
      <c r="C849" s="1" t="n">
        <v>45182</v>
      </c>
      <c r="D849" t="inlineStr">
        <is>
          <t>JÄMTLANDS LÄN</t>
        </is>
      </c>
      <c r="E849" t="inlineStr">
        <is>
          <t>ÖSTERSUND</t>
        </is>
      </c>
      <c r="F849" t="inlineStr">
        <is>
          <t>SCA</t>
        </is>
      </c>
      <c r="G849" t="n">
        <v>1.9</v>
      </c>
      <c r="H849" t="n">
        <v>1</v>
      </c>
      <c r="I849" t="n">
        <v>1</v>
      </c>
      <c r="J849" t="n">
        <v>0</v>
      </c>
      <c r="K849" t="n">
        <v>0</v>
      </c>
      <c r="L849" t="n">
        <v>0</v>
      </c>
      <c r="M849" t="n">
        <v>0</v>
      </c>
      <c r="N849" t="n">
        <v>0</v>
      </c>
      <c r="O849" t="n">
        <v>0</v>
      </c>
      <c r="P849" t="n">
        <v>0</v>
      </c>
      <c r="Q849" t="n">
        <v>1</v>
      </c>
      <c r="R849" s="2" t="inlineStr">
        <is>
          <t>Tvåblad</t>
        </is>
      </c>
      <c r="S849">
        <f>HYPERLINK("https://klasma.github.io/Logging_OSTERSUND/artfynd/A 30941-2019.xlsx")</f>
        <v/>
      </c>
      <c r="T849">
        <f>HYPERLINK("https://klasma.github.io/Logging_OSTERSUND/kartor/A 30941-2019.png")</f>
        <v/>
      </c>
      <c r="V849">
        <f>HYPERLINK("https://klasma.github.io/Logging_OSTERSUND/klagomål/A 30941-2019.docx")</f>
        <v/>
      </c>
      <c r="W849">
        <f>HYPERLINK("https://klasma.github.io/Logging_OSTERSUND/klagomålsmail/A 30941-2019.docx")</f>
        <v/>
      </c>
      <c r="X849">
        <f>HYPERLINK("https://klasma.github.io/Logging_OSTERSUND/tillsyn/A 30941-2019.docx")</f>
        <v/>
      </c>
      <c r="Y849">
        <f>HYPERLINK("https://klasma.github.io/Logging_OSTERSUND/tillsynsmail/A 30941-2019.docx")</f>
        <v/>
      </c>
    </row>
    <row r="850" ht="15" customHeight="1">
      <c r="A850" t="inlineStr">
        <is>
          <t>A 31910-2019</t>
        </is>
      </c>
      <c r="B850" s="1" t="n">
        <v>43642</v>
      </c>
      <c r="C850" s="1" t="n">
        <v>45182</v>
      </c>
      <c r="D850" t="inlineStr">
        <is>
          <t>JÄMTLANDS LÄN</t>
        </is>
      </c>
      <c r="E850" t="inlineStr">
        <is>
          <t>KROKOM</t>
        </is>
      </c>
      <c r="G850" t="n">
        <v>5</v>
      </c>
      <c r="H850" t="n">
        <v>0</v>
      </c>
      <c r="I850" t="n">
        <v>0</v>
      </c>
      <c r="J850" t="n">
        <v>1</v>
      </c>
      <c r="K850" t="n">
        <v>0</v>
      </c>
      <c r="L850" t="n">
        <v>0</v>
      </c>
      <c r="M850" t="n">
        <v>0</v>
      </c>
      <c r="N850" t="n">
        <v>0</v>
      </c>
      <c r="O850" t="n">
        <v>1</v>
      </c>
      <c r="P850" t="n">
        <v>0</v>
      </c>
      <c r="Q850" t="n">
        <v>1</v>
      </c>
      <c r="R850" s="2" t="inlineStr">
        <is>
          <t>Lunglav</t>
        </is>
      </c>
      <c r="S850">
        <f>HYPERLINK("https://klasma.github.io/Logging_KROKOM/artfynd/A 31910-2019.xlsx")</f>
        <v/>
      </c>
      <c r="T850">
        <f>HYPERLINK("https://klasma.github.io/Logging_KROKOM/kartor/A 31910-2019.png")</f>
        <v/>
      </c>
      <c r="V850">
        <f>HYPERLINK("https://klasma.github.io/Logging_KROKOM/klagomål/A 31910-2019.docx")</f>
        <v/>
      </c>
      <c r="W850">
        <f>HYPERLINK("https://klasma.github.io/Logging_KROKOM/klagomålsmail/A 31910-2019.docx")</f>
        <v/>
      </c>
      <c r="X850">
        <f>HYPERLINK("https://klasma.github.io/Logging_KROKOM/tillsyn/A 31910-2019.docx")</f>
        <v/>
      </c>
      <c r="Y850">
        <f>HYPERLINK("https://klasma.github.io/Logging_KROKOM/tillsynsmail/A 31910-2019.docx")</f>
        <v/>
      </c>
    </row>
    <row r="851" ht="15" customHeight="1">
      <c r="A851" t="inlineStr">
        <is>
          <t>A 32596-2019</t>
        </is>
      </c>
      <c r="B851" s="1" t="n">
        <v>43647</v>
      </c>
      <c r="C851" s="1" t="n">
        <v>45182</v>
      </c>
      <c r="D851" t="inlineStr">
        <is>
          <t>JÄMTLANDS LÄN</t>
        </is>
      </c>
      <c r="E851" t="inlineStr">
        <is>
          <t>STRÖMSUND</t>
        </is>
      </c>
      <c r="G851" t="n">
        <v>2.6</v>
      </c>
      <c r="H851" t="n">
        <v>1</v>
      </c>
      <c r="I851" t="n">
        <v>0</v>
      </c>
      <c r="J851" t="n">
        <v>0</v>
      </c>
      <c r="K851" t="n">
        <v>1</v>
      </c>
      <c r="L851" t="n">
        <v>0</v>
      </c>
      <c r="M851" t="n">
        <v>0</v>
      </c>
      <c r="N851" t="n">
        <v>0</v>
      </c>
      <c r="O851" t="n">
        <v>1</v>
      </c>
      <c r="P851" t="n">
        <v>1</v>
      </c>
      <c r="Q851" t="n">
        <v>1</v>
      </c>
      <c r="R851" s="2" t="inlineStr">
        <is>
          <t>Knärot</t>
        </is>
      </c>
      <c r="S851">
        <f>HYPERLINK("https://klasma.github.io/Logging_STROMSUND/artfynd/A 32596-2019.xlsx")</f>
        <v/>
      </c>
      <c r="T851">
        <f>HYPERLINK("https://klasma.github.io/Logging_STROMSUND/kartor/A 32596-2019.png")</f>
        <v/>
      </c>
      <c r="U851">
        <f>HYPERLINK("https://klasma.github.io/Logging_STROMSUND/knärot/A 32596-2019.png")</f>
        <v/>
      </c>
      <c r="V851">
        <f>HYPERLINK("https://klasma.github.io/Logging_STROMSUND/klagomål/A 32596-2019.docx")</f>
        <v/>
      </c>
      <c r="W851">
        <f>HYPERLINK("https://klasma.github.io/Logging_STROMSUND/klagomålsmail/A 32596-2019.docx")</f>
        <v/>
      </c>
      <c r="X851">
        <f>HYPERLINK("https://klasma.github.io/Logging_STROMSUND/tillsyn/A 32596-2019.docx")</f>
        <v/>
      </c>
      <c r="Y851">
        <f>HYPERLINK("https://klasma.github.io/Logging_STROMSUND/tillsynsmail/A 32596-2019.docx")</f>
        <v/>
      </c>
    </row>
    <row r="852" ht="15" customHeight="1">
      <c r="A852" t="inlineStr">
        <is>
          <t>A 33241-2019</t>
        </is>
      </c>
      <c r="B852" s="1" t="n">
        <v>43650</v>
      </c>
      <c r="C852" s="1" t="n">
        <v>45182</v>
      </c>
      <c r="D852" t="inlineStr">
        <is>
          <t>JÄMTLANDS LÄN</t>
        </is>
      </c>
      <c r="E852" t="inlineStr">
        <is>
          <t>RAGUNDA</t>
        </is>
      </c>
      <c r="G852" t="n">
        <v>6.3</v>
      </c>
      <c r="H852" t="n">
        <v>0</v>
      </c>
      <c r="I852" t="n">
        <v>0</v>
      </c>
      <c r="J852" t="n">
        <v>1</v>
      </c>
      <c r="K852" t="n">
        <v>0</v>
      </c>
      <c r="L852" t="n">
        <v>0</v>
      </c>
      <c r="M852" t="n">
        <v>0</v>
      </c>
      <c r="N852" t="n">
        <v>0</v>
      </c>
      <c r="O852" t="n">
        <v>1</v>
      </c>
      <c r="P852" t="n">
        <v>0</v>
      </c>
      <c r="Q852" t="n">
        <v>1</v>
      </c>
      <c r="R852" s="2" t="inlineStr">
        <is>
          <t>Garnlav</t>
        </is>
      </c>
      <c r="S852">
        <f>HYPERLINK("https://klasma.github.io/Logging_RAGUNDA/artfynd/A 33241-2019.xlsx")</f>
        <v/>
      </c>
      <c r="T852">
        <f>HYPERLINK("https://klasma.github.io/Logging_RAGUNDA/kartor/A 33241-2019.png")</f>
        <v/>
      </c>
      <c r="V852">
        <f>HYPERLINK("https://klasma.github.io/Logging_RAGUNDA/klagomål/A 33241-2019.docx")</f>
        <v/>
      </c>
      <c r="W852">
        <f>HYPERLINK("https://klasma.github.io/Logging_RAGUNDA/klagomålsmail/A 33241-2019.docx")</f>
        <v/>
      </c>
      <c r="X852">
        <f>HYPERLINK("https://klasma.github.io/Logging_RAGUNDA/tillsyn/A 33241-2019.docx")</f>
        <v/>
      </c>
      <c r="Y852">
        <f>HYPERLINK("https://klasma.github.io/Logging_RAGUNDA/tillsynsmail/A 33241-2019.docx")</f>
        <v/>
      </c>
    </row>
    <row r="853" ht="15" customHeight="1">
      <c r="A853" t="inlineStr">
        <is>
          <t>A 34268-2019</t>
        </is>
      </c>
      <c r="B853" s="1" t="n">
        <v>43655</v>
      </c>
      <c r="C853" s="1" t="n">
        <v>45182</v>
      </c>
      <c r="D853" t="inlineStr">
        <is>
          <t>JÄMTLANDS LÄN</t>
        </is>
      </c>
      <c r="E853" t="inlineStr">
        <is>
          <t>HÄRJEDALEN</t>
        </is>
      </c>
      <c r="F853" t="inlineStr">
        <is>
          <t>Bergvik skog väst AB</t>
        </is>
      </c>
      <c r="G853" t="n">
        <v>43.7</v>
      </c>
      <c r="H853" t="n">
        <v>0</v>
      </c>
      <c r="I853" t="n">
        <v>0</v>
      </c>
      <c r="J853" t="n">
        <v>1</v>
      </c>
      <c r="K853" t="n">
        <v>0</v>
      </c>
      <c r="L853" t="n">
        <v>0</v>
      </c>
      <c r="M853" t="n">
        <v>0</v>
      </c>
      <c r="N853" t="n">
        <v>0</v>
      </c>
      <c r="O853" t="n">
        <v>1</v>
      </c>
      <c r="P853" t="n">
        <v>0</v>
      </c>
      <c r="Q853" t="n">
        <v>1</v>
      </c>
      <c r="R853" s="2" t="inlineStr">
        <is>
          <t>Lunglav</t>
        </is>
      </c>
      <c r="S853">
        <f>HYPERLINK("https://klasma.github.io/Logging_HARJEDALEN/artfynd/A 34268-2019.xlsx")</f>
        <v/>
      </c>
      <c r="T853">
        <f>HYPERLINK("https://klasma.github.io/Logging_HARJEDALEN/kartor/A 34268-2019.png")</f>
        <v/>
      </c>
      <c r="V853">
        <f>HYPERLINK("https://klasma.github.io/Logging_HARJEDALEN/klagomål/A 34268-2019.docx")</f>
        <v/>
      </c>
      <c r="W853">
        <f>HYPERLINK("https://klasma.github.io/Logging_HARJEDALEN/klagomålsmail/A 34268-2019.docx")</f>
        <v/>
      </c>
      <c r="X853">
        <f>HYPERLINK("https://klasma.github.io/Logging_HARJEDALEN/tillsyn/A 34268-2019.docx")</f>
        <v/>
      </c>
      <c r="Y853">
        <f>HYPERLINK("https://klasma.github.io/Logging_HARJEDALEN/tillsynsmail/A 34268-2019.docx")</f>
        <v/>
      </c>
    </row>
    <row r="854" ht="15" customHeight="1">
      <c r="A854" t="inlineStr">
        <is>
          <t>A 40660-2019</t>
        </is>
      </c>
      <c r="B854" s="1" t="n">
        <v>43696</v>
      </c>
      <c r="C854" s="1" t="n">
        <v>45182</v>
      </c>
      <c r="D854" t="inlineStr">
        <is>
          <t>JÄMTLANDS LÄN</t>
        </is>
      </c>
      <c r="E854" t="inlineStr">
        <is>
          <t>STRÖMSUND</t>
        </is>
      </c>
      <c r="G854" t="n">
        <v>6.5</v>
      </c>
      <c r="H854" t="n">
        <v>1</v>
      </c>
      <c r="I854" t="n">
        <v>0</v>
      </c>
      <c r="J854" t="n">
        <v>0</v>
      </c>
      <c r="K854" t="n">
        <v>0</v>
      </c>
      <c r="L854" t="n">
        <v>0</v>
      </c>
      <c r="M854" t="n">
        <v>0</v>
      </c>
      <c r="N854" t="n">
        <v>0</v>
      </c>
      <c r="O854" t="n">
        <v>0</v>
      </c>
      <c r="P854" t="n">
        <v>0</v>
      </c>
      <c r="Q854" t="n">
        <v>1</v>
      </c>
      <c r="R854" s="2" t="inlineStr">
        <is>
          <t>Fläcknycklar</t>
        </is>
      </c>
      <c r="S854">
        <f>HYPERLINK("https://klasma.github.io/Logging_STROMSUND/artfynd/A 40660-2019.xlsx")</f>
        <v/>
      </c>
      <c r="T854">
        <f>HYPERLINK("https://klasma.github.io/Logging_STROMSUND/kartor/A 40660-2019.png")</f>
        <v/>
      </c>
      <c r="V854">
        <f>HYPERLINK("https://klasma.github.io/Logging_STROMSUND/klagomål/A 40660-2019.docx")</f>
        <v/>
      </c>
      <c r="W854">
        <f>HYPERLINK("https://klasma.github.io/Logging_STROMSUND/klagomålsmail/A 40660-2019.docx")</f>
        <v/>
      </c>
      <c r="X854">
        <f>HYPERLINK("https://klasma.github.io/Logging_STROMSUND/tillsyn/A 40660-2019.docx")</f>
        <v/>
      </c>
      <c r="Y854">
        <f>HYPERLINK("https://klasma.github.io/Logging_STROMSUND/tillsynsmail/A 40660-2019.docx")</f>
        <v/>
      </c>
    </row>
    <row r="855" ht="15" customHeight="1">
      <c r="A855" t="inlineStr">
        <is>
          <t>A 40524-2019</t>
        </is>
      </c>
      <c r="B855" s="1" t="n">
        <v>43696</v>
      </c>
      <c r="C855" s="1" t="n">
        <v>45182</v>
      </c>
      <c r="D855" t="inlineStr">
        <is>
          <t>JÄMTLANDS LÄN</t>
        </is>
      </c>
      <c r="E855" t="inlineStr">
        <is>
          <t>STRÖMSUND</t>
        </is>
      </c>
      <c r="G855" t="n">
        <v>5.9</v>
      </c>
      <c r="H855" t="n">
        <v>1</v>
      </c>
      <c r="I855" t="n">
        <v>1</v>
      </c>
      <c r="J855" t="n">
        <v>0</v>
      </c>
      <c r="K855" t="n">
        <v>0</v>
      </c>
      <c r="L855" t="n">
        <v>0</v>
      </c>
      <c r="M855" t="n">
        <v>0</v>
      </c>
      <c r="N855" t="n">
        <v>0</v>
      </c>
      <c r="O855" t="n">
        <v>0</v>
      </c>
      <c r="P855" t="n">
        <v>0</v>
      </c>
      <c r="Q855" t="n">
        <v>1</v>
      </c>
      <c r="R855" s="2" t="inlineStr">
        <is>
          <t>Grönkulla</t>
        </is>
      </c>
      <c r="S855">
        <f>HYPERLINK("https://klasma.github.io/Logging_STROMSUND/artfynd/A 40524-2019.xlsx")</f>
        <v/>
      </c>
      <c r="T855">
        <f>HYPERLINK("https://klasma.github.io/Logging_STROMSUND/kartor/A 40524-2019.png")</f>
        <v/>
      </c>
      <c r="V855">
        <f>HYPERLINK("https://klasma.github.io/Logging_STROMSUND/klagomål/A 40524-2019.docx")</f>
        <v/>
      </c>
      <c r="W855">
        <f>HYPERLINK("https://klasma.github.io/Logging_STROMSUND/klagomålsmail/A 40524-2019.docx")</f>
        <v/>
      </c>
      <c r="X855">
        <f>HYPERLINK("https://klasma.github.io/Logging_STROMSUND/tillsyn/A 40524-2019.docx")</f>
        <v/>
      </c>
      <c r="Y855">
        <f>HYPERLINK("https://klasma.github.io/Logging_STROMSUND/tillsynsmail/A 40524-2019.docx")</f>
        <v/>
      </c>
    </row>
    <row r="856" ht="15" customHeight="1">
      <c r="A856" t="inlineStr">
        <is>
          <t>A 42629-2019</t>
        </is>
      </c>
      <c r="B856" s="1" t="n">
        <v>43704</v>
      </c>
      <c r="C856" s="1" t="n">
        <v>45182</v>
      </c>
      <c r="D856" t="inlineStr">
        <is>
          <t>JÄMTLANDS LÄN</t>
        </is>
      </c>
      <c r="E856" t="inlineStr">
        <is>
          <t>KROKOM</t>
        </is>
      </c>
      <c r="G856" t="n">
        <v>7.5</v>
      </c>
      <c r="H856" t="n">
        <v>0</v>
      </c>
      <c r="I856" t="n">
        <v>0</v>
      </c>
      <c r="J856" t="n">
        <v>1</v>
      </c>
      <c r="K856" t="n">
        <v>0</v>
      </c>
      <c r="L856" t="n">
        <v>0</v>
      </c>
      <c r="M856" t="n">
        <v>0</v>
      </c>
      <c r="N856" t="n">
        <v>0</v>
      </c>
      <c r="O856" t="n">
        <v>1</v>
      </c>
      <c r="P856" t="n">
        <v>0</v>
      </c>
      <c r="Q856" t="n">
        <v>1</v>
      </c>
      <c r="R856" s="2" t="inlineStr">
        <is>
          <t>Brunklöver</t>
        </is>
      </c>
      <c r="S856">
        <f>HYPERLINK("https://klasma.github.io/Logging_KROKOM/artfynd/A 42629-2019.xlsx")</f>
        <v/>
      </c>
      <c r="T856">
        <f>HYPERLINK("https://klasma.github.io/Logging_KROKOM/kartor/A 42629-2019.png")</f>
        <v/>
      </c>
      <c r="V856">
        <f>HYPERLINK("https://klasma.github.io/Logging_KROKOM/klagomål/A 42629-2019.docx")</f>
        <v/>
      </c>
      <c r="W856">
        <f>HYPERLINK("https://klasma.github.io/Logging_KROKOM/klagomålsmail/A 42629-2019.docx")</f>
        <v/>
      </c>
      <c r="X856">
        <f>HYPERLINK("https://klasma.github.io/Logging_KROKOM/tillsyn/A 42629-2019.docx")</f>
        <v/>
      </c>
      <c r="Y856">
        <f>HYPERLINK("https://klasma.github.io/Logging_KROKOM/tillsynsmail/A 42629-2019.docx")</f>
        <v/>
      </c>
    </row>
    <row r="857" ht="15" customHeight="1">
      <c r="A857" t="inlineStr">
        <is>
          <t>A 43203-2019</t>
        </is>
      </c>
      <c r="B857" s="1" t="n">
        <v>43705</v>
      </c>
      <c r="C857" s="1" t="n">
        <v>45182</v>
      </c>
      <c r="D857" t="inlineStr">
        <is>
          <t>JÄMTLANDS LÄN</t>
        </is>
      </c>
      <c r="E857" t="inlineStr">
        <is>
          <t>BERG</t>
        </is>
      </c>
      <c r="F857" t="inlineStr">
        <is>
          <t>SCA</t>
        </is>
      </c>
      <c r="G857" t="n">
        <v>2.6</v>
      </c>
      <c r="H857" t="n">
        <v>1</v>
      </c>
      <c r="I857" t="n">
        <v>0</v>
      </c>
      <c r="J857" t="n">
        <v>0</v>
      </c>
      <c r="K857" t="n">
        <v>0</v>
      </c>
      <c r="L857" t="n">
        <v>0</v>
      </c>
      <c r="M857" t="n">
        <v>0</v>
      </c>
      <c r="N857" t="n">
        <v>0</v>
      </c>
      <c r="O857" t="n">
        <v>0</v>
      </c>
      <c r="P857" t="n">
        <v>0</v>
      </c>
      <c r="Q857" t="n">
        <v>1</v>
      </c>
      <c r="R857" s="2" t="inlineStr">
        <is>
          <t>Fläcknycklar</t>
        </is>
      </c>
      <c r="S857">
        <f>HYPERLINK("https://klasma.github.io/Logging_BERG/artfynd/A 43203-2019.xlsx")</f>
        <v/>
      </c>
      <c r="T857">
        <f>HYPERLINK("https://klasma.github.io/Logging_BERG/kartor/A 43203-2019.png")</f>
        <v/>
      </c>
      <c r="V857">
        <f>HYPERLINK("https://klasma.github.io/Logging_BERG/klagomål/A 43203-2019.docx")</f>
        <v/>
      </c>
      <c r="W857">
        <f>HYPERLINK("https://klasma.github.io/Logging_BERG/klagomålsmail/A 43203-2019.docx")</f>
        <v/>
      </c>
      <c r="X857">
        <f>HYPERLINK("https://klasma.github.io/Logging_BERG/tillsyn/A 43203-2019.docx")</f>
        <v/>
      </c>
      <c r="Y857">
        <f>HYPERLINK("https://klasma.github.io/Logging_BERG/tillsynsmail/A 43203-2019.docx")</f>
        <v/>
      </c>
    </row>
    <row r="858" ht="15" customHeight="1">
      <c r="A858" t="inlineStr">
        <is>
          <t>A 44011-2019</t>
        </is>
      </c>
      <c r="B858" s="1" t="n">
        <v>43709</v>
      </c>
      <c r="C858" s="1" t="n">
        <v>45182</v>
      </c>
      <c r="D858" t="inlineStr">
        <is>
          <t>JÄMTLANDS LÄN</t>
        </is>
      </c>
      <c r="E858" t="inlineStr">
        <is>
          <t>STRÖMSUND</t>
        </is>
      </c>
      <c r="F858" t="inlineStr">
        <is>
          <t>SCA</t>
        </is>
      </c>
      <c r="G858" t="n">
        <v>2.8</v>
      </c>
      <c r="H858" t="n">
        <v>0</v>
      </c>
      <c r="I858" t="n">
        <v>0</v>
      </c>
      <c r="J858" t="n">
        <v>1</v>
      </c>
      <c r="K858" t="n">
        <v>0</v>
      </c>
      <c r="L858" t="n">
        <v>0</v>
      </c>
      <c r="M858" t="n">
        <v>0</v>
      </c>
      <c r="N858" t="n">
        <v>0</v>
      </c>
      <c r="O858" t="n">
        <v>1</v>
      </c>
      <c r="P858" t="n">
        <v>0</v>
      </c>
      <c r="Q858" t="n">
        <v>1</v>
      </c>
      <c r="R858" s="2" t="inlineStr">
        <is>
          <t>Vitgrynig nållav</t>
        </is>
      </c>
      <c r="S858">
        <f>HYPERLINK("https://klasma.github.io/Logging_STROMSUND/artfynd/A 44011-2019.xlsx")</f>
        <v/>
      </c>
      <c r="T858">
        <f>HYPERLINK("https://klasma.github.io/Logging_STROMSUND/kartor/A 44011-2019.png")</f>
        <v/>
      </c>
      <c r="V858">
        <f>HYPERLINK("https://klasma.github.io/Logging_STROMSUND/klagomål/A 44011-2019.docx")</f>
        <v/>
      </c>
      <c r="W858">
        <f>HYPERLINK("https://klasma.github.io/Logging_STROMSUND/klagomålsmail/A 44011-2019.docx")</f>
        <v/>
      </c>
      <c r="X858">
        <f>HYPERLINK("https://klasma.github.io/Logging_STROMSUND/tillsyn/A 44011-2019.docx")</f>
        <v/>
      </c>
      <c r="Y858">
        <f>HYPERLINK("https://klasma.github.io/Logging_STROMSUND/tillsynsmail/A 44011-2019.docx")</f>
        <v/>
      </c>
    </row>
    <row r="859" ht="15" customHeight="1">
      <c r="A859" t="inlineStr">
        <is>
          <t>A 44527-2019</t>
        </is>
      </c>
      <c r="B859" s="1" t="n">
        <v>43711</v>
      </c>
      <c r="C859" s="1" t="n">
        <v>45182</v>
      </c>
      <c r="D859" t="inlineStr">
        <is>
          <t>JÄMTLANDS LÄN</t>
        </is>
      </c>
      <c r="E859" t="inlineStr">
        <is>
          <t>STRÖMSUND</t>
        </is>
      </c>
      <c r="G859" t="n">
        <v>19.8</v>
      </c>
      <c r="H859" t="n">
        <v>0</v>
      </c>
      <c r="I859" t="n">
        <v>1</v>
      </c>
      <c r="J859" t="n">
        <v>0</v>
      </c>
      <c r="K859" t="n">
        <v>0</v>
      </c>
      <c r="L859" t="n">
        <v>0</v>
      </c>
      <c r="M859" t="n">
        <v>0</v>
      </c>
      <c r="N859" t="n">
        <v>0</v>
      </c>
      <c r="O859" t="n">
        <v>0</v>
      </c>
      <c r="P859" t="n">
        <v>0</v>
      </c>
      <c r="Q859" t="n">
        <v>1</v>
      </c>
      <c r="R859" s="2" t="inlineStr">
        <is>
          <t>Finbräken</t>
        </is>
      </c>
      <c r="S859">
        <f>HYPERLINK("https://klasma.github.io/Logging_STROMSUND/artfynd/A 44527-2019.xlsx")</f>
        <v/>
      </c>
      <c r="T859">
        <f>HYPERLINK("https://klasma.github.io/Logging_STROMSUND/kartor/A 44527-2019.png")</f>
        <v/>
      </c>
      <c r="V859">
        <f>HYPERLINK("https://klasma.github.io/Logging_STROMSUND/klagomål/A 44527-2019.docx")</f>
        <v/>
      </c>
      <c r="W859">
        <f>HYPERLINK("https://klasma.github.io/Logging_STROMSUND/klagomålsmail/A 44527-2019.docx")</f>
        <v/>
      </c>
      <c r="X859">
        <f>HYPERLINK("https://klasma.github.io/Logging_STROMSUND/tillsyn/A 44527-2019.docx")</f>
        <v/>
      </c>
      <c r="Y859">
        <f>HYPERLINK("https://klasma.github.io/Logging_STROMSUND/tillsynsmail/A 44527-2019.docx")</f>
        <v/>
      </c>
    </row>
    <row r="860" ht="15" customHeight="1">
      <c r="A860" t="inlineStr">
        <is>
          <t>A 47080-2019</t>
        </is>
      </c>
      <c r="B860" s="1" t="n">
        <v>43720</v>
      </c>
      <c r="C860" s="1" t="n">
        <v>45182</v>
      </c>
      <c r="D860" t="inlineStr">
        <is>
          <t>JÄMTLANDS LÄN</t>
        </is>
      </c>
      <c r="E860" t="inlineStr">
        <is>
          <t>STRÖMSUND</t>
        </is>
      </c>
      <c r="F860" t="inlineStr">
        <is>
          <t>SCA</t>
        </is>
      </c>
      <c r="G860" t="n">
        <v>13.5</v>
      </c>
      <c r="H860" t="n">
        <v>0</v>
      </c>
      <c r="I860" t="n">
        <v>1</v>
      </c>
      <c r="J860" t="n">
        <v>0</v>
      </c>
      <c r="K860" t="n">
        <v>0</v>
      </c>
      <c r="L860" t="n">
        <v>0</v>
      </c>
      <c r="M860" t="n">
        <v>0</v>
      </c>
      <c r="N860" t="n">
        <v>0</v>
      </c>
      <c r="O860" t="n">
        <v>0</v>
      </c>
      <c r="P860" t="n">
        <v>0</v>
      </c>
      <c r="Q860" t="n">
        <v>1</v>
      </c>
      <c r="R860" s="2" t="inlineStr">
        <is>
          <t>Skinnlav</t>
        </is>
      </c>
      <c r="S860">
        <f>HYPERLINK("https://klasma.github.io/Logging_STROMSUND/artfynd/A 47080-2019.xlsx")</f>
        <v/>
      </c>
      <c r="T860">
        <f>HYPERLINK("https://klasma.github.io/Logging_STROMSUND/kartor/A 47080-2019.png")</f>
        <v/>
      </c>
      <c r="V860">
        <f>HYPERLINK("https://klasma.github.io/Logging_STROMSUND/klagomål/A 47080-2019.docx")</f>
        <v/>
      </c>
      <c r="W860">
        <f>HYPERLINK("https://klasma.github.io/Logging_STROMSUND/klagomålsmail/A 47080-2019.docx")</f>
        <v/>
      </c>
      <c r="X860">
        <f>HYPERLINK("https://klasma.github.io/Logging_STROMSUND/tillsyn/A 47080-2019.docx")</f>
        <v/>
      </c>
      <c r="Y860">
        <f>HYPERLINK("https://klasma.github.io/Logging_STROMSUND/tillsynsmail/A 47080-2019.docx")</f>
        <v/>
      </c>
    </row>
    <row r="861" ht="15" customHeight="1">
      <c r="A861" t="inlineStr">
        <is>
          <t>A 48800-2019</t>
        </is>
      </c>
      <c r="B861" s="1" t="n">
        <v>43727</v>
      </c>
      <c r="C861" s="1" t="n">
        <v>45182</v>
      </c>
      <c r="D861" t="inlineStr">
        <is>
          <t>JÄMTLANDS LÄN</t>
        </is>
      </c>
      <c r="E861" t="inlineStr">
        <is>
          <t>STRÖMSUND</t>
        </is>
      </c>
      <c r="F861" t="inlineStr">
        <is>
          <t>SCA</t>
        </is>
      </c>
      <c r="G861" t="n">
        <v>2.3</v>
      </c>
      <c r="H861" t="n">
        <v>0</v>
      </c>
      <c r="I861" t="n">
        <v>0</v>
      </c>
      <c r="J861" t="n">
        <v>1</v>
      </c>
      <c r="K861" t="n">
        <v>0</v>
      </c>
      <c r="L861" t="n">
        <v>0</v>
      </c>
      <c r="M861" t="n">
        <v>0</v>
      </c>
      <c r="N861" t="n">
        <v>0</v>
      </c>
      <c r="O861" t="n">
        <v>1</v>
      </c>
      <c r="P861" t="n">
        <v>0</v>
      </c>
      <c r="Q861" t="n">
        <v>1</v>
      </c>
      <c r="R861" s="2" t="inlineStr">
        <is>
          <t>Kolflarnlav</t>
        </is>
      </c>
      <c r="S861">
        <f>HYPERLINK("https://klasma.github.io/Logging_STROMSUND/artfynd/A 48800-2019.xlsx")</f>
        <v/>
      </c>
      <c r="T861">
        <f>HYPERLINK("https://klasma.github.io/Logging_STROMSUND/kartor/A 48800-2019.png")</f>
        <v/>
      </c>
      <c r="V861">
        <f>HYPERLINK("https://klasma.github.io/Logging_STROMSUND/klagomål/A 48800-2019.docx")</f>
        <v/>
      </c>
      <c r="W861">
        <f>HYPERLINK("https://klasma.github.io/Logging_STROMSUND/klagomålsmail/A 48800-2019.docx")</f>
        <v/>
      </c>
      <c r="X861">
        <f>HYPERLINK("https://klasma.github.io/Logging_STROMSUND/tillsyn/A 48800-2019.docx")</f>
        <v/>
      </c>
      <c r="Y861">
        <f>HYPERLINK("https://klasma.github.io/Logging_STROMSUND/tillsynsmail/A 48800-2019.docx")</f>
        <v/>
      </c>
    </row>
    <row r="862" ht="15" customHeight="1">
      <c r="A862" t="inlineStr">
        <is>
          <t>A 48962-2019</t>
        </is>
      </c>
      <c r="B862" s="1" t="n">
        <v>43728</v>
      </c>
      <c r="C862" s="1" t="n">
        <v>45182</v>
      </c>
      <c r="D862" t="inlineStr">
        <is>
          <t>JÄMTLANDS LÄN</t>
        </is>
      </c>
      <c r="E862" t="inlineStr">
        <is>
          <t>BRÄCKE</t>
        </is>
      </c>
      <c r="F862" t="inlineStr">
        <is>
          <t>SCA</t>
        </is>
      </c>
      <c r="G862" t="n">
        <v>21.9</v>
      </c>
      <c r="H862" t="n">
        <v>1</v>
      </c>
      <c r="I862" t="n">
        <v>0</v>
      </c>
      <c r="J862" t="n">
        <v>0</v>
      </c>
      <c r="K862" t="n">
        <v>1</v>
      </c>
      <c r="L862" t="n">
        <v>0</v>
      </c>
      <c r="M862" t="n">
        <v>0</v>
      </c>
      <c r="N862" t="n">
        <v>0</v>
      </c>
      <c r="O862" t="n">
        <v>1</v>
      </c>
      <c r="P862" t="n">
        <v>1</v>
      </c>
      <c r="Q862" t="n">
        <v>1</v>
      </c>
      <c r="R862" s="2" t="inlineStr">
        <is>
          <t>Doftticka</t>
        </is>
      </c>
      <c r="S862">
        <f>HYPERLINK("https://klasma.github.io/Logging_BRACKE/artfynd/A 48962-2019.xlsx")</f>
        <v/>
      </c>
      <c r="T862">
        <f>HYPERLINK("https://klasma.github.io/Logging_BRACKE/kartor/A 48962-2019.png")</f>
        <v/>
      </c>
      <c r="U862">
        <f>HYPERLINK("https://klasma.github.io/Logging_BRACKE/knärot/A 48962-2019.png")</f>
        <v/>
      </c>
      <c r="V862">
        <f>HYPERLINK("https://klasma.github.io/Logging_BRACKE/klagomål/A 48962-2019.docx")</f>
        <v/>
      </c>
      <c r="W862">
        <f>HYPERLINK("https://klasma.github.io/Logging_BRACKE/klagomålsmail/A 48962-2019.docx")</f>
        <v/>
      </c>
      <c r="X862">
        <f>HYPERLINK("https://klasma.github.io/Logging_BRACKE/tillsyn/A 48962-2019.docx")</f>
        <v/>
      </c>
      <c r="Y862">
        <f>HYPERLINK("https://klasma.github.io/Logging_BRACKE/tillsynsmail/A 48962-2019.docx")</f>
        <v/>
      </c>
    </row>
    <row r="863" ht="15" customHeight="1">
      <c r="A863" t="inlineStr">
        <is>
          <t>A 49010-2019</t>
        </is>
      </c>
      <c r="B863" s="1" t="n">
        <v>43730</v>
      </c>
      <c r="C863" s="1" t="n">
        <v>45182</v>
      </c>
      <c r="D863" t="inlineStr">
        <is>
          <t>JÄMTLANDS LÄN</t>
        </is>
      </c>
      <c r="E863" t="inlineStr">
        <is>
          <t>BRÄCKE</t>
        </is>
      </c>
      <c r="F863" t="inlineStr">
        <is>
          <t>SCA</t>
        </is>
      </c>
      <c r="G863" t="n">
        <v>1.3</v>
      </c>
      <c r="H863" t="n">
        <v>1</v>
      </c>
      <c r="I863" t="n">
        <v>0</v>
      </c>
      <c r="J863" t="n">
        <v>0</v>
      </c>
      <c r="K863" t="n">
        <v>0</v>
      </c>
      <c r="L863" t="n">
        <v>0</v>
      </c>
      <c r="M863" t="n">
        <v>0</v>
      </c>
      <c r="N863" t="n">
        <v>0</v>
      </c>
      <c r="O863" t="n">
        <v>0</v>
      </c>
      <c r="P863" t="n">
        <v>0</v>
      </c>
      <c r="Q863" t="n">
        <v>1</v>
      </c>
      <c r="R863" s="2" t="inlineStr">
        <is>
          <t>Fläcknycklar</t>
        </is>
      </c>
      <c r="S863">
        <f>HYPERLINK("https://klasma.github.io/Logging_BRACKE/artfynd/A 49010-2019.xlsx")</f>
        <v/>
      </c>
      <c r="T863">
        <f>HYPERLINK("https://klasma.github.io/Logging_BRACKE/kartor/A 49010-2019.png")</f>
        <v/>
      </c>
      <c r="V863">
        <f>HYPERLINK("https://klasma.github.io/Logging_BRACKE/klagomål/A 49010-2019.docx")</f>
        <v/>
      </c>
      <c r="W863">
        <f>HYPERLINK("https://klasma.github.io/Logging_BRACKE/klagomålsmail/A 49010-2019.docx")</f>
        <v/>
      </c>
      <c r="X863">
        <f>HYPERLINK("https://klasma.github.io/Logging_BRACKE/tillsyn/A 49010-2019.docx")</f>
        <v/>
      </c>
      <c r="Y863">
        <f>HYPERLINK("https://klasma.github.io/Logging_BRACKE/tillsynsmail/A 49010-2019.docx")</f>
        <v/>
      </c>
    </row>
    <row r="864" ht="15" customHeight="1">
      <c r="A864" t="inlineStr">
        <is>
          <t>A 50000-2019</t>
        </is>
      </c>
      <c r="B864" s="1" t="n">
        <v>43733</v>
      </c>
      <c r="C864" s="1" t="n">
        <v>45182</v>
      </c>
      <c r="D864" t="inlineStr">
        <is>
          <t>JÄMTLANDS LÄN</t>
        </is>
      </c>
      <c r="E864" t="inlineStr">
        <is>
          <t>STRÖMSUND</t>
        </is>
      </c>
      <c r="F864" t="inlineStr">
        <is>
          <t>SCA</t>
        </is>
      </c>
      <c r="G864" t="n">
        <v>1.5</v>
      </c>
      <c r="H864" t="n">
        <v>0</v>
      </c>
      <c r="I864" t="n">
        <v>0</v>
      </c>
      <c r="J864" t="n">
        <v>1</v>
      </c>
      <c r="K864" t="n">
        <v>0</v>
      </c>
      <c r="L864" t="n">
        <v>0</v>
      </c>
      <c r="M864" t="n">
        <v>0</v>
      </c>
      <c r="N864" t="n">
        <v>0</v>
      </c>
      <c r="O864" t="n">
        <v>1</v>
      </c>
      <c r="P864" t="n">
        <v>0</v>
      </c>
      <c r="Q864" t="n">
        <v>1</v>
      </c>
      <c r="R864" s="2" t="inlineStr">
        <is>
          <t>Granticka</t>
        </is>
      </c>
      <c r="S864">
        <f>HYPERLINK("https://klasma.github.io/Logging_STROMSUND/artfynd/A 50000-2019.xlsx")</f>
        <v/>
      </c>
      <c r="T864">
        <f>HYPERLINK("https://klasma.github.io/Logging_STROMSUND/kartor/A 50000-2019.png")</f>
        <v/>
      </c>
      <c r="V864">
        <f>HYPERLINK("https://klasma.github.io/Logging_STROMSUND/klagomål/A 50000-2019.docx")</f>
        <v/>
      </c>
      <c r="W864">
        <f>HYPERLINK("https://klasma.github.io/Logging_STROMSUND/klagomålsmail/A 50000-2019.docx")</f>
        <v/>
      </c>
      <c r="X864">
        <f>HYPERLINK("https://klasma.github.io/Logging_STROMSUND/tillsyn/A 50000-2019.docx")</f>
        <v/>
      </c>
      <c r="Y864">
        <f>HYPERLINK("https://klasma.github.io/Logging_STROMSUND/tillsynsmail/A 50000-2019.docx")</f>
        <v/>
      </c>
    </row>
    <row r="865" ht="15" customHeight="1">
      <c r="A865" t="inlineStr">
        <is>
          <t>A 50132-2019</t>
        </is>
      </c>
      <c r="B865" s="1" t="n">
        <v>43734</v>
      </c>
      <c r="C865" s="1" t="n">
        <v>45182</v>
      </c>
      <c r="D865" t="inlineStr">
        <is>
          <t>JÄMTLANDS LÄN</t>
        </is>
      </c>
      <c r="E865" t="inlineStr">
        <is>
          <t>KROKOM</t>
        </is>
      </c>
      <c r="G865" t="n">
        <v>1.8</v>
      </c>
      <c r="H865" t="n">
        <v>0</v>
      </c>
      <c r="I865" t="n">
        <v>0</v>
      </c>
      <c r="J865" t="n">
        <v>1</v>
      </c>
      <c r="K865" t="n">
        <v>0</v>
      </c>
      <c r="L865" t="n">
        <v>0</v>
      </c>
      <c r="M865" t="n">
        <v>0</v>
      </c>
      <c r="N865" t="n">
        <v>0</v>
      </c>
      <c r="O865" t="n">
        <v>1</v>
      </c>
      <c r="P865" t="n">
        <v>0</v>
      </c>
      <c r="Q865" t="n">
        <v>1</v>
      </c>
      <c r="R865" s="2" t="inlineStr">
        <is>
          <t>Vitgrynig nållav</t>
        </is>
      </c>
      <c r="S865">
        <f>HYPERLINK("https://klasma.github.io/Logging_KROKOM/artfynd/A 50132-2019.xlsx")</f>
        <v/>
      </c>
      <c r="T865">
        <f>HYPERLINK("https://klasma.github.io/Logging_KROKOM/kartor/A 50132-2019.png")</f>
        <v/>
      </c>
      <c r="V865">
        <f>HYPERLINK("https://klasma.github.io/Logging_KROKOM/klagomål/A 50132-2019.docx")</f>
        <v/>
      </c>
      <c r="W865">
        <f>HYPERLINK("https://klasma.github.io/Logging_KROKOM/klagomålsmail/A 50132-2019.docx")</f>
        <v/>
      </c>
      <c r="X865">
        <f>HYPERLINK("https://klasma.github.io/Logging_KROKOM/tillsyn/A 50132-2019.docx")</f>
        <v/>
      </c>
      <c r="Y865">
        <f>HYPERLINK("https://klasma.github.io/Logging_KROKOM/tillsynsmail/A 50132-2019.docx")</f>
        <v/>
      </c>
    </row>
    <row r="866" ht="15" customHeight="1">
      <c r="A866" t="inlineStr">
        <is>
          <t>A 50599-2019</t>
        </is>
      </c>
      <c r="B866" s="1" t="n">
        <v>43735</v>
      </c>
      <c r="C866" s="1" t="n">
        <v>45182</v>
      </c>
      <c r="D866" t="inlineStr">
        <is>
          <t>JÄMTLANDS LÄN</t>
        </is>
      </c>
      <c r="E866" t="inlineStr">
        <is>
          <t>BRÄCKE</t>
        </is>
      </c>
      <c r="F866" t="inlineStr">
        <is>
          <t>SCA</t>
        </is>
      </c>
      <c r="G866" t="n">
        <v>4.5</v>
      </c>
      <c r="H866" t="n">
        <v>0</v>
      </c>
      <c r="I866" t="n">
        <v>0</v>
      </c>
      <c r="J866" t="n">
        <v>1</v>
      </c>
      <c r="K866" t="n">
        <v>0</v>
      </c>
      <c r="L866" t="n">
        <v>0</v>
      </c>
      <c r="M866" t="n">
        <v>0</v>
      </c>
      <c r="N866" t="n">
        <v>0</v>
      </c>
      <c r="O866" t="n">
        <v>1</v>
      </c>
      <c r="P866" t="n">
        <v>0</v>
      </c>
      <c r="Q866" t="n">
        <v>1</v>
      </c>
      <c r="R866" s="2" t="inlineStr">
        <is>
          <t>Garnlav</t>
        </is>
      </c>
      <c r="S866">
        <f>HYPERLINK("https://klasma.github.io/Logging_BRACKE/artfynd/A 50599-2019.xlsx")</f>
        <v/>
      </c>
      <c r="T866">
        <f>HYPERLINK("https://klasma.github.io/Logging_BRACKE/kartor/A 50599-2019.png")</f>
        <v/>
      </c>
      <c r="V866">
        <f>HYPERLINK("https://klasma.github.io/Logging_BRACKE/klagomål/A 50599-2019.docx")</f>
        <v/>
      </c>
      <c r="W866">
        <f>HYPERLINK("https://klasma.github.io/Logging_BRACKE/klagomålsmail/A 50599-2019.docx")</f>
        <v/>
      </c>
      <c r="X866">
        <f>HYPERLINK("https://klasma.github.io/Logging_BRACKE/tillsyn/A 50599-2019.docx")</f>
        <v/>
      </c>
      <c r="Y866">
        <f>HYPERLINK("https://klasma.github.io/Logging_BRACKE/tillsynsmail/A 50599-2019.docx")</f>
        <v/>
      </c>
    </row>
    <row r="867" ht="15" customHeight="1">
      <c r="A867" t="inlineStr">
        <is>
          <t>A 53603-2019</t>
        </is>
      </c>
      <c r="B867" s="1" t="n">
        <v>43749</v>
      </c>
      <c r="C867" s="1" t="n">
        <v>45182</v>
      </c>
      <c r="D867" t="inlineStr">
        <is>
          <t>JÄMTLANDS LÄN</t>
        </is>
      </c>
      <c r="E867" t="inlineStr">
        <is>
          <t>ÅRE</t>
        </is>
      </c>
      <c r="F867" t="inlineStr">
        <is>
          <t>Kyrkan</t>
        </is>
      </c>
      <c r="G867" t="n">
        <v>13.6</v>
      </c>
      <c r="H867" t="n">
        <v>0</v>
      </c>
      <c r="I867" t="n">
        <v>0</v>
      </c>
      <c r="J867" t="n">
        <v>1</v>
      </c>
      <c r="K867" t="n">
        <v>0</v>
      </c>
      <c r="L867" t="n">
        <v>0</v>
      </c>
      <c r="M867" t="n">
        <v>0</v>
      </c>
      <c r="N867" t="n">
        <v>0</v>
      </c>
      <c r="O867" t="n">
        <v>1</v>
      </c>
      <c r="P867" t="n">
        <v>0</v>
      </c>
      <c r="Q867" t="n">
        <v>1</v>
      </c>
      <c r="R867" s="2" t="inlineStr">
        <is>
          <t>Granticka</t>
        </is>
      </c>
      <c r="S867">
        <f>HYPERLINK("https://klasma.github.io/Logging_ARE/artfynd/A 53603-2019.xlsx")</f>
        <v/>
      </c>
      <c r="T867">
        <f>HYPERLINK("https://klasma.github.io/Logging_ARE/kartor/A 53603-2019.png")</f>
        <v/>
      </c>
      <c r="V867">
        <f>HYPERLINK("https://klasma.github.io/Logging_ARE/klagomål/A 53603-2019.docx")</f>
        <v/>
      </c>
      <c r="W867">
        <f>HYPERLINK("https://klasma.github.io/Logging_ARE/klagomålsmail/A 53603-2019.docx")</f>
        <v/>
      </c>
      <c r="X867">
        <f>HYPERLINK("https://klasma.github.io/Logging_ARE/tillsyn/A 53603-2019.docx")</f>
        <v/>
      </c>
      <c r="Y867">
        <f>HYPERLINK("https://klasma.github.io/Logging_ARE/tillsynsmail/A 53603-2019.docx")</f>
        <v/>
      </c>
    </row>
    <row r="868" ht="15" customHeight="1">
      <c r="A868" t="inlineStr">
        <is>
          <t>A 56810-2019</t>
        </is>
      </c>
      <c r="B868" s="1" t="n">
        <v>43763</v>
      </c>
      <c r="C868" s="1" t="n">
        <v>45182</v>
      </c>
      <c r="D868" t="inlineStr">
        <is>
          <t>JÄMTLANDS LÄN</t>
        </is>
      </c>
      <c r="E868" t="inlineStr">
        <is>
          <t>STRÖMSUND</t>
        </is>
      </c>
      <c r="F868" t="inlineStr">
        <is>
          <t>SCA</t>
        </is>
      </c>
      <c r="G868" t="n">
        <v>9.6</v>
      </c>
      <c r="H868" t="n">
        <v>1</v>
      </c>
      <c r="I868" t="n">
        <v>1</v>
      </c>
      <c r="J868" t="n">
        <v>0</v>
      </c>
      <c r="K868" t="n">
        <v>0</v>
      </c>
      <c r="L868" t="n">
        <v>0</v>
      </c>
      <c r="M868" t="n">
        <v>0</v>
      </c>
      <c r="N868" t="n">
        <v>0</v>
      </c>
      <c r="O868" t="n">
        <v>0</v>
      </c>
      <c r="P868" t="n">
        <v>0</v>
      </c>
      <c r="Q868" t="n">
        <v>1</v>
      </c>
      <c r="R868" s="2" t="inlineStr">
        <is>
          <t>Guckusko</t>
        </is>
      </c>
      <c r="S868">
        <f>HYPERLINK("https://klasma.github.io/Logging_STROMSUND/artfynd/A 56810-2019.xlsx")</f>
        <v/>
      </c>
      <c r="T868">
        <f>HYPERLINK("https://klasma.github.io/Logging_STROMSUND/kartor/A 56810-2019.png")</f>
        <v/>
      </c>
      <c r="V868">
        <f>HYPERLINK("https://klasma.github.io/Logging_STROMSUND/klagomål/A 56810-2019.docx")</f>
        <v/>
      </c>
      <c r="W868">
        <f>HYPERLINK("https://klasma.github.io/Logging_STROMSUND/klagomålsmail/A 56810-2019.docx")</f>
        <v/>
      </c>
      <c r="X868">
        <f>HYPERLINK("https://klasma.github.io/Logging_STROMSUND/tillsyn/A 56810-2019.docx")</f>
        <v/>
      </c>
      <c r="Y868">
        <f>HYPERLINK("https://klasma.github.io/Logging_STROMSUND/tillsynsmail/A 56810-2019.docx")</f>
        <v/>
      </c>
    </row>
    <row r="869" ht="15" customHeight="1">
      <c r="A869" t="inlineStr">
        <is>
          <t>A 57757-2019</t>
        </is>
      </c>
      <c r="B869" s="1" t="n">
        <v>43768</v>
      </c>
      <c r="C869" s="1" t="n">
        <v>45182</v>
      </c>
      <c r="D869" t="inlineStr">
        <is>
          <t>JÄMTLANDS LÄN</t>
        </is>
      </c>
      <c r="E869" t="inlineStr">
        <is>
          <t>ÖSTERSUND</t>
        </is>
      </c>
      <c r="G869" t="n">
        <v>1.3</v>
      </c>
      <c r="H869" t="n">
        <v>1</v>
      </c>
      <c r="I869" t="n">
        <v>0</v>
      </c>
      <c r="J869" t="n">
        <v>0</v>
      </c>
      <c r="K869" t="n">
        <v>0</v>
      </c>
      <c r="L869" t="n">
        <v>0</v>
      </c>
      <c r="M869" t="n">
        <v>0</v>
      </c>
      <c r="N869" t="n">
        <v>0</v>
      </c>
      <c r="O869" t="n">
        <v>0</v>
      </c>
      <c r="P869" t="n">
        <v>0</v>
      </c>
      <c r="Q869" t="n">
        <v>1</v>
      </c>
      <c r="R869" s="2" t="inlineStr">
        <is>
          <t>Revlummer</t>
        </is>
      </c>
      <c r="S869">
        <f>HYPERLINK("https://klasma.github.io/Logging_OSTERSUND/artfynd/A 57757-2019.xlsx")</f>
        <v/>
      </c>
      <c r="T869">
        <f>HYPERLINK("https://klasma.github.io/Logging_OSTERSUND/kartor/A 57757-2019.png")</f>
        <v/>
      </c>
      <c r="V869">
        <f>HYPERLINK("https://klasma.github.io/Logging_OSTERSUND/klagomål/A 57757-2019.docx")</f>
        <v/>
      </c>
      <c r="W869">
        <f>HYPERLINK("https://klasma.github.io/Logging_OSTERSUND/klagomålsmail/A 57757-2019.docx")</f>
        <v/>
      </c>
      <c r="X869">
        <f>HYPERLINK("https://klasma.github.io/Logging_OSTERSUND/tillsyn/A 57757-2019.docx")</f>
        <v/>
      </c>
      <c r="Y869">
        <f>HYPERLINK("https://klasma.github.io/Logging_OSTERSUND/tillsynsmail/A 57757-2019.docx")</f>
        <v/>
      </c>
    </row>
    <row r="870" ht="15" customHeight="1">
      <c r="A870" t="inlineStr">
        <is>
          <t>A 59825-2019</t>
        </is>
      </c>
      <c r="B870" s="1" t="n">
        <v>43774</v>
      </c>
      <c r="C870" s="1" t="n">
        <v>45182</v>
      </c>
      <c r="D870" t="inlineStr">
        <is>
          <t>JÄMTLANDS LÄN</t>
        </is>
      </c>
      <c r="E870" t="inlineStr">
        <is>
          <t>ÅRE</t>
        </is>
      </c>
      <c r="G870" t="n">
        <v>6.8</v>
      </c>
      <c r="H870" t="n">
        <v>0</v>
      </c>
      <c r="I870" t="n">
        <v>0</v>
      </c>
      <c r="J870" t="n">
        <v>1</v>
      </c>
      <c r="K870" t="n">
        <v>0</v>
      </c>
      <c r="L870" t="n">
        <v>0</v>
      </c>
      <c r="M870" t="n">
        <v>0</v>
      </c>
      <c r="N870" t="n">
        <v>0</v>
      </c>
      <c r="O870" t="n">
        <v>1</v>
      </c>
      <c r="P870" t="n">
        <v>0</v>
      </c>
      <c r="Q870" t="n">
        <v>1</v>
      </c>
      <c r="R870" s="2" t="inlineStr">
        <is>
          <t>Lunglav</t>
        </is>
      </c>
      <c r="S870">
        <f>HYPERLINK("https://klasma.github.io/Logging_ARE/artfynd/A 59825-2019.xlsx")</f>
        <v/>
      </c>
      <c r="T870">
        <f>HYPERLINK("https://klasma.github.io/Logging_ARE/kartor/A 59825-2019.png")</f>
        <v/>
      </c>
      <c r="V870">
        <f>HYPERLINK("https://klasma.github.io/Logging_ARE/klagomål/A 59825-2019.docx")</f>
        <v/>
      </c>
      <c r="W870">
        <f>HYPERLINK("https://klasma.github.io/Logging_ARE/klagomålsmail/A 59825-2019.docx")</f>
        <v/>
      </c>
      <c r="X870">
        <f>HYPERLINK("https://klasma.github.io/Logging_ARE/tillsyn/A 59825-2019.docx")</f>
        <v/>
      </c>
      <c r="Y870">
        <f>HYPERLINK("https://klasma.github.io/Logging_ARE/tillsynsmail/A 59825-2019.docx")</f>
        <v/>
      </c>
    </row>
    <row r="871" ht="15" customHeight="1">
      <c r="A871" t="inlineStr">
        <is>
          <t>A 61347-2019</t>
        </is>
      </c>
      <c r="B871" s="1" t="n">
        <v>43783</v>
      </c>
      <c r="C871" s="1" t="n">
        <v>45182</v>
      </c>
      <c r="D871" t="inlineStr">
        <is>
          <t>JÄMTLANDS LÄN</t>
        </is>
      </c>
      <c r="E871" t="inlineStr">
        <is>
          <t>KROKOM</t>
        </is>
      </c>
      <c r="F871" t="inlineStr">
        <is>
          <t>Allmännings- och besparingsskogar</t>
        </is>
      </c>
      <c r="G871" t="n">
        <v>20.7</v>
      </c>
      <c r="H871" t="n">
        <v>1</v>
      </c>
      <c r="I871" t="n">
        <v>0</v>
      </c>
      <c r="J871" t="n">
        <v>0</v>
      </c>
      <c r="K871" t="n">
        <v>1</v>
      </c>
      <c r="L871" t="n">
        <v>0</v>
      </c>
      <c r="M871" t="n">
        <v>0</v>
      </c>
      <c r="N871" t="n">
        <v>0</v>
      </c>
      <c r="O871" t="n">
        <v>1</v>
      </c>
      <c r="P871" t="n">
        <v>1</v>
      </c>
      <c r="Q871" t="n">
        <v>1</v>
      </c>
      <c r="R871" s="2" t="inlineStr">
        <is>
          <t>Knärot</t>
        </is>
      </c>
      <c r="S871">
        <f>HYPERLINK("https://klasma.github.io/Logging_KROKOM/artfynd/A 61347-2019.xlsx")</f>
        <v/>
      </c>
      <c r="T871">
        <f>HYPERLINK("https://klasma.github.io/Logging_KROKOM/kartor/A 61347-2019.png")</f>
        <v/>
      </c>
      <c r="U871">
        <f>HYPERLINK("https://klasma.github.io/Logging_KROKOM/knärot/A 61347-2019.png")</f>
        <v/>
      </c>
      <c r="V871">
        <f>HYPERLINK("https://klasma.github.io/Logging_KROKOM/klagomål/A 61347-2019.docx")</f>
        <v/>
      </c>
      <c r="W871">
        <f>HYPERLINK("https://klasma.github.io/Logging_KROKOM/klagomålsmail/A 61347-2019.docx")</f>
        <v/>
      </c>
      <c r="X871">
        <f>HYPERLINK("https://klasma.github.io/Logging_KROKOM/tillsyn/A 61347-2019.docx")</f>
        <v/>
      </c>
      <c r="Y871">
        <f>HYPERLINK("https://klasma.github.io/Logging_KROKOM/tillsynsmail/A 61347-2019.docx")</f>
        <v/>
      </c>
    </row>
    <row r="872" ht="15" customHeight="1">
      <c r="A872" t="inlineStr">
        <is>
          <t>A 61775-2019</t>
        </is>
      </c>
      <c r="B872" s="1" t="n">
        <v>43784</v>
      </c>
      <c r="C872" s="1" t="n">
        <v>45182</v>
      </c>
      <c r="D872" t="inlineStr">
        <is>
          <t>JÄMTLANDS LÄN</t>
        </is>
      </c>
      <c r="E872" t="inlineStr">
        <is>
          <t>BERG</t>
        </is>
      </c>
      <c r="F872" t="inlineStr">
        <is>
          <t>SCA</t>
        </is>
      </c>
      <c r="G872" t="n">
        <v>5.4</v>
      </c>
      <c r="H872" t="n">
        <v>0</v>
      </c>
      <c r="I872" t="n">
        <v>0</v>
      </c>
      <c r="J872" t="n">
        <v>1</v>
      </c>
      <c r="K872" t="n">
        <v>0</v>
      </c>
      <c r="L872" t="n">
        <v>0</v>
      </c>
      <c r="M872" t="n">
        <v>0</v>
      </c>
      <c r="N872" t="n">
        <v>0</v>
      </c>
      <c r="O872" t="n">
        <v>1</v>
      </c>
      <c r="P872" t="n">
        <v>0</v>
      </c>
      <c r="Q872" t="n">
        <v>1</v>
      </c>
      <c r="R872" s="2" t="inlineStr">
        <is>
          <t>Dvärgbägarlav</t>
        </is>
      </c>
      <c r="S872">
        <f>HYPERLINK("https://klasma.github.io/Logging_BERG/artfynd/A 61775-2019.xlsx")</f>
        <v/>
      </c>
      <c r="T872">
        <f>HYPERLINK("https://klasma.github.io/Logging_BERG/kartor/A 61775-2019.png")</f>
        <v/>
      </c>
      <c r="V872">
        <f>HYPERLINK("https://klasma.github.io/Logging_BERG/klagomål/A 61775-2019.docx")</f>
        <v/>
      </c>
      <c r="W872">
        <f>HYPERLINK("https://klasma.github.io/Logging_BERG/klagomålsmail/A 61775-2019.docx")</f>
        <v/>
      </c>
      <c r="X872">
        <f>HYPERLINK("https://klasma.github.io/Logging_BERG/tillsyn/A 61775-2019.docx")</f>
        <v/>
      </c>
      <c r="Y872">
        <f>HYPERLINK("https://klasma.github.io/Logging_BERG/tillsynsmail/A 61775-2019.docx")</f>
        <v/>
      </c>
    </row>
    <row r="873" ht="15" customHeight="1">
      <c r="A873" t="inlineStr">
        <is>
          <t>A 61777-2019</t>
        </is>
      </c>
      <c r="B873" s="1" t="n">
        <v>43784</v>
      </c>
      <c r="C873" s="1" t="n">
        <v>45182</v>
      </c>
      <c r="D873" t="inlineStr">
        <is>
          <t>JÄMTLANDS LÄN</t>
        </is>
      </c>
      <c r="E873" t="inlineStr">
        <is>
          <t>RAGUNDA</t>
        </is>
      </c>
      <c r="F873" t="inlineStr">
        <is>
          <t>SCA</t>
        </is>
      </c>
      <c r="G873" t="n">
        <v>6.1</v>
      </c>
      <c r="H873" t="n">
        <v>1</v>
      </c>
      <c r="I873" t="n">
        <v>1</v>
      </c>
      <c r="J873" t="n">
        <v>0</v>
      </c>
      <c r="K873" t="n">
        <v>0</v>
      </c>
      <c r="L873" t="n">
        <v>0</v>
      </c>
      <c r="M873" t="n">
        <v>0</v>
      </c>
      <c r="N873" t="n">
        <v>0</v>
      </c>
      <c r="O873" t="n">
        <v>0</v>
      </c>
      <c r="P873" t="n">
        <v>0</v>
      </c>
      <c r="Q873" t="n">
        <v>1</v>
      </c>
      <c r="R873" s="2" t="inlineStr">
        <is>
          <t>Guckusko</t>
        </is>
      </c>
      <c r="S873">
        <f>HYPERLINK("https://klasma.github.io/Logging_RAGUNDA/artfynd/A 61777-2019.xlsx")</f>
        <v/>
      </c>
      <c r="T873">
        <f>HYPERLINK("https://klasma.github.io/Logging_RAGUNDA/kartor/A 61777-2019.png")</f>
        <v/>
      </c>
      <c r="V873">
        <f>HYPERLINK("https://klasma.github.io/Logging_RAGUNDA/klagomål/A 61777-2019.docx")</f>
        <v/>
      </c>
      <c r="W873">
        <f>HYPERLINK("https://klasma.github.io/Logging_RAGUNDA/klagomålsmail/A 61777-2019.docx")</f>
        <v/>
      </c>
      <c r="X873">
        <f>HYPERLINK("https://klasma.github.io/Logging_RAGUNDA/tillsyn/A 61777-2019.docx")</f>
        <v/>
      </c>
      <c r="Y873">
        <f>HYPERLINK("https://klasma.github.io/Logging_RAGUNDA/tillsynsmail/A 61777-2019.docx")</f>
        <v/>
      </c>
    </row>
    <row r="874" ht="15" customHeight="1">
      <c r="A874" t="inlineStr">
        <is>
          <t>A 61628-2019</t>
        </is>
      </c>
      <c r="B874" s="1" t="n">
        <v>43784</v>
      </c>
      <c r="C874" s="1" t="n">
        <v>45182</v>
      </c>
      <c r="D874" t="inlineStr">
        <is>
          <t>JÄMTLANDS LÄN</t>
        </is>
      </c>
      <c r="E874" t="inlineStr">
        <is>
          <t>ÖSTERSUND</t>
        </is>
      </c>
      <c r="G874" t="n">
        <v>5.6</v>
      </c>
      <c r="H874" t="n">
        <v>0</v>
      </c>
      <c r="I874" t="n">
        <v>1</v>
      </c>
      <c r="J874" t="n">
        <v>0</v>
      </c>
      <c r="K874" t="n">
        <v>0</v>
      </c>
      <c r="L874" t="n">
        <v>0</v>
      </c>
      <c r="M874" t="n">
        <v>0</v>
      </c>
      <c r="N874" t="n">
        <v>0</v>
      </c>
      <c r="O874" t="n">
        <v>0</v>
      </c>
      <c r="P874" t="n">
        <v>0</v>
      </c>
      <c r="Q874" t="n">
        <v>1</v>
      </c>
      <c r="R874" s="2" t="inlineStr">
        <is>
          <t>Tibast</t>
        </is>
      </c>
      <c r="S874">
        <f>HYPERLINK("https://klasma.github.io/Logging_OSTERSUND/artfynd/A 61628-2019.xlsx")</f>
        <v/>
      </c>
      <c r="T874">
        <f>HYPERLINK("https://klasma.github.io/Logging_OSTERSUND/kartor/A 61628-2019.png")</f>
        <v/>
      </c>
      <c r="V874">
        <f>HYPERLINK("https://klasma.github.io/Logging_OSTERSUND/klagomål/A 61628-2019.docx")</f>
        <v/>
      </c>
      <c r="W874">
        <f>HYPERLINK("https://klasma.github.io/Logging_OSTERSUND/klagomålsmail/A 61628-2019.docx")</f>
        <v/>
      </c>
      <c r="X874">
        <f>HYPERLINK("https://klasma.github.io/Logging_OSTERSUND/tillsyn/A 61628-2019.docx")</f>
        <v/>
      </c>
      <c r="Y874">
        <f>HYPERLINK("https://klasma.github.io/Logging_OSTERSUND/tillsynsmail/A 61628-2019.docx")</f>
        <v/>
      </c>
    </row>
    <row r="875" ht="15" customHeight="1">
      <c r="A875" t="inlineStr">
        <is>
          <t>A 63221-2019</t>
        </is>
      </c>
      <c r="B875" s="1" t="n">
        <v>43791</v>
      </c>
      <c r="C875" s="1" t="n">
        <v>45182</v>
      </c>
      <c r="D875" t="inlineStr">
        <is>
          <t>JÄMTLANDS LÄN</t>
        </is>
      </c>
      <c r="E875" t="inlineStr">
        <is>
          <t>RAGUNDA</t>
        </is>
      </c>
      <c r="G875" t="n">
        <v>2.2</v>
      </c>
      <c r="H875" t="n">
        <v>0</v>
      </c>
      <c r="I875" t="n">
        <v>1</v>
      </c>
      <c r="J875" t="n">
        <v>0</v>
      </c>
      <c r="K875" t="n">
        <v>0</v>
      </c>
      <c r="L875" t="n">
        <v>0</v>
      </c>
      <c r="M875" t="n">
        <v>0</v>
      </c>
      <c r="N875" t="n">
        <v>0</v>
      </c>
      <c r="O875" t="n">
        <v>0</v>
      </c>
      <c r="P875" t="n">
        <v>0</v>
      </c>
      <c r="Q875" t="n">
        <v>1</v>
      </c>
      <c r="R875" s="2" t="inlineStr">
        <is>
          <t>Dvärghäxört</t>
        </is>
      </c>
      <c r="S875">
        <f>HYPERLINK("https://klasma.github.io/Logging_RAGUNDA/artfynd/A 63221-2019.xlsx")</f>
        <v/>
      </c>
      <c r="T875">
        <f>HYPERLINK("https://klasma.github.io/Logging_RAGUNDA/kartor/A 63221-2019.png")</f>
        <v/>
      </c>
      <c r="V875">
        <f>HYPERLINK("https://klasma.github.io/Logging_RAGUNDA/klagomål/A 63221-2019.docx")</f>
        <v/>
      </c>
      <c r="W875">
        <f>HYPERLINK("https://klasma.github.io/Logging_RAGUNDA/klagomålsmail/A 63221-2019.docx")</f>
        <v/>
      </c>
      <c r="X875">
        <f>HYPERLINK("https://klasma.github.io/Logging_RAGUNDA/tillsyn/A 63221-2019.docx")</f>
        <v/>
      </c>
      <c r="Y875">
        <f>HYPERLINK("https://klasma.github.io/Logging_RAGUNDA/tillsynsmail/A 63221-2019.docx")</f>
        <v/>
      </c>
    </row>
    <row r="876" ht="15" customHeight="1">
      <c r="A876" t="inlineStr">
        <is>
          <t>A 67827-2019</t>
        </is>
      </c>
      <c r="B876" s="1" t="n">
        <v>43815</v>
      </c>
      <c r="C876" s="1" t="n">
        <v>45182</v>
      </c>
      <c r="D876" t="inlineStr">
        <is>
          <t>JÄMTLANDS LÄN</t>
        </is>
      </c>
      <c r="E876" t="inlineStr">
        <is>
          <t>KROKOM</t>
        </is>
      </c>
      <c r="F876" t="inlineStr">
        <is>
          <t>SCA</t>
        </is>
      </c>
      <c r="G876" t="n">
        <v>2.9</v>
      </c>
      <c r="H876" t="n">
        <v>0</v>
      </c>
      <c r="I876" t="n">
        <v>0</v>
      </c>
      <c r="J876" t="n">
        <v>1</v>
      </c>
      <c r="K876" t="n">
        <v>0</v>
      </c>
      <c r="L876" t="n">
        <v>0</v>
      </c>
      <c r="M876" t="n">
        <v>0</v>
      </c>
      <c r="N876" t="n">
        <v>0</v>
      </c>
      <c r="O876" t="n">
        <v>1</v>
      </c>
      <c r="P876" t="n">
        <v>0</v>
      </c>
      <c r="Q876" t="n">
        <v>1</v>
      </c>
      <c r="R876" s="2" t="inlineStr">
        <is>
          <t>Garnlav</t>
        </is>
      </c>
      <c r="S876">
        <f>HYPERLINK("https://klasma.github.io/Logging_KROKOM/artfynd/A 67827-2019.xlsx")</f>
        <v/>
      </c>
      <c r="T876">
        <f>HYPERLINK("https://klasma.github.io/Logging_KROKOM/kartor/A 67827-2019.png")</f>
        <v/>
      </c>
      <c r="V876">
        <f>HYPERLINK("https://klasma.github.io/Logging_KROKOM/klagomål/A 67827-2019.docx")</f>
        <v/>
      </c>
      <c r="W876">
        <f>HYPERLINK("https://klasma.github.io/Logging_KROKOM/klagomålsmail/A 67827-2019.docx")</f>
        <v/>
      </c>
      <c r="X876">
        <f>HYPERLINK("https://klasma.github.io/Logging_KROKOM/tillsyn/A 67827-2019.docx")</f>
        <v/>
      </c>
      <c r="Y876">
        <f>HYPERLINK("https://klasma.github.io/Logging_KROKOM/tillsynsmail/A 67827-2019.docx")</f>
        <v/>
      </c>
    </row>
    <row r="877" ht="15" customHeight="1">
      <c r="A877" t="inlineStr">
        <is>
          <t>A 3781-2020</t>
        </is>
      </c>
      <c r="B877" s="1" t="n">
        <v>43846</v>
      </c>
      <c r="C877" s="1" t="n">
        <v>45182</v>
      </c>
      <c r="D877" t="inlineStr">
        <is>
          <t>JÄMTLANDS LÄN</t>
        </is>
      </c>
      <c r="E877" t="inlineStr">
        <is>
          <t>STRÖMSUND</t>
        </is>
      </c>
      <c r="G877" t="n">
        <v>1</v>
      </c>
      <c r="H877" t="n">
        <v>0</v>
      </c>
      <c r="I877" t="n">
        <v>1</v>
      </c>
      <c r="J877" t="n">
        <v>0</v>
      </c>
      <c r="K877" t="n">
        <v>0</v>
      </c>
      <c r="L877" t="n">
        <v>0</v>
      </c>
      <c r="M877" t="n">
        <v>0</v>
      </c>
      <c r="N877" t="n">
        <v>0</v>
      </c>
      <c r="O877" t="n">
        <v>0</v>
      </c>
      <c r="P877" t="n">
        <v>0</v>
      </c>
      <c r="Q877" t="n">
        <v>1</v>
      </c>
      <c r="R877" s="2" t="inlineStr">
        <is>
          <t>Tibast</t>
        </is>
      </c>
      <c r="S877">
        <f>HYPERLINK("https://klasma.github.io/Logging_STROMSUND/artfynd/A 3781-2020.xlsx")</f>
        <v/>
      </c>
      <c r="T877">
        <f>HYPERLINK("https://klasma.github.io/Logging_STROMSUND/kartor/A 3781-2020.png")</f>
        <v/>
      </c>
      <c r="V877">
        <f>HYPERLINK("https://klasma.github.io/Logging_STROMSUND/klagomål/A 3781-2020.docx")</f>
        <v/>
      </c>
      <c r="W877">
        <f>HYPERLINK("https://klasma.github.io/Logging_STROMSUND/klagomålsmail/A 3781-2020.docx")</f>
        <v/>
      </c>
      <c r="X877">
        <f>HYPERLINK("https://klasma.github.io/Logging_STROMSUND/tillsyn/A 3781-2020.docx")</f>
        <v/>
      </c>
      <c r="Y877">
        <f>HYPERLINK("https://klasma.github.io/Logging_STROMSUND/tillsynsmail/A 3781-2020.docx")</f>
        <v/>
      </c>
    </row>
    <row r="878" ht="15" customHeight="1">
      <c r="A878" t="inlineStr">
        <is>
          <t>A 2491-2020</t>
        </is>
      </c>
      <c r="B878" s="1" t="n">
        <v>43847</v>
      </c>
      <c r="C878" s="1" t="n">
        <v>45182</v>
      </c>
      <c r="D878" t="inlineStr">
        <is>
          <t>JÄMTLANDS LÄN</t>
        </is>
      </c>
      <c r="E878" t="inlineStr">
        <is>
          <t>STRÖMSUND</t>
        </is>
      </c>
      <c r="G878" t="n">
        <v>19</v>
      </c>
      <c r="H878" t="n">
        <v>0</v>
      </c>
      <c r="I878" t="n">
        <v>1</v>
      </c>
      <c r="J878" t="n">
        <v>0</v>
      </c>
      <c r="K878" t="n">
        <v>0</v>
      </c>
      <c r="L878" t="n">
        <v>0</v>
      </c>
      <c r="M878" t="n">
        <v>0</v>
      </c>
      <c r="N878" t="n">
        <v>0</v>
      </c>
      <c r="O878" t="n">
        <v>0</v>
      </c>
      <c r="P878" t="n">
        <v>0</v>
      </c>
      <c r="Q878" t="n">
        <v>1</v>
      </c>
      <c r="R878" s="2" t="inlineStr">
        <is>
          <t>Finbräken</t>
        </is>
      </c>
      <c r="S878">
        <f>HYPERLINK("https://klasma.github.io/Logging_STROMSUND/artfynd/A 2491-2020.xlsx")</f>
        <v/>
      </c>
      <c r="T878">
        <f>HYPERLINK("https://klasma.github.io/Logging_STROMSUND/kartor/A 2491-2020.png")</f>
        <v/>
      </c>
      <c r="V878">
        <f>HYPERLINK("https://klasma.github.io/Logging_STROMSUND/klagomål/A 2491-2020.docx")</f>
        <v/>
      </c>
      <c r="W878">
        <f>HYPERLINK("https://klasma.github.io/Logging_STROMSUND/klagomålsmail/A 2491-2020.docx")</f>
        <v/>
      </c>
      <c r="X878">
        <f>HYPERLINK("https://klasma.github.io/Logging_STROMSUND/tillsyn/A 2491-2020.docx")</f>
        <v/>
      </c>
      <c r="Y878">
        <f>HYPERLINK("https://klasma.github.io/Logging_STROMSUND/tillsynsmail/A 2491-2020.docx")</f>
        <v/>
      </c>
    </row>
    <row r="879" ht="15" customHeight="1">
      <c r="A879" t="inlineStr">
        <is>
          <t>A 2503-2020</t>
        </is>
      </c>
      <c r="B879" s="1" t="n">
        <v>43847</v>
      </c>
      <c r="C879" s="1" t="n">
        <v>45182</v>
      </c>
      <c r="D879" t="inlineStr">
        <is>
          <t>JÄMTLANDS LÄN</t>
        </is>
      </c>
      <c r="E879" t="inlineStr">
        <is>
          <t>STRÖMSUND</t>
        </is>
      </c>
      <c r="G879" t="n">
        <v>61.1</v>
      </c>
      <c r="H879" t="n">
        <v>0</v>
      </c>
      <c r="I879" t="n">
        <v>0</v>
      </c>
      <c r="J879" t="n">
        <v>1</v>
      </c>
      <c r="K879" t="n">
        <v>0</v>
      </c>
      <c r="L879" t="n">
        <v>0</v>
      </c>
      <c r="M879" t="n">
        <v>0</v>
      </c>
      <c r="N879" t="n">
        <v>0</v>
      </c>
      <c r="O879" t="n">
        <v>1</v>
      </c>
      <c r="P879" t="n">
        <v>0</v>
      </c>
      <c r="Q879" t="n">
        <v>1</v>
      </c>
      <c r="R879" s="2" t="inlineStr">
        <is>
          <t>Gammelgransskål</t>
        </is>
      </c>
      <c r="S879">
        <f>HYPERLINK("https://klasma.github.io/Logging_STROMSUND/artfynd/A 2503-2020.xlsx")</f>
        <v/>
      </c>
      <c r="T879">
        <f>HYPERLINK("https://klasma.github.io/Logging_STROMSUND/kartor/A 2503-2020.png")</f>
        <v/>
      </c>
      <c r="V879">
        <f>HYPERLINK("https://klasma.github.io/Logging_STROMSUND/klagomål/A 2503-2020.docx")</f>
        <v/>
      </c>
      <c r="W879">
        <f>HYPERLINK("https://klasma.github.io/Logging_STROMSUND/klagomålsmail/A 2503-2020.docx")</f>
        <v/>
      </c>
      <c r="X879">
        <f>HYPERLINK("https://klasma.github.io/Logging_STROMSUND/tillsyn/A 2503-2020.docx")</f>
        <v/>
      </c>
      <c r="Y879">
        <f>HYPERLINK("https://klasma.github.io/Logging_STROMSUND/tillsynsmail/A 2503-2020.docx")</f>
        <v/>
      </c>
    </row>
    <row r="880" ht="15" customHeight="1">
      <c r="A880" t="inlineStr">
        <is>
          <t>A 4356-2020</t>
        </is>
      </c>
      <c r="B880" s="1" t="n">
        <v>43857</v>
      </c>
      <c r="C880" s="1" t="n">
        <v>45182</v>
      </c>
      <c r="D880" t="inlineStr">
        <is>
          <t>JÄMTLANDS LÄN</t>
        </is>
      </c>
      <c r="E880" t="inlineStr">
        <is>
          <t>HÄRJEDALEN</t>
        </is>
      </c>
      <c r="F880" t="inlineStr">
        <is>
          <t>Bergvik skog väst AB</t>
        </is>
      </c>
      <c r="G880" t="n">
        <v>51.2</v>
      </c>
      <c r="H880" t="n">
        <v>0</v>
      </c>
      <c r="I880" t="n">
        <v>0</v>
      </c>
      <c r="J880" t="n">
        <v>1</v>
      </c>
      <c r="K880" t="n">
        <v>0</v>
      </c>
      <c r="L880" t="n">
        <v>0</v>
      </c>
      <c r="M880" t="n">
        <v>0</v>
      </c>
      <c r="N880" t="n">
        <v>0</v>
      </c>
      <c r="O880" t="n">
        <v>1</v>
      </c>
      <c r="P880" t="n">
        <v>0</v>
      </c>
      <c r="Q880" t="n">
        <v>1</v>
      </c>
      <c r="R880" s="2" t="inlineStr">
        <is>
          <t>Harticka</t>
        </is>
      </c>
      <c r="S880">
        <f>HYPERLINK("https://klasma.github.io/Logging_HARJEDALEN/artfynd/A 4356-2020.xlsx")</f>
        <v/>
      </c>
      <c r="T880">
        <f>HYPERLINK("https://klasma.github.io/Logging_HARJEDALEN/kartor/A 4356-2020.png")</f>
        <v/>
      </c>
      <c r="V880">
        <f>HYPERLINK("https://klasma.github.io/Logging_HARJEDALEN/klagomål/A 4356-2020.docx")</f>
        <v/>
      </c>
      <c r="W880">
        <f>HYPERLINK("https://klasma.github.io/Logging_HARJEDALEN/klagomålsmail/A 4356-2020.docx")</f>
        <v/>
      </c>
      <c r="X880">
        <f>HYPERLINK("https://klasma.github.io/Logging_HARJEDALEN/tillsyn/A 4356-2020.docx")</f>
        <v/>
      </c>
      <c r="Y880">
        <f>HYPERLINK("https://klasma.github.io/Logging_HARJEDALEN/tillsynsmail/A 4356-2020.docx")</f>
        <v/>
      </c>
    </row>
    <row r="881" ht="15" customHeight="1">
      <c r="A881" t="inlineStr">
        <is>
          <t>A 4626-2020</t>
        </is>
      </c>
      <c r="B881" s="1" t="n">
        <v>43858</v>
      </c>
      <c r="C881" s="1" t="n">
        <v>45182</v>
      </c>
      <c r="D881" t="inlineStr">
        <is>
          <t>JÄMTLANDS LÄN</t>
        </is>
      </c>
      <c r="E881" t="inlineStr">
        <is>
          <t>KROKOM</t>
        </is>
      </c>
      <c r="G881" t="n">
        <v>12.2</v>
      </c>
      <c r="H881" t="n">
        <v>0</v>
      </c>
      <c r="I881" t="n">
        <v>0</v>
      </c>
      <c r="J881" t="n">
        <v>1</v>
      </c>
      <c r="K881" t="n">
        <v>0</v>
      </c>
      <c r="L881" t="n">
        <v>0</v>
      </c>
      <c r="M881" t="n">
        <v>0</v>
      </c>
      <c r="N881" t="n">
        <v>0</v>
      </c>
      <c r="O881" t="n">
        <v>1</v>
      </c>
      <c r="P881" t="n">
        <v>0</v>
      </c>
      <c r="Q881" t="n">
        <v>1</v>
      </c>
      <c r="R881" s="2" t="inlineStr">
        <is>
          <t>Gränsticka</t>
        </is>
      </c>
      <c r="S881">
        <f>HYPERLINK("https://klasma.github.io/Logging_KROKOM/artfynd/A 4626-2020.xlsx")</f>
        <v/>
      </c>
      <c r="T881">
        <f>HYPERLINK("https://klasma.github.io/Logging_KROKOM/kartor/A 4626-2020.png")</f>
        <v/>
      </c>
      <c r="V881">
        <f>HYPERLINK("https://klasma.github.io/Logging_KROKOM/klagomål/A 4626-2020.docx")</f>
        <v/>
      </c>
      <c r="W881">
        <f>HYPERLINK("https://klasma.github.io/Logging_KROKOM/klagomålsmail/A 4626-2020.docx")</f>
        <v/>
      </c>
      <c r="X881">
        <f>HYPERLINK("https://klasma.github.io/Logging_KROKOM/tillsyn/A 4626-2020.docx")</f>
        <v/>
      </c>
      <c r="Y881">
        <f>HYPERLINK("https://klasma.github.io/Logging_KROKOM/tillsynsmail/A 4626-2020.docx")</f>
        <v/>
      </c>
    </row>
    <row r="882" ht="15" customHeight="1">
      <c r="A882" t="inlineStr">
        <is>
          <t>A 7950-2020</t>
        </is>
      </c>
      <c r="B882" s="1" t="n">
        <v>43873</v>
      </c>
      <c r="C882" s="1" t="n">
        <v>45182</v>
      </c>
      <c r="D882" t="inlineStr">
        <is>
          <t>JÄMTLANDS LÄN</t>
        </is>
      </c>
      <c r="E882" t="inlineStr">
        <is>
          <t>KROKOM</t>
        </is>
      </c>
      <c r="G882" t="n">
        <v>0.2</v>
      </c>
      <c r="H882" t="n">
        <v>0</v>
      </c>
      <c r="I882" t="n">
        <v>0</v>
      </c>
      <c r="J882" t="n">
        <v>1</v>
      </c>
      <c r="K882" t="n">
        <v>0</v>
      </c>
      <c r="L882" t="n">
        <v>0</v>
      </c>
      <c r="M882" t="n">
        <v>0</v>
      </c>
      <c r="N882" t="n">
        <v>0</v>
      </c>
      <c r="O882" t="n">
        <v>1</v>
      </c>
      <c r="P882" t="n">
        <v>0</v>
      </c>
      <c r="Q882" t="n">
        <v>1</v>
      </c>
      <c r="R882" s="2" t="inlineStr">
        <is>
          <t>Månlåsbräken</t>
        </is>
      </c>
      <c r="S882">
        <f>HYPERLINK("https://klasma.github.io/Logging_KROKOM/artfynd/A 7950-2020.xlsx")</f>
        <v/>
      </c>
      <c r="T882">
        <f>HYPERLINK("https://klasma.github.io/Logging_KROKOM/kartor/A 7950-2020.png")</f>
        <v/>
      </c>
      <c r="V882">
        <f>HYPERLINK("https://klasma.github.io/Logging_KROKOM/klagomål/A 7950-2020.docx")</f>
        <v/>
      </c>
      <c r="W882">
        <f>HYPERLINK("https://klasma.github.io/Logging_KROKOM/klagomålsmail/A 7950-2020.docx")</f>
        <v/>
      </c>
      <c r="X882">
        <f>HYPERLINK("https://klasma.github.io/Logging_KROKOM/tillsyn/A 7950-2020.docx")</f>
        <v/>
      </c>
      <c r="Y882">
        <f>HYPERLINK("https://klasma.github.io/Logging_KROKOM/tillsynsmail/A 7950-2020.docx")</f>
        <v/>
      </c>
    </row>
    <row r="883" ht="15" customHeight="1">
      <c r="A883" t="inlineStr">
        <is>
          <t>A 8934-2020</t>
        </is>
      </c>
      <c r="B883" s="1" t="n">
        <v>43878</v>
      </c>
      <c r="C883" s="1" t="n">
        <v>45182</v>
      </c>
      <c r="D883" t="inlineStr">
        <is>
          <t>JÄMTLANDS LÄN</t>
        </is>
      </c>
      <c r="E883" t="inlineStr">
        <is>
          <t>KROKOM</t>
        </is>
      </c>
      <c r="F883" t="inlineStr">
        <is>
          <t>SCA</t>
        </is>
      </c>
      <c r="G883" t="n">
        <v>2.5</v>
      </c>
      <c r="H883" t="n">
        <v>0</v>
      </c>
      <c r="I883" t="n">
        <v>0</v>
      </c>
      <c r="J883" t="n">
        <v>1</v>
      </c>
      <c r="K883" t="n">
        <v>0</v>
      </c>
      <c r="L883" t="n">
        <v>0</v>
      </c>
      <c r="M883" t="n">
        <v>0</v>
      </c>
      <c r="N883" t="n">
        <v>0</v>
      </c>
      <c r="O883" t="n">
        <v>1</v>
      </c>
      <c r="P883" t="n">
        <v>0</v>
      </c>
      <c r="Q883" t="n">
        <v>1</v>
      </c>
      <c r="R883" s="2" t="inlineStr">
        <is>
          <t>Doftskinn</t>
        </is>
      </c>
      <c r="S883">
        <f>HYPERLINK("https://klasma.github.io/Logging_KROKOM/artfynd/A 8934-2020.xlsx")</f>
        <v/>
      </c>
      <c r="T883">
        <f>HYPERLINK("https://klasma.github.io/Logging_KROKOM/kartor/A 8934-2020.png")</f>
        <v/>
      </c>
      <c r="V883">
        <f>HYPERLINK("https://klasma.github.io/Logging_KROKOM/klagomål/A 8934-2020.docx")</f>
        <v/>
      </c>
      <c r="W883">
        <f>HYPERLINK("https://klasma.github.io/Logging_KROKOM/klagomålsmail/A 8934-2020.docx")</f>
        <v/>
      </c>
      <c r="X883">
        <f>HYPERLINK("https://klasma.github.io/Logging_KROKOM/tillsyn/A 8934-2020.docx")</f>
        <v/>
      </c>
      <c r="Y883">
        <f>HYPERLINK("https://klasma.github.io/Logging_KROKOM/tillsynsmail/A 8934-2020.docx")</f>
        <v/>
      </c>
    </row>
    <row r="884" ht="15" customHeight="1">
      <c r="A884" t="inlineStr">
        <is>
          <t>A 11561-2020</t>
        </is>
      </c>
      <c r="B884" s="1" t="n">
        <v>43893</v>
      </c>
      <c r="C884" s="1" t="n">
        <v>45182</v>
      </c>
      <c r="D884" t="inlineStr">
        <is>
          <t>JÄMTLANDS LÄN</t>
        </is>
      </c>
      <c r="E884" t="inlineStr">
        <is>
          <t>ÖSTERSUND</t>
        </is>
      </c>
      <c r="G884" t="n">
        <v>6.2</v>
      </c>
      <c r="H884" t="n">
        <v>1</v>
      </c>
      <c r="I884" t="n">
        <v>0</v>
      </c>
      <c r="J884" t="n">
        <v>0</v>
      </c>
      <c r="K884" t="n">
        <v>0</v>
      </c>
      <c r="L884" t="n">
        <v>0</v>
      </c>
      <c r="M884" t="n">
        <v>0</v>
      </c>
      <c r="N884" t="n">
        <v>0</v>
      </c>
      <c r="O884" t="n">
        <v>0</v>
      </c>
      <c r="P884" t="n">
        <v>0</v>
      </c>
      <c r="Q884" t="n">
        <v>1</v>
      </c>
      <c r="R884" s="2" t="inlineStr">
        <is>
          <t>Revlummer</t>
        </is>
      </c>
      <c r="S884">
        <f>HYPERLINK("https://klasma.github.io/Logging_OSTERSUND/artfynd/A 11561-2020.xlsx")</f>
        <v/>
      </c>
      <c r="T884">
        <f>HYPERLINK("https://klasma.github.io/Logging_OSTERSUND/kartor/A 11561-2020.png")</f>
        <v/>
      </c>
      <c r="V884">
        <f>HYPERLINK("https://klasma.github.io/Logging_OSTERSUND/klagomål/A 11561-2020.docx")</f>
        <v/>
      </c>
      <c r="W884">
        <f>HYPERLINK("https://klasma.github.io/Logging_OSTERSUND/klagomålsmail/A 11561-2020.docx")</f>
        <v/>
      </c>
      <c r="X884">
        <f>HYPERLINK("https://klasma.github.io/Logging_OSTERSUND/tillsyn/A 11561-2020.docx")</f>
        <v/>
      </c>
      <c r="Y884">
        <f>HYPERLINK("https://klasma.github.io/Logging_OSTERSUND/tillsynsmail/A 11561-2020.docx")</f>
        <v/>
      </c>
    </row>
    <row r="885" ht="15" customHeight="1">
      <c r="A885" t="inlineStr">
        <is>
          <t>A 18776-2020</t>
        </is>
      </c>
      <c r="B885" s="1" t="n">
        <v>43930</v>
      </c>
      <c r="C885" s="1" t="n">
        <v>45182</v>
      </c>
      <c r="D885" t="inlineStr">
        <is>
          <t>JÄMTLANDS LÄN</t>
        </is>
      </c>
      <c r="E885" t="inlineStr">
        <is>
          <t>KROKOM</t>
        </is>
      </c>
      <c r="G885" t="n">
        <v>5.3</v>
      </c>
      <c r="H885" t="n">
        <v>0</v>
      </c>
      <c r="I885" t="n">
        <v>0</v>
      </c>
      <c r="J885" t="n">
        <v>0</v>
      </c>
      <c r="K885" t="n">
        <v>0</v>
      </c>
      <c r="L885" t="n">
        <v>1</v>
      </c>
      <c r="M885" t="n">
        <v>0</v>
      </c>
      <c r="N885" t="n">
        <v>0</v>
      </c>
      <c r="O885" t="n">
        <v>1</v>
      </c>
      <c r="P885" t="n">
        <v>1</v>
      </c>
      <c r="Q885" t="n">
        <v>1</v>
      </c>
      <c r="R885" s="2" t="inlineStr">
        <is>
          <t>Bredgentiana</t>
        </is>
      </c>
      <c r="S885">
        <f>HYPERLINK("https://klasma.github.io/Logging_KROKOM/artfynd/A 18776-2020.xlsx")</f>
        <v/>
      </c>
      <c r="T885">
        <f>HYPERLINK("https://klasma.github.io/Logging_KROKOM/kartor/A 18776-2020.png")</f>
        <v/>
      </c>
      <c r="V885">
        <f>HYPERLINK("https://klasma.github.io/Logging_KROKOM/klagomål/A 18776-2020.docx")</f>
        <v/>
      </c>
      <c r="W885">
        <f>HYPERLINK("https://klasma.github.io/Logging_KROKOM/klagomålsmail/A 18776-2020.docx")</f>
        <v/>
      </c>
      <c r="X885">
        <f>HYPERLINK("https://klasma.github.io/Logging_KROKOM/tillsyn/A 18776-2020.docx")</f>
        <v/>
      </c>
      <c r="Y885">
        <f>HYPERLINK("https://klasma.github.io/Logging_KROKOM/tillsynsmail/A 18776-2020.docx")</f>
        <v/>
      </c>
    </row>
    <row r="886" ht="15" customHeight="1">
      <c r="A886" t="inlineStr">
        <is>
          <t>A 21547-2020</t>
        </is>
      </c>
      <c r="B886" s="1" t="n">
        <v>43956</v>
      </c>
      <c r="C886" s="1" t="n">
        <v>45182</v>
      </c>
      <c r="D886" t="inlineStr">
        <is>
          <t>JÄMTLANDS LÄN</t>
        </is>
      </c>
      <c r="E886" t="inlineStr">
        <is>
          <t>KROKOM</t>
        </is>
      </c>
      <c r="G886" t="n">
        <v>18.4</v>
      </c>
      <c r="H886" t="n">
        <v>0</v>
      </c>
      <c r="I886" t="n">
        <v>0</v>
      </c>
      <c r="J886" t="n">
        <v>1</v>
      </c>
      <c r="K886" t="n">
        <v>0</v>
      </c>
      <c r="L886" t="n">
        <v>0</v>
      </c>
      <c r="M886" t="n">
        <v>0</v>
      </c>
      <c r="N886" t="n">
        <v>0</v>
      </c>
      <c r="O886" t="n">
        <v>1</v>
      </c>
      <c r="P886" t="n">
        <v>0</v>
      </c>
      <c r="Q886" t="n">
        <v>1</v>
      </c>
      <c r="R886" s="2" t="inlineStr">
        <is>
          <t>Gränsticka</t>
        </is>
      </c>
      <c r="S886">
        <f>HYPERLINK("https://klasma.github.io/Logging_KROKOM/artfynd/A 21547-2020.xlsx")</f>
        <v/>
      </c>
      <c r="T886">
        <f>HYPERLINK("https://klasma.github.io/Logging_KROKOM/kartor/A 21547-2020.png")</f>
        <v/>
      </c>
      <c r="V886">
        <f>HYPERLINK("https://klasma.github.io/Logging_KROKOM/klagomål/A 21547-2020.docx")</f>
        <v/>
      </c>
      <c r="W886">
        <f>HYPERLINK("https://klasma.github.io/Logging_KROKOM/klagomålsmail/A 21547-2020.docx")</f>
        <v/>
      </c>
      <c r="X886">
        <f>HYPERLINK("https://klasma.github.io/Logging_KROKOM/tillsyn/A 21547-2020.docx")</f>
        <v/>
      </c>
      <c r="Y886">
        <f>HYPERLINK("https://klasma.github.io/Logging_KROKOM/tillsynsmail/A 21547-2020.docx")</f>
        <v/>
      </c>
    </row>
    <row r="887" ht="15" customHeight="1">
      <c r="A887" t="inlineStr">
        <is>
          <t>A 24657-2020</t>
        </is>
      </c>
      <c r="B887" s="1" t="n">
        <v>43977</v>
      </c>
      <c r="C887" s="1" t="n">
        <v>45182</v>
      </c>
      <c r="D887" t="inlineStr">
        <is>
          <t>JÄMTLANDS LÄN</t>
        </is>
      </c>
      <c r="E887" t="inlineStr">
        <is>
          <t>RAGUNDA</t>
        </is>
      </c>
      <c r="F887" t="inlineStr">
        <is>
          <t>SCA</t>
        </is>
      </c>
      <c r="G887" t="n">
        <v>20.5</v>
      </c>
      <c r="H887" t="n">
        <v>0</v>
      </c>
      <c r="I887" t="n">
        <v>0</v>
      </c>
      <c r="J887" t="n">
        <v>0</v>
      </c>
      <c r="K887" t="n">
        <v>1</v>
      </c>
      <c r="L887" t="n">
        <v>0</v>
      </c>
      <c r="M887" t="n">
        <v>0</v>
      </c>
      <c r="N887" t="n">
        <v>0</v>
      </c>
      <c r="O887" t="n">
        <v>1</v>
      </c>
      <c r="P887" t="n">
        <v>1</v>
      </c>
      <c r="Q887" t="n">
        <v>1</v>
      </c>
      <c r="R887" s="2" t="inlineStr">
        <is>
          <t>Gräddporing</t>
        </is>
      </c>
      <c r="S887">
        <f>HYPERLINK("https://klasma.github.io/Logging_RAGUNDA/artfynd/A 24657-2020.xlsx")</f>
        <v/>
      </c>
      <c r="T887">
        <f>HYPERLINK("https://klasma.github.io/Logging_RAGUNDA/kartor/A 24657-2020.png")</f>
        <v/>
      </c>
      <c r="V887">
        <f>HYPERLINK("https://klasma.github.io/Logging_RAGUNDA/klagomål/A 24657-2020.docx")</f>
        <v/>
      </c>
      <c r="W887">
        <f>HYPERLINK("https://klasma.github.io/Logging_RAGUNDA/klagomålsmail/A 24657-2020.docx")</f>
        <v/>
      </c>
      <c r="X887">
        <f>HYPERLINK("https://klasma.github.io/Logging_RAGUNDA/tillsyn/A 24657-2020.docx")</f>
        <v/>
      </c>
      <c r="Y887">
        <f>HYPERLINK("https://klasma.github.io/Logging_RAGUNDA/tillsynsmail/A 24657-2020.docx")</f>
        <v/>
      </c>
    </row>
    <row r="888" ht="15" customHeight="1">
      <c r="A888" t="inlineStr">
        <is>
          <t>A 24898-2020</t>
        </is>
      </c>
      <c r="B888" s="1" t="n">
        <v>43979</v>
      </c>
      <c r="C888" s="1" t="n">
        <v>45182</v>
      </c>
      <c r="D888" t="inlineStr">
        <is>
          <t>JÄMTLANDS LÄN</t>
        </is>
      </c>
      <c r="E888" t="inlineStr">
        <is>
          <t>HÄRJEDALEN</t>
        </is>
      </c>
      <c r="F888" t="inlineStr">
        <is>
          <t>Sveaskog</t>
        </is>
      </c>
      <c r="G888" t="n">
        <v>2.9</v>
      </c>
      <c r="H888" t="n">
        <v>0</v>
      </c>
      <c r="I888" t="n">
        <v>0</v>
      </c>
      <c r="J888" t="n">
        <v>1</v>
      </c>
      <c r="K888" t="n">
        <v>0</v>
      </c>
      <c r="L888" t="n">
        <v>0</v>
      </c>
      <c r="M888" t="n">
        <v>0</v>
      </c>
      <c r="N888" t="n">
        <v>0</v>
      </c>
      <c r="O888" t="n">
        <v>1</v>
      </c>
      <c r="P888" t="n">
        <v>0</v>
      </c>
      <c r="Q888" t="n">
        <v>1</v>
      </c>
      <c r="R888" s="2" t="inlineStr">
        <is>
          <t>Brunklöver</t>
        </is>
      </c>
      <c r="S888">
        <f>HYPERLINK("https://klasma.github.io/Logging_HARJEDALEN/artfynd/A 24898-2020.xlsx")</f>
        <v/>
      </c>
      <c r="T888">
        <f>HYPERLINK("https://klasma.github.io/Logging_HARJEDALEN/kartor/A 24898-2020.png")</f>
        <v/>
      </c>
      <c r="V888">
        <f>HYPERLINK("https://klasma.github.io/Logging_HARJEDALEN/klagomål/A 24898-2020.docx")</f>
        <v/>
      </c>
      <c r="W888">
        <f>HYPERLINK("https://klasma.github.io/Logging_HARJEDALEN/klagomålsmail/A 24898-2020.docx")</f>
        <v/>
      </c>
      <c r="X888">
        <f>HYPERLINK("https://klasma.github.io/Logging_HARJEDALEN/tillsyn/A 24898-2020.docx")</f>
        <v/>
      </c>
      <c r="Y888">
        <f>HYPERLINK("https://klasma.github.io/Logging_HARJEDALEN/tillsynsmail/A 24898-2020.docx")</f>
        <v/>
      </c>
    </row>
    <row r="889" ht="15" customHeight="1">
      <c r="A889" t="inlineStr">
        <is>
          <t>A 28772-2020</t>
        </is>
      </c>
      <c r="B889" s="1" t="n">
        <v>43999</v>
      </c>
      <c r="C889" s="1" t="n">
        <v>45182</v>
      </c>
      <c r="D889" t="inlineStr">
        <is>
          <t>JÄMTLANDS LÄN</t>
        </is>
      </c>
      <c r="E889" t="inlineStr">
        <is>
          <t>STRÖMSUND</t>
        </is>
      </c>
      <c r="F889" t="inlineStr">
        <is>
          <t>SCA</t>
        </is>
      </c>
      <c r="G889" t="n">
        <v>6.5</v>
      </c>
      <c r="H889" t="n">
        <v>1</v>
      </c>
      <c r="I889" t="n">
        <v>1</v>
      </c>
      <c r="J889" t="n">
        <v>0</v>
      </c>
      <c r="K889" t="n">
        <v>0</v>
      </c>
      <c r="L889" t="n">
        <v>0</v>
      </c>
      <c r="M889" t="n">
        <v>0</v>
      </c>
      <c r="N889" t="n">
        <v>0</v>
      </c>
      <c r="O889" t="n">
        <v>0</v>
      </c>
      <c r="P889" t="n">
        <v>0</v>
      </c>
      <c r="Q889" t="n">
        <v>1</v>
      </c>
      <c r="R889" s="2" t="inlineStr">
        <is>
          <t>Lappranunkel</t>
        </is>
      </c>
      <c r="S889">
        <f>HYPERLINK("https://klasma.github.io/Logging_STROMSUND/artfynd/A 28772-2020.xlsx")</f>
        <v/>
      </c>
      <c r="T889">
        <f>HYPERLINK("https://klasma.github.io/Logging_STROMSUND/kartor/A 28772-2020.png")</f>
        <v/>
      </c>
      <c r="V889">
        <f>HYPERLINK("https://klasma.github.io/Logging_STROMSUND/klagomål/A 28772-2020.docx")</f>
        <v/>
      </c>
      <c r="W889">
        <f>HYPERLINK("https://klasma.github.io/Logging_STROMSUND/klagomålsmail/A 28772-2020.docx")</f>
        <v/>
      </c>
      <c r="X889">
        <f>HYPERLINK("https://klasma.github.io/Logging_STROMSUND/tillsyn/A 28772-2020.docx")</f>
        <v/>
      </c>
      <c r="Y889">
        <f>HYPERLINK("https://klasma.github.io/Logging_STROMSUND/tillsynsmail/A 28772-2020.docx")</f>
        <v/>
      </c>
    </row>
    <row r="890" ht="15" customHeight="1">
      <c r="A890" t="inlineStr">
        <is>
          <t>A 29060-2020</t>
        </is>
      </c>
      <c r="B890" s="1" t="n">
        <v>44000</v>
      </c>
      <c r="C890" s="1" t="n">
        <v>45182</v>
      </c>
      <c r="D890" t="inlineStr">
        <is>
          <t>JÄMTLANDS LÄN</t>
        </is>
      </c>
      <c r="E890" t="inlineStr">
        <is>
          <t>STRÖMSUND</t>
        </is>
      </c>
      <c r="F890" t="inlineStr">
        <is>
          <t>SCA</t>
        </is>
      </c>
      <c r="G890" t="n">
        <v>12</v>
      </c>
      <c r="H890" t="n">
        <v>0</v>
      </c>
      <c r="I890" t="n">
        <v>0</v>
      </c>
      <c r="J890" t="n">
        <v>1</v>
      </c>
      <c r="K890" t="n">
        <v>0</v>
      </c>
      <c r="L890" t="n">
        <v>0</v>
      </c>
      <c r="M890" t="n">
        <v>0</v>
      </c>
      <c r="N890" t="n">
        <v>0</v>
      </c>
      <c r="O890" t="n">
        <v>1</v>
      </c>
      <c r="P890" t="n">
        <v>0</v>
      </c>
      <c r="Q890" t="n">
        <v>1</v>
      </c>
      <c r="R890" s="2" t="inlineStr">
        <is>
          <t>Skrovellav</t>
        </is>
      </c>
      <c r="S890">
        <f>HYPERLINK("https://klasma.github.io/Logging_STROMSUND/artfynd/A 29060-2020.xlsx")</f>
        <v/>
      </c>
      <c r="T890">
        <f>HYPERLINK("https://klasma.github.io/Logging_STROMSUND/kartor/A 29060-2020.png")</f>
        <v/>
      </c>
      <c r="V890">
        <f>HYPERLINK("https://klasma.github.io/Logging_STROMSUND/klagomål/A 29060-2020.docx")</f>
        <v/>
      </c>
      <c r="W890">
        <f>HYPERLINK("https://klasma.github.io/Logging_STROMSUND/klagomålsmail/A 29060-2020.docx")</f>
        <v/>
      </c>
      <c r="X890">
        <f>HYPERLINK("https://klasma.github.io/Logging_STROMSUND/tillsyn/A 29060-2020.docx")</f>
        <v/>
      </c>
      <c r="Y890">
        <f>HYPERLINK("https://klasma.github.io/Logging_STROMSUND/tillsynsmail/A 29060-2020.docx")</f>
        <v/>
      </c>
    </row>
    <row r="891" ht="15" customHeight="1">
      <c r="A891" t="inlineStr">
        <is>
          <t>A 29084-2020</t>
        </is>
      </c>
      <c r="B891" s="1" t="n">
        <v>44002</v>
      </c>
      <c r="C891" s="1" t="n">
        <v>45182</v>
      </c>
      <c r="D891" t="inlineStr">
        <is>
          <t>JÄMTLANDS LÄN</t>
        </is>
      </c>
      <c r="E891" t="inlineStr">
        <is>
          <t>ÅRE</t>
        </is>
      </c>
      <c r="G891" t="n">
        <v>15.5</v>
      </c>
      <c r="H891" t="n">
        <v>0</v>
      </c>
      <c r="I891" t="n">
        <v>0</v>
      </c>
      <c r="J891" t="n">
        <v>1</v>
      </c>
      <c r="K891" t="n">
        <v>0</v>
      </c>
      <c r="L891" t="n">
        <v>0</v>
      </c>
      <c r="M891" t="n">
        <v>0</v>
      </c>
      <c r="N891" t="n">
        <v>0</v>
      </c>
      <c r="O891" t="n">
        <v>1</v>
      </c>
      <c r="P891" t="n">
        <v>0</v>
      </c>
      <c r="Q891" t="n">
        <v>1</v>
      </c>
      <c r="R891" s="2" t="inlineStr">
        <is>
          <t>Gränsticka</t>
        </is>
      </c>
      <c r="S891">
        <f>HYPERLINK("https://klasma.github.io/Logging_ARE/artfynd/A 29084-2020.xlsx")</f>
        <v/>
      </c>
      <c r="T891">
        <f>HYPERLINK("https://klasma.github.io/Logging_ARE/kartor/A 29084-2020.png")</f>
        <v/>
      </c>
      <c r="V891">
        <f>HYPERLINK("https://klasma.github.io/Logging_ARE/klagomål/A 29084-2020.docx")</f>
        <v/>
      </c>
      <c r="W891">
        <f>HYPERLINK("https://klasma.github.io/Logging_ARE/klagomålsmail/A 29084-2020.docx")</f>
        <v/>
      </c>
      <c r="X891">
        <f>HYPERLINK("https://klasma.github.io/Logging_ARE/tillsyn/A 29084-2020.docx")</f>
        <v/>
      </c>
      <c r="Y891">
        <f>HYPERLINK("https://klasma.github.io/Logging_ARE/tillsynsmail/A 29084-2020.docx")</f>
        <v/>
      </c>
    </row>
    <row r="892" ht="15" customHeight="1">
      <c r="A892" t="inlineStr">
        <is>
          <t>A 31357-2020</t>
        </is>
      </c>
      <c r="B892" s="1" t="n">
        <v>44012</v>
      </c>
      <c r="C892" s="1" t="n">
        <v>45182</v>
      </c>
      <c r="D892" t="inlineStr">
        <is>
          <t>JÄMTLANDS LÄN</t>
        </is>
      </c>
      <c r="E892" t="inlineStr">
        <is>
          <t>RAGUNDA</t>
        </is>
      </c>
      <c r="F892" t="inlineStr">
        <is>
          <t>SCA</t>
        </is>
      </c>
      <c r="G892" t="n">
        <v>21.4</v>
      </c>
      <c r="H892" t="n">
        <v>1</v>
      </c>
      <c r="I892" t="n">
        <v>0</v>
      </c>
      <c r="J892" t="n">
        <v>1</v>
      </c>
      <c r="K892" t="n">
        <v>0</v>
      </c>
      <c r="L892" t="n">
        <v>0</v>
      </c>
      <c r="M892" t="n">
        <v>0</v>
      </c>
      <c r="N892" t="n">
        <v>0</v>
      </c>
      <c r="O892" t="n">
        <v>1</v>
      </c>
      <c r="P892" t="n">
        <v>0</v>
      </c>
      <c r="Q892" t="n">
        <v>1</v>
      </c>
      <c r="R892" s="2" t="inlineStr">
        <is>
          <t>Tretåig hackspett</t>
        </is>
      </c>
      <c r="S892">
        <f>HYPERLINK("https://klasma.github.io/Logging_RAGUNDA/artfynd/A 31357-2020.xlsx")</f>
        <v/>
      </c>
      <c r="T892">
        <f>HYPERLINK("https://klasma.github.io/Logging_RAGUNDA/kartor/A 31357-2020.png")</f>
        <v/>
      </c>
      <c r="V892">
        <f>HYPERLINK("https://klasma.github.io/Logging_RAGUNDA/klagomål/A 31357-2020.docx")</f>
        <v/>
      </c>
      <c r="W892">
        <f>HYPERLINK("https://klasma.github.io/Logging_RAGUNDA/klagomålsmail/A 31357-2020.docx")</f>
        <v/>
      </c>
      <c r="X892">
        <f>HYPERLINK("https://klasma.github.io/Logging_RAGUNDA/tillsyn/A 31357-2020.docx")</f>
        <v/>
      </c>
      <c r="Y892">
        <f>HYPERLINK("https://klasma.github.io/Logging_RAGUNDA/tillsynsmail/A 31357-2020.docx")</f>
        <v/>
      </c>
    </row>
    <row r="893" ht="15" customHeight="1">
      <c r="A893" t="inlineStr">
        <is>
          <t>A 32205-2020</t>
        </is>
      </c>
      <c r="B893" s="1" t="n">
        <v>44015</v>
      </c>
      <c r="C893" s="1" t="n">
        <v>45182</v>
      </c>
      <c r="D893" t="inlineStr">
        <is>
          <t>JÄMTLANDS LÄN</t>
        </is>
      </c>
      <c r="E893" t="inlineStr">
        <is>
          <t>STRÖMSUND</t>
        </is>
      </c>
      <c r="F893" t="inlineStr">
        <is>
          <t>SCA</t>
        </is>
      </c>
      <c r="G893" t="n">
        <v>25.3</v>
      </c>
      <c r="H893" t="n">
        <v>0</v>
      </c>
      <c r="I893" t="n">
        <v>0</v>
      </c>
      <c r="J893" t="n">
        <v>1</v>
      </c>
      <c r="K893" t="n">
        <v>0</v>
      </c>
      <c r="L893" t="n">
        <v>0</v>
      </c>
      <c r="M893" t="n">
        <v>0</v>
      </c>
      <c r="N893" t="n">
        <v>0</v>
      </c>
      <c r="O893" t="n">
        <v>1</v>
      </c>
      <c r="P893" t="n">
        <v>0</v>
      </c>
      <c r="Q893" t="n">
        <v>1</v>
      </c>
      <c r="R893" s="2" t="inlineStr">
        <is>
          <t>Harticka</t>
        </is>
      </c>
      <c r="S893">
        <f>HYPERLINK("https://klasma.github.io/Logging_STROMSUND/artfynd/A 32205-2020.xlsx")</f>
        <v/>
      </c>
      <c r="T893">
        <f>HYPERLINK("https://klasma.github.io/Logging_STROMSUND/kartor/A 32205-2020.png")</f>
        <v/>
      </c>
      <c r="V893">
        <f>HYPERLINK("https://klasma.github.io/Logging_STROMSUND/klagomål/A 32205-2020.docx")</f>
        <v/>
      </c>
      <c r="W893">
        <f>HYPERLINK("https://klasma.github.io/Logging_STROMSUND/klagomålsmail/A 32205-2020.docx")</f>
        <v/>
      </c>
      <c r="X893">
        <f>HYPERLINK("https://klasma.github.io/Logging_STROMSUND/tillsyn/A 32205-2020.docx")</f>
        <v/>
      </c>
      <c r="Y893">
        <f>HYPERLINK("https://klasma.github.io/Logging_STROMSUND/tillsynsmail/A 32205-2020.docx")</f>
        <v/>
      </c>
    </row>
    <row r="894" ht="15" customHeight="1">
      <c r="A894" t="inlineStr">
        <is>
          <t>A 34582-2020</t>
        </is>
      </c>
      <c r="B894" s="1" t="n">
        <v>44033</v>
      </c>
      <c r="C894" s="1" t="n">
        <v>45182</v>
      </c>
      <c r="D894" t="inlineStr">
        <is>
          <t>JÄMTLANDS LÄN</t>
        </is>
      </c>
      <c r="E894" t="inlineStr">
        <is>
          <t>BERG</t>
        </is>
      </c>
      <c r="F894" t="inlineStr">
        <is>
          <t>SCA</t>
        </is>
      </c>
      <c r="G894" t="n">
        <v>10.6</v>
      </c>
      <c r="H894" t="n">
        <v>0</v>
      </c>
      <c r="I894" t="n">
        <v>0</v>
      </c>
      <c r="J894" t="n">
        <v>1</v>
      </c>
      <c r="K894" t="n">
        <v>0</v>
      </c>
      <c r="L894" t="n">
        <v>0</v>
      </c>
      <c r="M894" t="n">
        <v>0</v>
      </c>
      <c r="N894" t="n">
        <v>0</v>
      </c>
      <c r="O894" t="n">
        <v>1</v>
      </c>
      <c r="P894" t="n">
        <v>0</v>
      </c>
      <c r="Q894" t="n">
        <v>1</v>
      </c>
      <c r="R894" s="2" t="inlineStr">
        <is>
          <t>Kolflarnlav</t>
        </is>
      </c>
      <c r="S894">
        <f>HYPERLINK("https://klasma.github.io/Logging_BERG/artfynd/A 34582-2020.xlsx")</f>
        <v/>
      </c>
      <c r="T894">
        <f>HYPERLINK("https://klasma.github.io/Logging_BERG/kartor/A 34582-2020.png")</f>
        <v/>
      </c>
      <c r="V894">
        <f>HYPERLINK("https://klasma.github.io/Logging_BERG/klagomål/A 34582-2020.docx")</f>
        <v/>
      </c>
      <c r="W894">
        <f>HYPERLINK("https://klasma.github.io/Logging_BERG/klagomålsmail/A 34582-2020.docx")</f>
        <v/>
      </c>
      <c r="X894">
        <f>HYPERLINK("https://klasma.github.io/Logging_BERG/tillsyn/A 34582-2020.docx")</f>
        <v/>
      </c>
      <c r="Y894">
        <f>HYPERLINK("https://klasma.github.io/Logging_BERG/tillsynsmail/A 34582-2020.docx")</f>
        <v/>
      </c>
    </row>
    <row r="895" ht="15" customHeight="1">
      <c r="A895" t="inlineStr">
        <is>
          <t>A 35488-2020</t>
        </is>
      </c>
      <c r="B895" s="1" t="n">
        <v>44042</v>
      </c>
      <c r="C895" s="1" t="n">
        <v>45182</v>
      </c>
      <c r="D895" t="inlineStr">
        <is>
          <t>JÄMTLANDS LÄN</t>
        </is>
      </c>
      <c r="E895" t="inlineStr">
        <is>
          <t>BRÄCKE</t>
        </is>
      </c>
      <c r="F895" t="inlineStr">
        <is>
          <t>SCA</t>
        </is>
      </c>
      <c r="G895" t="n">
        <v>1.9</v>
      </c>
      <c r="H895" t="n">
        <v>0</v>
      </c>
      <c r="I895" t="n">
        <v>0</v>
      </c>
      <c r="J895" t="n">
        <v>1</v>
      </c>
      <c r="K895" t="n">
        <v>0</v>
      </c>
      <c r="L895" t="n">
        <v>0</v>
      </c>
      <c r="M895" t="n">
        <v>0</v>
      </c>
      <c r="N895" t="n">
        <v>0</v>
      </c>
      <c r="O895" t="n">
        <v>1</v>
      </c>
      <c r="P895" t="n">
        <v>0</v>
      </c>
      <c r="Q895" t="n">
        <v>1</v>
      </c>
      <c r="R895" s="2" t="inlineStr">
        <is>
          <t>Lunglav</t>
        </is>
      </c>
      <c r="S895">
        <f>HYPERLINK("https://klasma.github.io/Logging_BRACKE/artfynd/A 35488-2020.xlsx")</f>
        <v/>
      </c>
      <c r="T895">
        <f>HYPERLINK("https://klasma.github.io/Logging_BRACKE/kartor/A 35488-2020.png")</f>
        <v/>
      </c>
      <c r="V895">
        <f>HYPERLINK("https://klasma.github.io/Logging_BRACKE/klagomål/A 35488-2020.docx")</f>
        <v/>
      </c>
      <c r="W895">
        <f>HYPERLINK("https://klasma.github.io/Logging_BRACKE/klagomålsmail/A 35488-2020.docx")</f>
        <v/>
      </c>
      <c r="X895">
        <f>HYPERLINK("https://klasma.github.io/Logging_BRACKE/tillsyn/A 35488-2020.docx")</f>
        <v/>
      </c>
      <c r="Y895">
        <f>HYPERLINK("https://klasma.github.io/Logging_BRACKE/tillsynsmail/A 35488-2020.docx")</f>
        <v/>
      </c>
    </row>
    <row r="896" ht="15" customHeight="1">
      <c r="A896" t="inlineStr">
        <is>
          <t>A 35600-2020</t>
        </is>
      </c>
      <c r="B896" s="1" t="n">
        <v>44043</v>
      </c>
      <c r="C896" s="1" t="n">
        <v>45182</v>
      </c>
      <c r="D896" t="inlineStr">
        <is>
          <t>JÄMTLANDS LÄN</t>
        </is>
      </c>
      <c r="E896" t="inlineStr">
        <is>
          <t>STRÖMSUND</t>
        </is>
      </c>
      <c r="F896" t="inlineStr">
        <is>
          <t>SCA</t>
        </is>
      </c>
      <c r="G896" t="n">
        <v>5</v>
      </c>
      <c r="H896" t="n">
        <v>0</v>
      </c>
      <c r="I896" t="n">
        <v>0</v>
      </c>
      <c r="J896" t="n">
        <v>1</v>
      </c>
      <c r="K896" t="n">
        <v>0</v>
      </c>
      <c r="L896" t="n">
        <v>0</v>
      </c>
      <c r="M896" t="n">
        <v>0</v>
      </c>
      <c r="N896" t="n">
        <v>0</v>
      </c>
      <c r="O896" t="n">
        <v>1</v>
      </c>
      <c r="P896" t="n">
        <v>0</v>
      </c>
      <c r="Q896" t="n">
        <v>1</v>
      </c>
      <c r="R896" s="2" t="inlineStr">
        <is>
          <t>Skrovellav</t>
        </is>
      </c>
      <c r="S896">
        <f>HYPERLINK("https://klasma.github.io/Logging_STROMSUND/artfynd/A 35600-2020.xlsx")</f>
        <v/>
      </c>
      <c r="T896">
        <f>HYPERLINK("https://klasma.github.io/Logging_STROMSUND/kartor/A 35600-2020.png")</f>
        <v/>
      </c>
      <c r="V896">
        <f>HYPERLINK("https://klasma.github.io/Logging_STROMSUND/klagomål/A 35600-2020.docx")</f>
        <v/>
      </c>
      <c r="W896">
        <f>HYPERLINK("https://klasma.github.io/Logging_STROMSUND/klagomålsmail/A 35600-2020.docx")</f>
        <v/>
      </c>
      <c r="X896">
        <f>HYPERLINK("https://klasma.github.io/Logging_STROMSUND/tillsyn/A 35600-2020.docx")</f>
        <v/>
      </c>
      <c r="Y896">
        <f>HYPERLINK("https://klasma.github.io/Logging_STROMSUND/tillsynsmail/A 35600-2020.docx")</f>
        <v/>
      </c>
    </row>
    <row r="897" ht="15" customHeight="1">
      <c r="A897" t="inlineStr">
        <is>
          <t>A 35980-2020</t>
        </is>
      </c>
      <c r="B897" s="1" t="n">
        <v>44047</v>
      </c>
      <c r="C897" s="1" t="n">
        <v>45182</v>
      </c>
      <c r="D897" t="inlineStr">
        <is>
          <t>JÄMTLANDS LÄN</t>
        </is>
      </c>
      <c r="E897" t="inlineStr">
        <is>
          <t>ÖSTERSUND</t>
        </is>
      </c>
      <c r="G897" t="n">
        <v>0.7</v>
      </c>
      <c r="H897" t="n">
        <v>0</v>
      </c>
      <c r="I897" t="n">
        <v>0</v>
      </c>
      <c r="J897" t="n">
        <v>1</v>
      </c>
      <c r="K897" t="n">
        <v>0</v>
      </c>
      <c r="L897" t="n">
        <v>0</v>
      </c>
      <c r="M897" t="n">
        <v>0</v>
      </c>
      <c r="N897" t="n">
        <v>0</v>
      </c>
      <c r="O897" t="n">
        <v>1</v>
      </c>
      <c r="P897" t="n">
        <v>0</v>
      </c>
      <c r="Q897" t="n">
        <v>1</v>
      </c>
      <c r="R897" s="2" t="inlineStr">
        <is>
          <t>Slåtterfibbla</t>
        </is>
      </c>
      <c r="S897">
        <f>HYPERLINK("https://klasma.github.io/Logging_OSTERSUND/artfynd/A 35980-2020.xlsx")</f>
        <v/>
      </c>
      <c r="T897">
        <f>HYPERLINK("https://klasma.github.io/Logging_OSTERSUND/kartor/A 35980-2020.png")</f>
        <v/>
      </c>
      <c r="U897">
        <f>HYPERLINK("https://klasma.github.io/Logging_OSTERSUND/knärot/A 35980-2020.png")</f>
        <v/>
      </c>
      <c r="V897">
        <f>HYPERLINK("https://klasma.github.io/Logging_OSTERSUND/klagomål/A 35980-2020.docx")</f>
        <v/>
      </c>
      <c r="W897">
        <f>HYPERLINK("https://klasma.github.io/Logging_OSTERSUND/klagomålsmail/A 35980-2020.docx")</f>
        <v/>
      </c>
      <c r="X897">
        <f>HYPERLINK("https://klasma.github.io/Logging_OSTERSUND/tillsyn/A 35980-2020.docx")</f>
        <v/>
      </c>
      <c r="Y897">
        <f>HYPERLINK("https://klasma.github.io/Logging_OSTERSUND/tillsynsmail/A 35980-2020.docx")</f>
        <v/>
      </c>
    </row>
    <row r="898" ht="15" customHeight="1">
      <c r="A898" t="inlineStr">
        <is>
          <t>A 36457-2020</t>
        </is>
      </c>
      <c r="B898" s="1" t="n">
        <v>44049</v>
      </c>
      <c r="C898" s="1" t="n">
        <v>45182</v>
      </c>
      <c r="D898" t="inlineStr">
        <is>
          <t>JÄMTLANDS LÄN</t>
        </is>
      </c>
      <c r="E898" t="inlineStr">
        <is>
          <t>RAGUNDA</t>
        </is>
      </c>
      <c r="F898" t="inlineStr">
        <is>
          <t>SCA</t>
        </is>
      </c>
      <c r="G898" t="n">
        <v>2.5</v>
      </c>
      <c r="H898" t="n">
        <v>1</v>
      </c>
      <c r="I898" t="n">
        <v>1</v>
      </c>
      <c r="J898" t="n">
        <v>0</v>
      </c>
      <c r="K898" t="n">
        <v>0</v>
      </c>
      <c r="L898" t="n">
        <v>0</v>
      </c>
      <c r="M898" t="n">
        <v>0</v>
      </c>
      <c r="N898" t="n">
        <v>0</v>
      </c>
      <c r="O898" t="n">
        <v>0</v>
      </c>
      <c r="P898" t="n">
        <v>0</v>
      </c>
      <c r="Q898" t="n">
        <v>1</v>
      </c>
      <c r="R898" s="2" t="inlineStr">
        <is>
          <t>Guckusko</t>
        </is>
      </c>
      <c r="S898">
        <f>HYPERLINK("https://klasma.github.io/Logging_RAGUNDA/artfynd/A 36457-2020.xlsx")</f>
        <v/>
      </c>
      <c r="T898">
        <f>HYPERLINK("https://klasma.github.io/Logging_RAGUNDA/kartor/A 36457-2020.png")</f>
        <v/>
      </c>
      <c r="V898">
        <f>HYPERLINK("https://klasma.github.io/Logging_RAGUNDA/klagomål/A 36457-2020.docx")</f>
        <v/>
      </c>
      <c r="W898">
        <f>HYPERLINK("https://klasma.github.io/Logging_RAGUNDA/klagomålsmail/A 36457-2020.docx")</f>
        <v/>
      </c>
      <c r="X898">
        <f>HYPERLINK("https://klasma.github.io/Logging_RAGUNDA/tillsyn/A 36457-2020.docx")</f>
        <v/>
      </c>
      <c r="Y898">
        <f>HYPERLINK("https://klasma.github.io/Logging_RAGUNDA/tillsynsmail/A 36457-2020.docx")</f>
        <v/>
      </c>
    </row>
    <row r="899" ht="15" customHeight="1">
      <c r="A899" t="inlineStr">
        <is>
          <t>A 36954-2020</t>
        </is>
      </c>
      <c r="B899" s="1" t="n">
        <v>44053</v>
      </c>
      <c r="C899" s="1" t="n">
        <v>45182</v>
      </c>
      <c r="D899" t="inlineStr">
        <is>
          <t>JÄMTLANDS LÄN</t>
        </is>
      </c>
      <c r="E899" t="inlineStr">
        <is>
          <t>HÄRJEDALEN</t>
        </is>
      </c>
      <c r="F899" t="inlineStr">
        <is>
          <t>SCA</t>
        </is>
      </c>
      <c r="G899" t="n">
        <v>38.7</v>
      </c>
      <c r="H899" t="n">
        <v>0</v>
      </c>
      <c r="I899" t="n">
        <v>0</v>
      </c>
      <c r="J899" t="n">
        <v>1</v>
      </c>
      <c r="K899" t="n">
        <v>0</v>
      </c>
      <c r="L899" t="n">
        <v>0</v>
      </c>
      <c r="M899" t="n">
        <v>0</v>
      </c>
      <c r="N899" t="n">
        <v>0</v>
      </c>
      <c r="O899" t="n">
        <v>1</v>
      </c>
      <c r="P899" t="n">
        <v>0</v>
      </c>
      <c r="Q899" t="n">
        <v>1</v>
      </c>
      <c r="R899" s="2" t="inlineStr">
        <is>
          <t>Reliktbock</t>
        </is>
      </c>
      <c r="S899">
        <f>HYPERLINK("https://klasma.github.io/Logging_HARJEDALEN/artfynd/A 36954-2020.xlsx")</f>
        <v/>
      </c>
      <c r="T899">
        <f>HYPERLINK("https://klasma.github.io/Logging_HARJEDALEN/kartor/A 36954-2020.png")</f>
        <v/>
      </c>
      <c r="V899">
        <f>HYPERLINK("https://klasma.github.io/Logging_HARJEDALEN/klagomål/A 36954-2020.docx")</f>
        <v/>
      </c>
      <c r="W899">
        <f>HYPERLINK("https://klasma.github.io/Logging_HARJEDALEN/klagomålsmail/A 36954-2020.docx")</f>
        <v/>
      </c>
      <c r="X899">
        <f>HYPERLINK("https://klasma.github.io/Logging_HARJEDALEN/tillsyn/A 36954-2020.docx")</f>
        <v/>
      </c>
      <c r="Y899">
        <f>HYPERLINK("https://klasma.github.io/Logging_HARJEDALEN/tillsynsmail/A 36954-2020.docx")</f>
        <v/>
      </c>
    </row>
    <row r="900" ht="15" customHeight="1">
      <c r="A900" t="inlineStr">
        <is>
          <t>A 36966-2020</t>
        </is>
      </c>
      <c r="B900" s="1" t="n">
        <v>44053</v>
      </c>
      <c r="C900" s="1" t="n">
        <v>45182</v>
      </c>
      <c r="D900" t="inlineStr">
        <is>
          <t>JÄMTLANDS LÄN</t>
        </is>
      </c>
      <c r="E900" t="inlineStr">
        <is>
          <t>BERG</t>
        </is>
      </c>
      <c r="F900" t="inlineStr">
        <is>
          <t>SCA</t>
        </is>
      </c>
      <c r="G900" t="n">
        <v>2.7</v>
      </c>
      <c r="H900" t="n">
        <v>0</v>
      </c>
      <c r="I900" t="n">
        <v>0</v>
      </c>
      <c r="J900" t="n">
        <v>1</v>
      </c>
      <c r="K900" t="n">
        <v>0</v>
      </c>
      <c r="L900" t="n">
        <v>0</v>
      </c>
      <c r="M900" t="n">
        <v>0</v>
      </c>
      <c r="N900" t="n">
        <v>0</v>
      </c>
      <c r="O900" t="n">
        <v>1</v>
      </c>
      <c r="P900" t="n">
        <v>0</v>
      </c>
      <c r="Q900" t="n">
        <v>1</v>
      </c>
      <c r="R900" s="2" t="inlineStr">
        <is>
          <t>Reliktbock</t>
        </is>
      </c>
      <c r="S900">
        <f>HYPERLINK("https://klasma.github.io/Logging_BERG/artfynd/A 36966-2020.xlsx")</f>
        <v/>
      </c>
      <c r="T900">
        <f>HYPERLINK("https://klasma.github.io/Logging_BERG/kartor/A 36966-2020.png")</f>
        <v/>
      </c>
      <c r="V900">
        <f>HYPERLINK("https://klasma.github.io/Logging_BERG/klagomål/A 36966-2020.docx")</f>
        <v/>
      </c>
      <c r="W900">
        <f>HYPERLINK("https://klasma.github.io/Logging_BERG/klagomålsmail/A 36966-2020.docx")</f>
        <v/>
      </c>
      <c r="X900">
        <f>HYPERLINK("https://klasma.github.io/Logging_BERG/tillsyn/A 36966-2020.docx")</f>
        <v/>
      </c>
      <c r="Y900">
        <f>HYPERLINK("https://klasma.github.io/Logging_BERG/tillsynsmail/A 36966-2020.docx")</f>
        <v/>
      </c>
    </row>
    <row r="901" ht="15" customHeight="1">
      <c r="A901" t="inlineStr">
        <is>
          <t>A 39060-2020</t>
        </is>
      </c>
      <c r="B901" s="1" t="n">
        <v>44062</v>
      </c>
      <c r="C901" s="1" t="n">
        <v>45182</v>
      </c>
      <c r="D901" t="inlineStr">
        <is>
          <t>JÄMTLANDS LÄN</t>
        </is>
      </c>
      <c r="E901" t="inlineStr">
        <is>
          <t>RAGUNDA</t>
        </is>
      </c>
      <c r="F901" t="inlineStr">
        <is>
          <t>SCA</t>
        </is>
      </c>
      <c r="G901" t="n">
        <v>6.5</v>
      </c>
      <c r="H901" t="n">
        <v>0</v>
      </c>
      <c r="I901" t="n">
        <v>1</v>
      </c>
      <c r="J901" t="n">
        <v>0</v>
      </c>
      <c r="K901" t="n">
        <v>0</v>
      </c>
      <c r="L901" t="n">
        <v>0</v>
      </c>
      <c r="M901" t="n">
        <v>0</v>
      </c>
      <c r="N901" t="n">
        <v>0</v>
      </c>
      <c r="O901" t="n">
        <v>0</v>
      </c>
      <c r="P901" t="n">
        <v>0</v>
      </c>
      <c r="Q901" t="n">
        <v>1</v>
      </c>
      <c r="R901" s="2" t="inlineStr">
        <is>
          <t>Stuplav</t>
        </is>
      </c>
      <c r="S901">
        <f>HYPERLINK("https://klasma.github.io/Logging_RAGUNDA/artfynd/A 39060-2020.xlsx")</f>
        <v/>
      </c>
      <c r="T901">
        <f>HYPERLINK("https://klasma.github.io/Logging_RAGUNDA/kartor/A 39060-2020.png")</f>
        <v/>
      </c>
      <c r="V901">
        <f>HYPERLINK("https://klasma.github.io/Logging_RAGUNDA/klagomål/A 39060-2020.docx")</f>
        <v/>
      </c>
      <c r="W901">
        <f>HYPERLINK("https://klasma.github.io/Logging_RAGUNDA/klagomålsmail/A 39060-2020.docx")</f>
        <v/>
      </c>
      <c r="X901">
        <f>HYPERLINK("https://klasma.github.io/Logging_RAGUNDA/tillsyn/A 39060-2020.docx")</f>
        <v/>
      </c>
      <c r="Y901">
        <f>HYPERLINK("https://klasma.github.io/Logging_RAGUNDA/tillsynsmail/A 39060-2020.docx")</f>
        <v/>
      </c>
    </row>
    <row r="902" ht="15" customHeight="1">
      <c r="A902" t="inlineStr">
        <is>
          <t>A 39569-2020</t>
        </is>
      </c>
      <c r="B902" s="1" t="n">
        <v>44064</v>
      </c>
      <c r="C902" s="1" t="n">
        <v>45182</v>
      </c>
      <c r="D902" t="inlineStr">
        <is>
          <t>JÄMTLANDS LÄN</t>
        </is>
      </c>
      <c r="E902" t="inlineStr">
        <is>
          <t>KROKOM</t>
        </is>
      </c>
      <c r="G902" t="n">
        <v>1.4</v>
      </c>
      <c r="H902" t="n">
        <v>0</v>
      </c>
      <c r="I902" t="n">
        <v>0</v>
      </c>
      <c r="J902" t="n">
        <v>1</v>
      </c>
      <c r="K902" t="n">
        <v>0</v>
      </c>
      <c r="L902" t="n">
        <v>0</v>
      </c>
      <c r="M902" t="n">
        <v>0</v>
      </c>
      <c r="N902" t="n">
        <v>0</v>
      </c>
      <c r="O902" t="n">
        <v>1</v>
      </c>
      <c r="P902" t="n">
        <v>0</v>
      </c>
      <c r="Q902" t="n">
        <v>1</v>
      </c>
      <c r="R902" s="2" t="inlineStr">
        <is>
          <t>Gränsticka</t>
        </is>
      </c>
      <c r="S902">
        <f>HYPERLINK("https://klasma.github.io/Logging_KROKOM/artfynd/A 39569-2020.xlsx")</f>
        <v/>
      </c>
      <c r="T902">
        <f>HYPERLINK("https://klasma.github.io/Logging_KROKOM/kartor/A 39569-2020.png")</f>
        <v/>
      </c>
      <c r="V902">
        <f>HYPERLINK("https://klasma.github.io/Logging_KROKOM/klagomål/A 39569-2020.docx")</f>
        <v/>
      </c>
      <c r="W902">
        <f>HYPERLINK("https://klasma.github.io/Logging_KROKOM/klagomålsmail/A 39569-2020.docx")</f>
        <v/>
      </c>
      <c r="X902">
        <f>HYPERLINK("https://klasma.github.io/Logging_KROKOM/tillsyn/A 39569-2020.docx")</f>
        <v/>
      </c>
      <c r="Y902">
        <f>HYPERLINK("https://klasma.github.io/Logging_KROKOM/tillsynsmail/A 39569-2020.docx")</f>
        <v/>
      </c>
    </row>
    <row r="903" ht="15" customHeight="1">
      <c r="A903" t="inlineStr">
        <is>
          <t>A 41897-2020</t>
        </is>
      </c>
      <c r="B903" s="1" t="n">
        <v>44074</v>
      </c>
      <c r="C903" s="1" t="n">
        <v>45182</v>
      </c>
      <c r="D903" t="inlineStr">
        <is>
          <t>JÄMTLANDS LÄN</t>
        </is>
      </c>
      <c r="E903" t="inlineStr">
        <is>
          <t>BRÄCKE</t>
        </is>
      </c>
      <c r="F903" t="inlineStr">
        <is>
          <t>SCA</t>
        </is>
      </c>
      <c r="G903" t="n">
        <v>3.9</v>
      </c>
      <c r="H903" t="n">
        <v>0</v>
      </c>
      <c r="I903" t="n">
        <v>0</v>
      </c>
      <c r="J903" t="n">
        <v>1</v>
      </c>
      <c r="K903" t="n">
        <v>0</v>
      </c>
      <c r="L903" t="n">
        <v>0</v>
      </c>
      <c r="M903" t="n">
        <v>0</v>
      </c>
      <c r="N903" t="n">
        <v>0</v>
      </c>
      <c r="O903" t="n">
        <v>1</v>
      </c>
      <c r="P903" t="n">
        <v>0</v>
      </c>
      <c r="Q903" t="n">
        <v>1</v>
      </c>
      <c r="R903" s="2" t="inlineStr">
        <is>
          <t>Stiftgelélav</t>
        </is>
      </c>
      <c r="S903">
        <f>HYPERLINK("https://klasma.github.io/Logging_BRACKE/artfynd/A 41897-2020.xlsx")</f>
        <v/>
      </c>
      <c r="T903">
        <f>HYPERLINK("https://klasma.github.io/Logging_BRACKE/kartor/A 41897-2020.png")</f>
        <v/>
      </c>
      <c r="V903">
        <f>HYPERLINK("https://klasma.github.io/Logging_BRACKE/klagomål/A 41897-2020.docx")</f>
        <v/>
      </c>
      <c r="W903">
        <f>HYPERLINK("https://klasma.github.io/Logging_BRACKE/klagomålsmail/A 41897-2020.docx")</f>
        <v/>
      </c>
      <c r="X903">
        <f>HYPERLINK("https://klasma.github.io/Logging_BRACKE/tillsyn/A 41897-2020.docx")</f>
        <v/>
      </c>
      <c r="Y903">
        <f>HYPERLINK("https://klasma.github.io/Logging_BRACKE/tillsynsmail/A 41897-2020.docx")</f>
        <v/>
      </c>
    </row>
    <row r="904" ht="15" customHeight="1">
      <c r="A904" t="inlineStr">
        <is>
          <t>A 42493-2020</t>
        </is>
      </c>
      <c r="B904" s="1" t="n">
        <v>44075</v>
      </c>
      <c r="C904" s="1" t="n">
        <v>45182</v>
      </c>
      <c r="D904" t="inlineStr">
        <is>
          <t>JÄMTLANDS LÄN</t>
        </is>
      </c>
      <c r="E904" t="inlineStr">
        <is>
          <t>KROKOM</t>
        </is>
      </c>
      <c r="G904" t="n">
        <v>20.6</v>
      </c>
      <c r="H904" t="n">
        <v>1</v>
      </c>
      <c r="I904" t="n">
        <v>0</v>
      </c>
      <c r="J904" t="n">
        <v>1</v>
      </c>
      <c r="K904" t="n">
        <v>0</v>
      </c>
      <c r="L904" t="n">
        <v>0</v>
      </c>
      <c r="M904" t="n">
        <v>0</v>
      </c>
      <c r="N904" t="n">
        <v>0</v>
      </c>
      <c r="O904" t="n">
        <v>1</v>
      </c>
      <c r="P904" t="n">
        <v>0</v>
      </c>
      <c r="Q904" t="n">
        <v>1</v>
      </c>
      <c r="R904" s="2" t="inlineStr">
        <is>
          <t>Tretåig hackspett</t>
        </is>
      </c>
      <c r="S904">
        <f>HYPERLINK("https://klasma.github.io/Logging_KROKOM/artfynd/A 42493-2020.xlsx")</f>
        <v/>
      </c>
      <c r="T904">
        <f>HYPERLINK("https://klasma.github.io/Logging_KROKOM/kartor/A 42493-2020.png")</f>
        <v/>
      </c>
      <c r="V904">
        <f>HYPERLINK("https://klasma.github.io/Logging_KROKOM/klagomål/A 42493-2020.docx")</f>
        <v/>
      </c>
      <c r="W904">
        <f>HYPERLINK("https://klasma.github.io/Logging_KROKOM/klagomålsmail/A 42493-2020.docx")</f>
        <v/>
      </c>
      <c r="X904">
        <f>HYPERLINK("https://klasma.github.io/Logging_KROKOM/tillsyn/A 42493-2020.docx")</f>
        <v/>
      </c>
      <c r="Y904">
        <f>HYPERLINK("https://klasma.github.io/Logging_KROKOM/tillsynsmail/A 42493-2020.docx")</f>
        <v/>
      </c>
    </row>
    <row r="905" ht="15" customHeight="1">
      <c r="A905" t="inlineStr">
        <is>
          <t>A 43809-2020</t>
        </is>
      </c>
      <c r="B905" s="1" t="n">
        <v>44082</v>
      </c>
      <c r="C905" s="1" t="n">
        <v>45182</v>
      </c>
      <c r="D905" t="inlineStr">
        <is>
          <t>JÄMTLANDS LÄN</t>
        </is>
      </c>
      <c r="E905" t="inlineStr">
        <is>
          <t>STRÖMSUND</t>
        </is>
      </c>
      <c r="F905" t="inlineStr">
        <is>
          <t>Sveaskog</t>
        </is>
      </c>
      <c r="G905" t="n">
        <v>10.4</v>
      </c>
      <c r="H905" t="n">
        <v>0</v>
      </c>
      <c r="I905" t="n">
        <v>0</v>
      </c>
      <c r="J905" t="n">
        <v>1</v>
      </c>
      <c r="K905" t="n">
        <v>0</v>
      </c>
      <c r="L905" t="n">
        <v>0</v>
      </c>
      <c r="M905" t="n">
        <v>0</v>
      </c>
      <c r="N905" t="n">
        <v>0</v>
      </c>
      <c r="O905" t="n">
        <v>1</v>
      </c>
      <c r="P905" t="n">
        <v>0</v>
      </c>
      <c r="Q905" t="n">
        <v>1</v>
      </c>
      <c r="R905" s="2" t="inlineStr">
        <is>
          <t>Lunglav</t>
        </is>
      </c>
      <c r="S905">
        <f>HYPERLINK("https://klasma.github.io/Logging_STROMSUND/artfynd/A 43809-2020.xlsx")</f>
        <v/>
      </c>
      <c r="T905">
        <f>HYPERLINK("https://klasma.github.io/Logging_STROMSUND/kartor/A 43809-2020.png")</f>
        <v/>
      </c>
      <c r="V905">
        <f>HYPERLINK("https://klasma.github.io/Logging_STROMSUND/klagomål/A 43809-2020.docx")</f>
        <v/>
      </c>
      <c r="W905">
        <f>HYPERLINK("https://klasma.github.io/Logging_STROMSUND/klagomålsmail/A 43809-2020.docx")</f>
        <v/>
      </c>
      <c r="X905">
        <f>HYPERLINK("https://klasma.github.io/Logging_STROMSUND/tillsyn/A 43809-2020.docx")</f>
        <v/>
      </c>
      <c r="Y905">
        <f>HYPERLINK("https://klasma.github.io/Logging_STROMSUND/tillsynsmail/A 43809-2020.docx")</f>
        <v/>
      </c>
    </row>
    <row r="906" ht="15" customHeight="1">
      <c r="A906" t="inlineStr">
        <is>
          <t>A 46959-2020</t>
        </is>
      </c>
      <c r="B906" s="1" t="n">
        <v>44090</v>
      </c>
      <c r="C906" s="1" t="n">
        <v>45182</v>
      </c>
      <c r="D906" t="inlineStr">
        <is>
          <t>JÄMTLANDS LÄN</t>
        </is>
      </c>
      <c r="E906" t="inlineStr">
        <is>
          <t>ÅRE</t>
        </is>
      </c>
      <c r="G906" t="n">
        <v>4.7</v>
      </c>
      <c r="H906" t="n">
        <v>1</v>
      </c>
      <c r="I906" t="n">
        <v>0</v>
      </c>
      <c r="J906" t="n">
        <v>1</v>
      </c>
      <c r="K906" t="n">
        <v>0</v>
      </c>
      <c r="L906" t="n">
        <v>0</v>
      </c>
      <c r="M906" t="n">
        <v>0</v>
      </c>
      <c r="N906" t="n">
        <v>0</v>
      </c>
      <c r="O906" t="n">
        <v>1</v>
      </c>
      <c r="P906" t="n">
        <v>0</v>
      </c>
      <c r="Q906" t="n">
        <v>1</v>
      </c>
      <c r="R906" s="2" t="inlineStr">
        <is>
          <t>Tretåig hackspett</t>
        </is>
      </c>
      <c r="S906">
        <f>HYPERLINK("https://klasma.github.io/Logging_ARE/artfynd/A 46959-2020.xlsx")</f>
        <v/>
      </c>
      <c r="T906">
        <f>HYPERLINK("https://klasma.github.io/Logging_ARE/kartor/A 46959-2020.png")</f>
        <v/>
      </c>
      <c r="V906">
        <f>HYPERLINK("https://klasma.github.io/Logging_ARE/klagomål/A 46959-2020.docx")</f>
        <v/>
      </c>
      <c r="W906">
        <f>HYPERLINK("https://klasma.github.io/Logging_ARE/klagomålsmail/A 46959-2020.docx")</f>
        <v/>
      </c>
      <c r="X906">
        <f>HYPERLINK("https://klasma.github.io/Logging_ARE/tillsyn/A 46959-2020.docx")</f>
        <v/>
      </c>
      <c r="Y906">
        <f>HYPERLINK("https://klasma.github.io/Logging_ARE/tillsynsmail/A 46959-2020.docx")</f>
        <v/>
      </c>
    </row>
    <row r="907" ht="15" customHeight="1">
      <c r="A907" t="inlineStr">
        <is>
          <t>A 45626-2020</t>
        </is>
      </c>
      <c r="B907" s="1" t="n">
        <v>44090</v>
      </c>
      <c r="C907" s="1" t="n">
        <v>45182</v>
      </c>
      <c r="D907" t="inlineStr">
        <is>
          <t>JÄMTLANDS LÄN</t>
        </is>
      </c>
      <c r="E907" t="inlineStr">
        <is>
          <t>KROKOM</t>
        </is>
      </c>
      <c r="G907" t="n">
        <v>1</v>
      </c>
      <c r="H907" t="n">
        <v>0</v>
      </c>
      <c r="I907" t="n">
        <v>0</v>
      </c>
      <c r="J907" t="n">
        <v>1</v>
      </c>
      <c r="K907" t="n">
        <v>0</v>
      </c>
      <c r="L907" t="n">
        <v>0</v>
      </c>
      <c r="M907" t="n">
        <v>0</v>
      </c>
      <c r="N907" t="n">
        <v>0</v>
      </c>
      <c r="O907" t="n">
        <v>1</v>
      </c>
      <c r="P907" t="n">
        <v>0</v>
      </c>
      <c r="Q907" t="n">
        <v>1</v>
      </c>
      <c r="R907" s="2" t="inlineStr">
        <is>
          <t>Dofttaggsvamp</t>
        </is>
      </c>
      <c r="S907">
        <f>HYPERLINK("https://klasma.github.io/Logging_KROKOM/artfynd/A 45626-2020.xlsx")</f>
        <v/>
      </c>
      <c r="T907">
        <f>HYPERLINK("https://klasma.github.io/Logging_KROKOM/kartor/A 45626-2020.png")</f>
        <v/>
      </c>
      <c r="V907">
        <f>HYPERLINK("https://klasma.github.io/Logging_KROKOM/klagomål/A 45626-2020.docx")</f>
        <v/>
      </c>
      <c r="W907">
        <f>HYPERLINK("https://klasma.github.io/Logging_KROKOM/klagomålsmail/A 45626-2020.docx")</f>
        <v/>
      </c>
      <c r="X907">
        <f>HYPERLINK("https://klasma.github.io/Logging_KROKOM/tillsyn/A 45626-2020.docx")</f>
        <v/>
      </c>
      <c r="Y907">
        <f>HYPERLINK("https://klasma.github.io/Logging_KROKOM/tillsynsmail/A 45626-2020.docx")</f>
        <v/>
      </c>
    </row>
    <row r="908" ht="15" customHeight="1">
      <c r="A908" t="inlineStr">
        <is>
          <t>A 46966-2020</t>
        </is>
      </c>
      <c r="B908" s="1" t="n">
        <v>44090</v>
      </c>
      <c r="C908" s="1" t="n">
        <v>45182</v>
      </c>
      <c r="D908" t="inlineStr">
        <is>
          <t>JÄMTLANDS LÄN</t>
        </is>
      </c>
      <c r="E908" t="inlineStr">
        <is>
          <t>ÅRE</t>
        </is>
      </c>
      <c r="G908" t="n">
        <v>13.7</v>
      </c>
      <c r="H908" t="n">
        <v>1</v>
      </c>
      <c r="I908" t="n">
        <v>0</v>
      </c>
      <c r="J908" t="n">
        <v>1</v>
      </c>
      <c r="K908" t="n">
        <v>0</v>
      </c>
      <c r="L908" t="n">
        <v>0</v>
      </c>
      <c r="M908" t="n">
        <v>0</v>
      </c>
      <c r="N908" t="n">
        <v>0</v>
      </c>
      <c r="O908" t="n">
        <v>1</v>
      </c>
      <c r="P908" t="n">
        <v>0</v>
      </c>
      <c r="Q908" t="n">
        <v>1</v>
      </c>
      <c r="R908" s="2" t="inlineStr">
        <is>
          <t>Tretåig hackspett</t>
        </is>
      </c>
      <c r="S908">
        <f>HYPERLINK("https://klasma.github.io/Logging_ARE/artfynd/A 46966-2020.xlsx")</f>
        <v/>
      </c>
      <c r="T908">
        <f>HYPERLINK("https://klasma.github.io/Logging_ARE/kartor/A 46966-2020.png")</f>
        <v/>
      </c>
      <c r="V908">
        <f>HYPERLINK("https://klasma.github.io/Logging_ARE/klagomål/A 46966-2020.docx")</f>
        <v/>
      </c>
      <c r="W908">
        <f>HYPERLINK("https://klasma.github.io/Logging_ARE/klagomålsmail/A 46966-2020.docx")</f>
        <v/>
      </c>
      <c r="X908">
        <f>HYPERLINK("https://klasma.github.io/Logging_ARE/tillsyn/A 46966-2020.docx")</f>
        <v/>
      </c>
      <c r="Y908">
        <f>HYPERLINK("https://klasma.github.io/Logging_ARE/tillsynsmail/A 46966-2020.docx")</f>
        <v/>
      </c>
    </row>
    <row r="909" ht="15" customHeight="1">
      <c r="A909" t="inlineStr">
        <is>
          <t>A 47459-2020</t>
        </is>
      </c>
      <c r="B909" s="1" t="n">
        <v>44097</v>
      </c>
      <c r="C909" s="1" t="n">
        <v>45182</v>
      </c>
      <c r="D909" t="inlineStr">
        <is>
          <t>JÄMTLANDS LÄN</t>
        </is>
      </c>
      <c r="E909" t="inlineStr">
        <is>
          <t>KROKOM</t>
        </is>
      </c>
      <c r="F909" t="inlineStr">
        <is>
          <t>SCA</t>
        </is>
      </c>
      <c r="G909" t="n">
        <v>1.7</v>
      </c>
      <c r="H909" t="n">
        <v>0</v>
      </c>
      <c r="I909" t="n">
        <v>0</v>
      </c>
      <c r="J909" t="n">
        <v>1</v>
      </c>
      <c r="K909" t="n">
        <v>0</v>
      </c>
      <c r="L909" t="n">
        <v>0</v>
      </c>
      <c r="M909" t="n">
        <v>0</v>
      </c>
      <c r="N909" t="n">
        <v>0</v>
      </c>
      <c r="O909" t="n">
        <v>1</v>
      </c>
      <c r="P909" t="n">
        <v>0</v>
      </c>
      <c r="Q909" t="n">
        <v>1</v>
      </c>
      <c r="R909" s="2" t="inlineStr">
        <is>
          <t>Skrovellav</t>
        </is>
      </c>
      <c r="S909">
        <f>HYPERLINK("https://klasma.github.io/Logging_KROKOM/artfynd/A 47459-2020.xlsx")</f>
        <v/>
      </c>
      <c r="T909">
        <f>HYPERLINK("https://klasma.github.io/Logging_KROKOM/kartor/A 47459-2020.png")</f>
        <v/>
      </c>
      <c r="V909">
        <f>HYPERLINK("https://klasma.github.io/Logging_KROKOM/klagomål/A 47459-2020.docx")</f>
        <v/>
      </c>
      <c r="W909">
        <f>HYPERLINK("https://klasma.github.io/Logging_KROKOM/klagomålsmail/A 47459-2020.docx")</f>
        <v/>
      </c>
      <c r="X909">
        <f>HYPERLINK("https://klasma.github.io/Logging_KROKOM/tillsyn/A 47459-2020.docx")</f>
        <v/>
      </c>
      <c r="Y909">
        <f>HYPERLINK("https://klasma.github.io/Logging_KROKOM/tillsynsmail/A 47459-2020.docx")</f>
        <v/>
      </c>
    </row>
    <row r="910" ht="15" customHeight="1">
      <c r="A910" t="inlineStr">
        <is>
          <t>A 47853-2020</t>
        </is>
      </c>
      <c r="B910" s="1" t="n">
        <v>44098</v>
      </c>
      <c r="C910" s="1" t="n">
        <v>45182</v>
      </c>
      <c r="D910" t="inlineStr">
        <is>
          <t>JÄMTLANDS LÄN</t>
        </is>
      </c>
      <c r="E910" t="inlineStr">
        <is>
          <t>RAGUNDA</t>
        </is>
      </c>
      <c r="F910" t="inlineStr">
        <is>
          <t>SCA</t>
        </is>
      </c>
      <c r="G910" t="n">
        <v>5.3</v>
      </c>
      <c r="H910" t="n">
        <v>0</v>
      </c>
      <c r="I910" t="n">
        <v>0</v>
      </c>
      <c r="J910" t="n">
        <v>1</v>
      </c>
      <c r="K910" t="n">
        <v>0</v>
      </c>
      <c r="L910" t="n">
        <v>0</v>
      </c>
      <c r="M910" t="n">
        <v>0</v>
      </c>
      <c r="N910" t="n">
        <v>0</v>
      </c>
      <c r="O910" t="n">
        <v>1</v>
      </c>
      <c r="P910" t="n">
        <v>0</v>
      </c>
      <c r="Q910" t="n">
        <v>1</v>
      </c>
      <c r="R910" s="2" t="inlineStr">
        <is>
          <t>Lunglav</t>
        </is>
      </c>
      <c r="S910">
        <f>HYPERLINK("https://klasma.github.io/Logging_RAGUNDA/artfynd/A 47853-2020.xlsx")</f>
        <v/>
      </c>
      <c r="T910">
        <f>HYPERLINK("https://klasma.github.io/Logging_RAGUNDA/kartor/A 47853-2020.png")</f>
        <v/>
      </c>
      <c r="V910">
        <f>HYPERLINK("https://klasma.github.io/Logging_RAGUNDA/klagomål/A 47853-2020.docx")</f>
        <v/>
      </c>
      <c r="W910">
        <f>HYPERLINK("https://klasma.github.io/Logging_RAGUNDA/klagomålsmail/A 47853-2020.docx")</f>
        <v/>
      </c>
      <c r="X910">
        <f>HYPERLINK("https://klasma.github.io/Logging_RAGUNDA/tillsyn/A 47853-2020.docx")</f>
        <v/>
      </c>
      <c r="Y910">
        <f>HYPERLINK("https://klasma.github.io/Logging_RAGUNDA/tillsynsmail/A 47853-2020.docx")</f>
        <v/>
      </c>
    </row>
    <row r="911" ht="15" customHeight="1">
      <c r="A911" t="inlineStr">
        <is>
          <t>A 48863-2020</t>
        </is>
      </c>
      <c r="B911" s="1" t="n">
        <v>44099</v>
      </c>
      <c r="C911" s="1" t="n">
        <v>45182</v>
      </c>
      <c r="D911" t="inlineStr">
        <is>
          <t>JÄMTLANDS LÄN</t>
        </is>
      </c>
      <c r="E911" t="inlineStr">
        <is>
          <t>KROKOM</t>
        </is>
      </c>
      <c r="F911" t="inlineStr">
        <is>
          <t>SCA</t>
        </is>
      </c>
      <c r="G911" t="n">
        <v>7.2</v>
      </c>
      <c r="H911" t="n">
        <v>0</v>
      </c>
      <c r="I911" t="n">
        <v>0</v>
      </c>
      <c r="J911" t="n">
        <v>0</v>
      </c>
      <c r="K911" t="n">
        <v>1</v>
      </c>
      <c r="L911" t="n">
        <v>0</v>
      </c>
      <c r="M911" t="n">
        <v>0</v>
      </c>
      <c r="N911" t="n">
        <v>0</v>
      </c>
      <c r="O911" t="n">
        <v>1</v>
      </c>
      <c r="P911" t="n">
        <v>1</v>
      </c>
      <c r="Q911" t="n">
        <v>1</v>
      </c>
      <c r="R911" s="2" t="inlineStr">
        <is>
          <t>Fläckporing</t>
        </is>
      </c>
      <c r="S911">
        <f>HYPERLINK("https://klasma.github.io/Logging_KROKOM/artfynd/A 48863-2020.xlsx")</f>
        <v/>
      </c>
      <c r="T911">
        <f>HYPERLINK("https://klasma.github.io/Logging_KROKOM/kartor/A 48863-2020.png")</f>
        <v/>
      </c>
      <c r="V911">
        <f>HYPERLINK("https://klasma.github.io/Logging_KROKOM/klagomål/A 48863-2020.docx")</f>
        <v/>
      </c>
      <c r="W911">
        <f>HYPERLINK("https://klasma.github.io/Logging_KROKOM/klagomålsmail/A 48863-2020.docx")</f>
        <v/>
      </c>
      <c r="X911">
        <f>HYPERLINK("https://klasma.github.io/Logging_KROKOM/tillsyn/A 48863-2020.docx")</f>
        <v/>
      </c>
      <c r="Y911">
        <f>HYPERLINK("https://klasma.github.io/Logging_KROKOM/tillsynsmail/A 48863-2020.docx")</f>
        <v/>
      </c>
    </row>
    <row r="912" ht="15" customHeight="1">
      <c r="A912" t="inlineStr">
        <is>
          <t>A 51387-2020</t>
        </is>
      </c>
      <c r="B912" s="1" t="n">
        <v>44113</v>
      </c>
      <c r="C912" s="1" t="n">
        <v>45182</v>
      </c>
      <c r="D912" t="inlineStr">
        <is>
          <t>JÄMTLANDS LÄN</t>
        </is>
      </c>
      <c r="E912" t="inlineStr">
        <is>
          <t>HÄRJEDALEN</t>
        </is>
      </c>
      <c r="G912" t="n">
        <v>1</v>
      </c>
      <c r="H912" t="n">
        <v>0</v>
      </c>
      <c r="I912" t="n">
        <v>0</v>
      </c>
      <c r="J912" t="n">
        <v>0</v>
      </c>
      <c r="K912" t="n">
        <v>1</v>
      </c>
      <c r="L912" t="n">
        <v>0</v>
      </c>
      <c r="M912" t="n">
        <v>0</v>
      </c>
      <c r="N912" t="n">
        <v>0</v>
      </c>
      <c r="O912" t="n">
        <v>1</v>
      </c>
      <c r="P912" t="n">
        <v>1</v>
      </c>
      <c r="Q912" t="n">
        <v>1</v>
      </c>
      <c r="R912" s="2" t="inlineStr">
        <is>
          <t>Goliatmusseron</t>
        </is>
      </c>
      <c r="S912">
        <f>HYPERLINK("https://klasma.github.io/Logging_HARJEDALEN/artfynd/A 51387-2020.xlsx")</f>
        <v/>
      </c>
      <c r="T912">
        <f>HYPERLINK("https://klasma.github.io/Logging_HARJEDALEN/kartor/A 51387-2020.png")</f>
        <v/>
      </c>
      <c r="V912">
        <f>HYPERLINK("https://klasma.github.io/Logging_HARJEDALEN/klagomål/A 51387-2020.docx")</f>
        <v/>
      </c>
      <c r="W912">
        <f>HYPERLINK("https://klasma.github.io/Logging_HARJEDALEN/klagomålsmail/A 51387-2020.docx")</f>
        <v/>
      </c>
      <c r="X912">
        <f>HYPERLINK("https://klasma.github.io/Logging_HARJEDALEN/tillsyn/A 51387-2020.docx")</f>
        <v/>
      </c>
      <c r="Y912">
        <f>HYPERLINK("https://klasma.github.io/Logging_HARJEDALEN/tillsynsmail/A 51387-2020.docx")</f>
        <v/>
      </c>
    </row>
    <row r="913" ht="15" customHeight="1">
      <c r="A913" t="inlineStr">
        <is>
          <t>A 52542-2020</t>
        </is>
      </c>
      <c r="B913" s="1" t="n">
        <v>44116</v>
      </c>
      <c r="C913" s="1" t="n">
        <v>45182</v>
      </c>
      <c r="D913" t="inlineStr">
        <is>
          <t>JÄMTLANDS LÄN</t>
        </is>
      </c>
      <c r="E913" t="inlineStr">
        <is>
          <t>ÅRE</t>
        </is>
      </c>
      <c r="G913" t="n">
        <v>5.5</v>
      </c>
      <c r="H913" t="n">
        <v>0</v>
      </c>
      <c r="I913" t="n">
        <v>0</v>
      </c>
      <c r="J913" t="n">
        <v>1</v>
      </c>
      <c r="K913" t="n">
        <v>0</v>
      </c>
      <c r="L913" t="n">
        <v>0</v>
      </c>
      <c r="M913" t="n">
        <v>0</v>
      </c>
      <c r="N913" t="n">
        <v>0</v>
      </c>
      <c r="O913" t="n">
        <v>1</v>
      </c>
      <c r="P913" t="n">
        <v>0</v>
      </c>
      <c r="Q913" t="n">
        <v>1</v>
      </c>
      <c r="R913" s="2" t="inlineStr">
        <is>
          <t>Skrovellav</t>
        </is>
      </c>
      <c r="S913">
        <f>HYPERLINK("https://klasma.github.io/Logging_ARE/artfynd/A 52542-2020.xlsx")</f>
        <v/>
      </c>
      <c r="T913">
        <f>HYPERLINK("https://klasma.github.io/Logging_ARE/kartor/A 52542-2020.png")</f>
        <v/>
      </c>
      <c r="V913">
        <f>HYPERLINK("https://klasma.github.io/Logging_ARE/klagomål/A 52542-2020.docx")</f>
        <v/>
      </c>
      <c r="W913">
        <f>HYPERLINK("https://klasma.github.io/Logging_ARE/klagomålsmail/A 52542-2020.docx")</f>
        <v/>
      </c>
      <c r="X913">
        <f>HYPERLINK("https://klasma.github.io/Logging_ARE/tillsyn/A 52542-2020.docx")</f>
        <v/>
      </c>
      <c r="Y913">
        <f>HYPERLINK("https://klasma.github.io/Logging_ARE/tillsynsmail/A 52542-2020.docx")</f>
        <v/>
      </c>
    </row>
    <row r="914" ht="15" customHeight="1">
      <c r="A914" t="inlineStr">
        <is>
          <t>A 52095-2020</t>
        </is>
      </c>
      <c r="B914" s="1" t="n">
        <v>44117</v>
      </c>
      <c r="C914" s="1" t="n">
        <v>45182</v>
      </c>
      <c r="D914" t="inlineStr">
        <is>
          <t>JÄMTLANDS LÄN</t>
        </is>
      </c>
      <c r="E914" t="inlineStr">
        <is>
          <t>ÅRE</t>
        </is>
      </c>
      <c r="G914" t="n">
        <v>4.1</v>
      </c>
      <c r="H914" t="n">
        <v>0</v>
      </c>
      <c r="I914" t="n">
        <v>0</v>
      </c>
      <c r="J914" t="n">
        <v>1</v>
      </c>
      <c r="K914" t="n">
        <v>0</v>
      </c>
      <c r="L914" t="n">
        <v>0</v>
      </c>
      <c r="M914" t="n">
        <v>0</v>
      </c>
      <c r="N914" t="n">
        <v>0</v>
      </c>
      <c r="O914" t="n">
        <v>1</v>
      </c>
      <c r="P914" t="n">
        <v>0</v>
      </c>
      <c r="Q914" t="n">
        <v>1</v>
      </c>
      <c r="R914" s="2" t="inlineStr">
        <is>
          <t>Dofttaggsvamp</t>
        </is>
      </c>
      <c r="S914">
        <f>HYPERLINK("https://klasma.github.io/Logging_ARE/artfynd/A 52095-2020.xlsx")</f>
        <v/>
      </c>
      <c r="T914">
        <f>HYPERLINK("https://klasma.github.io/Logging_ARE/kartor/A 52095-2020.png")</f>
        <v/>
      </c>
      <c r="V914">
        <f>HYPERLINK("https://klasma.github.io/Logging_ARE/klagomål/A 52095-2020.docx")</f>
        <v/>
      </c>
      <c r="W914">
        <f>HYPERLINK("https://klasma.github.io/Logging_ARE/klagomålsmail/A 52095-2020.docx")</f>
        <v/>
      </c>
      <c r="X914">
        <f>HYPERLINK("https://klasma.github.io/Logging_ARE/tillsyn/A 52095-2020.docx")</f>
        <v/>
      </c>
      <c r="Y914">
        <f>HYPERLINK("https://klasma.github.io/Logging_ARE/tillsynsmail/A 52095-2020.docx")</f>
        <v/>
      </c>
    </row>
    <row r="915" ht="15" customHeight="1">
      <c r="A915" t="inlineStr">
        <is>
          <t>A 52898-2020</t>
        </is>
      </c>
      <c r="B915" s="1" t="n">
        <v>44119</v>
      </c>
      <c r="C915" s="1" t="n">
        <v>45182</v>
      </c>
      <c r="D915" t="inlineStr">
        <is>
          <t>JÄMTLANDS LÄN</t>
        </is>
      </c>
      <c r="E915" t="inlineStr">
        <is>
          <t>RAGUNDA</t>
        </is>
      </c>
      <c r="G915" t="n">
        <v>1.4</v>
      </c>
      <c r="H915" t="n">
        <v>1</v>
      </c>
      <c r="I915" t="n">
        <v>0</v>
      </c>
      <c r="J915" t="n">
        <v>0</v>
      </c>
      <c r="K915" t="n">
        <v>0</v>
      </c>
      <c r="L915" t="n">
        <v>0</v>
      </c>
      <c r="M915" t="n">
        <v>0</v>
      </c>
      <c r="N915" t="n">
        <v>0</v>
      </c>
      <c r="O915" t="n">
        <v>0</v>
      </c>
      <c r="P915" t="n">
        <v>0</v>
      </c>
      <c r="Q915" t="n">
        <v>1</v>
      </c>
      <c r="R915" s="2" t="inlineStr">
        <is>
          <t>Revlummer</t>
        </is>
      </c>
      <c r="S915">
        <f>HYPERLINK("https://klasma.github.io/Logging_RAGUNDA/artfynd/A 52898-2020.xlsx")</f>
        <v/>
      </c>
      <c r="T915">
        <f>HYPERLINK("https://klasma.github.io/Logging_RAGUNDA/kartor/A 52898-2020.png")</f>
        <v/>
      </c>
      <c r="V915">
        <f>HYPERLINK("https://klasma.github.io/Logging_RAGUNDA/klagomål/A 52898-2020.docx")</f>
        <v/>
      </c>
      <c r="W915">
        <f>HYPERLINK("https://klasma.github.io/Logging_RAGUNDA/klagomålsmail/A 52898-2020.docx")</f>
        <v/>
      </c>
      <c r="X915">
        <f>HYPERLINK("https://klasma.github.io/Logging_RAGUNDA/tillsyn/A 52898-2020.docx")</f>
        <v/>
      </c>
      <c r="Y915">
        <f>HYPERLINK("https://klasma.github.io/Logging_RAGUNDA/tillsynsmail/A 52898-2020.docx")</f>
        <v/>
      </c>
    </row>
    <row r="916" ht="15" customHeight="1">
      <c r="A916" t="inlineStr">
        <is>
          <t>A 53598-2020</t>
        </is>
      </c>
      <c r="B916" s="1" t="n">
        <v>44124</v>
      </c>
      <c r="C916" s="1" t="n">
        <v>45182</v>
      </c>
      <c r="D916" t="inlineStr">
        <is>
          <t>JÄMTLANDS LÄN</t>
        </is>
      </c>
      <c r="E916" t="inlineStr">
        <is>
          <t>ÅRE</t>
        </is>
      </c>
      <c r="G916" t="n">
        <v>11.7</v>
      </c>
      <c r="H916" t="n">
        <v>1</v>
      </c>
      <c r="I916" t="n">
        <v>0</v>
      </c>
      <c r="J916" t="n">
        <v>1</v>
      </c>
      <c r="K916" t="n">
        <v>0</v>
      </c>
      <c r="L916" t="n">
        <v>0</v>
      </c>
      <c r="M916" t="n">
        <v>0</v>
      </c>
      <c r="N916" t="n">
        <v>0</v>
      </c>
      <c r="O916" t="n">
        <v>1</v>
      </c>
      <c r="P916" t="n">
        <v>0</v>
      </c>
      <c r="Q916" t="n">
        <v>1</v>
      </c>
      <c r="R916" s="2" t="inlineStr">
        <is>
          <t>Tretåig hackspett</t>
        </is>
      </c>
      <c r="S916">
        <f>HYPERLINK("https://klasma.github.io/Logging_ARE/artfynd/A 53598-2020.xlsx")</f>
        <v/>
      </c>
      <c r="T916">
        <f>HYPERLINK("https://klasma.github.io/Logging_ARE/kartor/A 53598-2020.png")</f>
        <v/>
      </c>
      <c r="V916">
        <f>HYPERLINK("https://klasma.github.io/Logging_ARE/klagomål/A 53598-2020.docx")</f>
        <v/>
      </c>
      <c r="W916">
        <f>HYPERLINK("https://klasma.github.io/Logging_ARE/klagomålsmail/A 53598-2020.docx")</f>
        <v/>
      </c>
      <c r="X916">
        <f>HYPERLINK("https://klasma.github.io/Logging_ARE/tillsyn/A 53598-2020.docx")</f>
        <v/>
      </c>
      <c r="Y916">
        <f>HYPERLINK("https://klasma.github.io/Logging_ARE/tillsynsmail/A 53598-2020.docx")</f>
        <v/>
      </c>
    </row>
    <row r="917" ht="15" customHeight="1">
      <c r="A917" t="inlineStr">
        <is>
          <t>A 54372-2020</t>
        </is>
      </c>
      <c r="B917" s="1" t="n">
        <v>44126</v>
      </c>
      <c r="C917" s="1" t="n">
        <v>45182</v>
      </c>
      <c r="D917" t="inlineStr">
        <is>
          <t>JÄMTLANDS LÄN</t>
        </is>
      </c>
      <c r="E917" t="inlineStr">
        <is>
          <t>STRÖMSUND</t>
        </is>
      </c>
      <c r="F917" t="inlineStr">
        <is>
          <t>Holmen skog AB</t>
        </is>
      </c>
      <c r="G917" t="n">
        <v>5.1</v>
      </c>
      <c r="H917" t="n">
        <v>0</v>
      </c>
      <c r="I917" t="n">
        <v>0</v>
      </c>
      <c r="J917" t="n">
        <v>1</v>
      </c>
      <c r="K917" t="n">
        <v>0</v>
      </c>
      <c r="L917" t="n">
        <v>0</v>
      </c>
      <c r="M917" t="n">
        <v>0</v>
      </c>
      <c r="N917" t="n">
        <v>0</v>
      </c>
      <c r="O917" t="n">
        <v>1</v>
      </c>
      <c r="P917" t="n">
        <v>0</v>
      </c>
      <c r="Q917" t="n">
        <v>1</v>
      </c>
      <c r="R917" s="2" t="inlineStr">
        <is>
          <t>Reliktbock</t>
        </is>
      </c>
      <c r="S917">
        <f>HYPERLINK("https://klasma.github.io/Logging_STROMSUND/artfynd/A 54372-2020.xlsx")</f>
        <v/>
      </c>
      <c r="T917">
        <f>HYPERLINK("https://klasma.github.io/Logging_STROMSUND/kartor/A 54372-2020.png")</f>
        <v/>
      </c>
      <c r="V917">
        <f>HYPERLINK("https://klasma.github.io/Logging_STROMSUND/klagomål/A 54372-2020.docx")</f>
        <v/>
      </c>
      <c r="W917">
        <f>HYPERLINK("https://klasma.github.io/Logging_STROMSUND/klagomålsmail/A 54372-2020.docx")</f>
        <v/>
      </c>
      <c r="X917">
        <f>HYPERLINK("https://klasma.github.io/Logging_STROMSUND/tillsyn/A 54372-2020.docx")</f>
        <v/>
      </c>
      <c r="Y917">
        <f>HYPERLINK("https://klasma.github.io/Logging_STROMSUND/tillsynsmail/A 54372-2020.docx")</f>
        <v/>
      </c>
    </row>
    <row r="918" ht="15" customHeight="1">
      <c r="A918" t="inlineStr">
        <is>
          <t>A 54982-2020</t>
        </is>
      </c>
      <c r="B918" s="1" t="n">
        <v>44130</v>
      </c>
      <c r="C918" s="1" t="n">
        <v>45182</v>
      </c>
      <c r="D918" t="inlineStr">
        <is>
          <t>JÄMTLANDS LÄN</t>
        </is>
      </c>
      <c r="E918" t="inlineStr">
        <is>
          <t>STRÖMSUND</t>
        </is>
      </c>
      <c r="F918" t="inlineStr">
        <is>
          <t>Holmen skog AB</t>
        </is>
      </c>
      <c r="G918" t="n">
        <v>5.7</v>
      </c>
      <c r="H918" t="n">
        <v>0</v>
      </c>
      <c r="I918" t="n">
        <v>0</v>
      </c>
      <c r="J918" t="n">
        <v>0</v>
      </c>
      <c r="K918" t="n">
        <v>1</v>
      </c>
      <c r="L918" t="n">
        <v>0</v>
      </c>
      <c r="M918" t="n">
        <v>0</v>
      </c>
      <c r="N918" t="n">
        <v>0</v>
      </c>
      <c r="O918" t="n">
        <v>1</v>
      </c>
      <c r="P918" t="n">
        <v>1</v>
      </c>
      <c r="Q918" t="n">
        <v>1</v>
      </c>
      <c r="R918" s="2" t="inlineStr">
        <is>
          <t>Norsk näverlav</t>
        </is>
      </c>
      <c r="S918">
        <f>HYPERLINK("https://klasma.github.io/Logging_STROMSUND/artfynd/A 54982-2020.xlsx")</f>
        <v/>
      </c>
      <c r="T918">
        <f>HYPERLINK("https://klasma.github.io/Logging_STROMSUND/kartor/A 54982-2020.png")</f>
        <v/>
      </c>
      <c r="V918">
        <f>HYPERLINK("https://klasma.github.io/Logging_STROMSUND/klagomål/A 54982-2020.docx")</f>
        <v/>
      </c>
      <c r="W918">
        <f>HYPERLINK("https://klasma.github.io/Logging_STROMSUND/klagomålsmail/A 54982-2020.docx")</f>
        <v/>
      </c>
      <c r="X918">
        <f>HYPERLINK("https://klasma.github.io/Logging_STROMSUND/tillsyn/A 54982-2020.docx")</f>
        <v/>
      </c>
      <c r="Y918">
        <f>HYPERLINK("https://klasma.github.io/Logging_STROMSUND/tillsynsmail/A 54982-2020.docx")</f>
        <v/>
      </c>
    </row>
    <row r="919" ht="15" customHeight="1">
      <c r="A919" t="inlineStr">
        <is>
          <t>A 58560-2020</t>
        </is>
      </c>
      <c r="B919" s="1" t="n">
        <v>44145</v>
      </c>
      <c r="C919" s="1" t="n">
        <v>45182</v>
      </c>
      <c r="D919" t="inlineStr">
        <is>
          <t>JÄMTLANDS LÄN</t>
        </is>
      </c>
      <c r="E919" t="inlineStr">
        <is>
          <t>STRÖMSUND</t>
        </is>
      </c>
      <c r="F919" t="inlineStr">
        <is>
          <t>Holmen skog AB</t>
        </is>
      </c>
      <c r="G919" t="n">
        <v>17.7</v>
      </c>
      <c r="H919" t="n">
        <v>0</v>
      </c>
      <c r="I919" t="n">
        <v>0</v>
      </c>
      <c r="J919" t="n">
        <v>0</v>
      </c>
      <c r="K919" t="n">
        <v>1</v>
      </c>
      <c r="L919" t="n">
        <v>0</v>
      </c>
      <c r="M919" t="n">
        <v>0</v>
      </c>
      <c r="N919" t="n">
        <v>0</v>
      </c>
      <c r="O919" t="n">
        <v>1</v>
      </c>
      <c r="P919" t="n">
        <v>1</v>
      </c>
      <c r="Q919" t="n">
        <v>1</v>
      </c>
      <c r="R919" s="2" t="inlineStr">
        <is>
          <t>Smalskaftslav</t>
        </is>
      </c>
      <c r="S919">
        <f>HYPERLINK("https://klasma.github.io/Logging_STROMSUND/artfynd/A 58560-2020.xlsx")</f>
        <v/>
      </c>
      <c r="T919">
        <f>HYPERLINK("https://klasma.github.io/Logging_STROMSUND/kartor/A 58560-2020.png")</f>
        <v/>
      </c>
      <c r="V919">
        <f>HYPERLINK("https://klasma.github.io/Logging_STROMSUND/klagomål/A 58560-2020.docx")</f>
        <v/>
      </c>
      <c r="W919">
        <f>HYPERLINK("https://klasma.github.io/Logging_STROMSUND/klagomålsmail/A 58560-2020.docx")</f>
        <v/>
      </c>
      <c r="X919">
        <f>HYPERLINK("https://klasma.github.io/Logging_STROMSUND/tillsyn/A 58560-2020.docx")</f>
        <v/>
      </c>
      <c r="Y919">
        <f>HYPERLINK("https://klasma.github.io/Logging_STROMSUND/tillsynsmail/A 58560-2020.docx")</f>
        <v/>
      </c>
    </row>
    <row r="920" ht="15" customHeight="1">
      <c r="A920" t="inlineStr">
        <is>
          <t>A 60051-2020</t>
        </is>
      </c>
      <c r="B920" s="1" t="n">
        <v>44151</v>
      </c>
      <c r="C920" s="1" t="n">
        <v>45182</v>
      </c>
      <c r="D920" t="inlineStr">
        <is>
          <t>JÄMTLANDS LÄN</t>
        </is>
      </c>
      <c r="E920" t="inlineStr">
        <is>
          <t>BRÄCKE</t>
        </is>
      </c>
      <c r="F920" t="inlineStr">
        <is>
          <t>SCA</t>
        </is>
      </c>
      <c r="G920" t="n">
        <v>9.300000000000001</v>
      </c>
      <c r="H920" t="n">
        <v>0</v>
      </c>
      <c r="I920" t="n">
        <v>0</v>
      </c>
      <c r="J920" t="n">
        <v>1</v>
      </c>
      <c r="K920" t="n">
        <v>0</v>
      </c>
      <c r="L920" t="n">
        <v>0</v>
      </c>
      <c r="M920" t="n">
        <v>0</v>
      </c>
      <c r="N920" t="n">
        <v>0</v>
      </c>
      <c r="O920" t="n">
        <v>1</v>
      </c>
      <c r="P920" t="n">
        <v>0</v>
      </c>
      <c r="Q920" t="n">
        <v>1</v>
      </c>
      <c r="R920" s="2" t="inlineStr">
        <is>
          <t>Lunglav</t>
        </is>
      </c>
      <c r="S920">
        <f>HYPERLINK("https://klasma.github.io/Logging_BRACKE/artfynd/A 60051-2020.xlsx")</f>
        <v/>
      </c>
      <c r="T920">
        <f>HYPERLINK("https://klasma.github.io/Logging_BRACKE/kartor/A 60051-2020.png")</f>
        <v/>
      </c>
      <c r="V920">
        <f>HYPERLINK("https://klasma.github.io/Logging_BRACKE/klagomål/A 60051-2020.docx")</f>
        <v/>
      </c>
      <c r="W920">
        <f>HYPERLINK("https://klasma.github.io/Logging_BRACKE/klagomålsmail/A 60051-2020.docx")</f>
        <v/>
      </c>
      <c r="X920">
        <f>HYPERLINK("https://klasma.github.io/Logging_BRACKE/tillsyn/A 60051-2020.docx")</f>
        <v/>
      </c>
      <c r="Y920">
        <f>HYPERLINK("https://klasma.github.io/Logging_BRACKE/tillsynsmail/A 60051-2020.docx")</f>
        <v/>
      </c>
    </row>
    <row r="921" ht="15" customHeight="1">
      <c r="A921" t="inlineStr">
        <is>
          <t>A 61054-2020</t>
        </is>
      </c>
      <c r="B921" s="1" t="n">
        <v>44154</v>
      </c>
      <c r="C921" s="1" t="n">
        <v>45182</v>
      </c>
      <c r="D921" t="inlineStr">
        <is>
          <t>JÄMTLANDS LÄN</t>
        </is>
      </c>
      <c r="E921" t="inlineStr">
        <is>
          <t>KROKOM</t>
        </is>
      </c>
      <c r="F921" t="inlineStr">
        <is>
          <t>Övriga Aktiebolag</t>
        </is>
      </c>
      <c r="G921" t="n">
        <v>1.2</v>
      </c>
      <c r="H921" t="n">
        <v>1</v>
      </c>
      <c r="I921" t="n">
        <v>1</v>
      </c>
      <c r="J921" t="n">
        <v>0</v>
      </c>
      <c r="K921" t="n">
        <v>0</v>
      </c>
      <c r="L921" t="n">
        <v>0</v>
      </c>
      <c r="M921" t="n">
        <v>0</v>
      </c>
      <c r="N921" t="n">
        <v>0</v>
      </c>
      <c r="O921" t="n">
        <v>0</v>
      </c>
      <c r="P921" t="n">
        <v>0</v>
      </c>
      <c r="Q921" t="n">
        <v>1</v>
      </c>
      <c r="R921" s="2" t="inlineStr">
        <is>
          <t>Korallrot</t>
        </is>
      </c>
      <c r="S921">
        <f>HYPERLINK("https://klasma.github.io/Logging_KROKOM/artfynd/A 61054-2020.xlsx")</f>
        <v/>
      </c>
      <c r="T921">
        <f>HYPERLINK("https://klasma.github.io/Logging_KROKOM/kartor/A 61054-2020.png")</f>
        <v/>
      </c>
      <c r="V921">
        <f>HYPERLINK("https://klasma.github.io/Logging_KROKOM/klagomål/A 61054-2020.docx")</f>
        <v/>
      </c>
      <c r="W921">
        <f>HYPERLINK("https://klasma.github.io/Logging_KROKOM/klagomålsmail/A 61054-2020.docx")</f>
        <v/>
      </c>
      <c r="X921">
        <f>HYPERLINK("https://klasma.github.io/Logging_KROKOM/tillsyn/A 61054-2020.docx")</f>
        <v/>
      </c>
      <c r="Y921">
        <f>HYPERLINK("https://klasma.github.io/Logging_KROKOM/tillsynsmail/A 61054-2020.docx")</f>
        <v/>
      </c>
    </row>
    <row r="922" ht="15" customHeight="1">
      <c r="A922" t="inlineStr">
        <is>
          <t>A 63775-2020</t>
        </is>
      </c>
      <c r="B922" s="1" t="n">
        <v>44165</v>
      </c>
      <c r="C922" s="1" t="n">
        <v>45182</v>
      </c>
      <c r="D922" t="inlineStr">
        <is>
          <t>JÄMTLANDS LÄN</t>
        </is>
      </c>
      <c r="E922" t="inlineStr">
        <is>
          <t>ÖSTERSUND</t>
        </is>
      </c>
      <c r="G922" t="n">
        <v>6.2</v>
      </c>
      <c r="H922" t="n">
        <v>1</v>
      </c>
      <c r="I922" t="n">
        <v>0</v>
      </c>
      <c r="J922" t="n">
        <v>0</v>
      </c>
      <c r="K922" t="n">
        <v>0</v>
      </c>
      <c r="L922" t="n">
        <v>0</v>
      </c>
      <c r="M922" t="n">
        <v>0</v>
      </c>
      <c r="N922" t="n">
        <v>0</v>
      </c>
      <c r="O922" t="n">
        <v>0</v>
      </c>
      <c r="P922" t="n">
        <v>0</v>
      </c>
      <c r="Q922" t="n">
        <v>1</v>
      </c>
      <c r="R922" s="2" t="inlineStr">
        <is>
          <t>Fläcknycklar</t>
        </is>
      </c>
      <c r="S922">
        <f>HYPERLINK("https://klasma.github.io/Logging_OSTERSUND/artfynd/A 63775-2020.xlsx")</f>
        <v/>
      </c>
      <c r="T922">
        <f>HYPERLINK("https://klasma.github.io/Logging_OSTERSUND/kartor/A 63775-2020.png")</f>
        <v/>
      </c>
      <c r="V922">
        <f>HYPERLINK("https://klasma.github.io/Logging_OSTERSUND/klagomål/A 63775-2020.docx")</f>
        <v/>
      </c>
      <c r="W922">
        <f>HYPERLINK("https://klasma.github.io/Logging_OSTERSUND/klagomålsmail/A 63775-2020.docx")</f>
        <v/>
      </c>
      <c r="X922">
        <f>HYPERLINK("https://klasma.github.io/Logging_OSTERSUND/tillsyn/A 63775-2020.docx")</f>
        <v/>
      </c>
      <c r="Y922">
        <f>HYPERLINK("https://klasma.github.io/Logging_OSTERSUND/tillsynsmail/A 63775-2020.docx")</f>
        <v/>
      </c>
    </row>
    <row r="923" ht="15" customHeight="1">
      <c r="A923" t="inlineStr">
        <is>
          <t>A 64363-2020</t>
        </is>
      </c>
      <c r="B923" s="1" t="n">
        <v>44166</v>
      </c>
      <c r="C923" s="1" t="n">
        <v>45182</v>
      </c>
      <c r="D923" t="inlineStr">
        <is>
          <t>JÄMTLANDS LÄN</t>
        </is>
      </c>
      <c r="E923" t="inlineStr">
        <is>
          <t>RAGUNDA</t>
        </is>
      </c>
      <c r="G923" t="n">
        <v>4.5</v>
      </c>
      <c r="H923" t="n">
        <v>1</v>
      </c>
      <c r="I923" t="n">
        <v>0</v>
      </c>
      <c r="J923" t="n">
        <v>0</v>
      </c>
      <c r="K923" t="n">
        <v>1</v>
      </c>
      <c r="L923" t="n">
        <v>0</v>
      </c>
      <c r="M923" t="n">
        <v>0</v>
      </c>
      <c r="N923" t="n">
        <v>0</v>
      </c>
      <c r="O923" t="n">
        <v>1</v>
      </c>
      <c r="P923" t="n">
        <v>1</v>
      </c>
      <c r="Q923" t="n">
        <v>1</v>
      </c>
      <c r="R923" s="2" t="inlineStr">
        <is>
          <t>Bombmurkla</t>
        </is>
      </c>
      <c r="S923">
        <f>HYPERLINK("https://klasma.github.io/Logging_RAGUNDA/artfynd/A 64363-2020.xlsx")</f>
        <v/>
      </c>
      <c r="T923">
        <f>HYPERLINK("https://klasma.github.io/Logging_RAGUNDA/kartor/A 64363-2020.png")</f>
        <v/>
      </c>
      <c r="V923">
        <f>HYPERLINK("https://klasma.github.io/Logging_RAGUNDA/klagomål/A 64363-2020.docx")</f>
        <v/>
      </c>
      <c r="W923">
        <f>HYPERLINK("https://klasma.github.io/Logging_RAGUNDA/klagomålsmail/A 64363-2020.docx")</f>
        <v/>
      </c>
      <c r="X923">
        <f>HYPERLINK("https://klasma.github.io/Logging_RAGUNDA/tillsyn/A 64363-2020.docx")</f>
        <v/>
      </c>
      <c r="Y923">
        <f>HYPERLINK("https://klasma.github.io/Logging_RAGUNDA/tillsynsmail/A 64363-2020.docx")</f>
        <v/>
      </c>
    </row>
    <row r="924" ht="15" customHeight="1">
      <c r="A924" t="inlineStr">
        <is>
          <t>A 64791-2020</t>
        </is>
      </c>
      <c r="B924" s="1" t="n">
        <v>44169</v>
      </c>
      <c r="C924" s="1" t="n">
        <v>45182</v>
      </c>
      <c r="D924" t="inlineStr">
        <is>
          <t>JÄMTLANDS LÄN</t>
        </is>
      </c>
      <c r="E924" t="inlineStr">
        <is>
          <t>STRÖMSUND</t>
        </is>
      </c>
      <c r="G924" t="n">
        <v>3.1</v>
      </c>
      <c r="H924" t="n">
        <v>1</v>
      </c>
      <c r="I924" t="n">
        <v>0</v>
      </c>
      <c r="J924" t="n">
        <v>0</v>
      </c>
      <c r="K924" t="n">
        <v>0</v>
      </c>
      <c r="L924" t="n">
        <v>0</v>
      </c>
      <c r="M924" t="n">
        <v>0</v>
      </c>
      <c r="N924" t="n">
        <v>0</v>
      </c>
      <c r="O924" t="n">
        <v>0</v>
      </c>
      <c r="P924" t="n">
        <v>0</v>
      </c>
      <c r="Q924" t="n">
        <v>1</v>
      </c>
      <c r="R924" s="2" t="inlineStr">
        <is>
          <t>Fläcknycklar</t>
        </is>
      </c>
      <c r="S924">
        <f>HYPERLINK("https://klasma.github.io/Logging_STROMSUND/artfynd/A 64791-2020.xlsx")</f>
        <v/>
      </c>
      <c r="T924">
        <f>HYPERLINK("https://klasma.github.io/Logging_STROMSUND/kartor/A 64791-2020.png")</f>
        <v/>
      </c>
      <c r="V924">
        <f>HYPERLINK("https://klasma.github.io/Logging_STROMSUND/klagomål/A 64791-2020.docx")</f>
        <v/>
      </c>
      <c r="W924">
        <f>HYPERLINK("https://klasma.github.io/Logging_STROMSUND/klagomålsmail/A 64791-2020.docx")</f>
        <v/>
      </c>
      <c r="X924">
        <f>HYPERLINK("https://klasma.github.io/Logging_STROMSUND/tillsyn/A 64791-2020.docx")</f>
        <v/>
      </c>
      <c r="Y924">
        <f>HYPERLINK("https://klasma.github.io/Logging_STROMSUND/tillsynsmail/A 64791-2020.docx")</f>
        <v/>
      </c>
    </row>
    <row r="925" ht="15" customHeight="1">
      <c r="A925" t="inlineStr">
        <is>
          <t>A 64823-2020</t>
        </is>
      </c>
      <c r="B925" s="1" t="n">
        <v>44169</v>
      </c>
      <c r="C925" s="1" t="n">
        <v>45182</v>
      </c>
      <c r="D925" t="inlineStr">
        <is>
          <t>JÄMTLANDS LÄN</t>
        </is>
      </c>
      <c r="E925" t="inlineStr">
        <is>
          <t>STRÖMSUND</t>
        </is>
      </c>
      <c r="F925" t="inlineStr">
        <is>
          <t>SCA</t>
        </is>
      </c>
      <c r="G925" t="n">
        <v>11.3</v>
      </c>
      <c r="H925" t="n">
        <v>1</v>
      </c>
      <c r="I925" t="n">
        <v>0</v>
      </c>
      <c r="J925" t="n">
        <v>0</v>
      </c>
      <c r="K925" t="n">
        <v>1</v>
      </c>
      <c r="L925" t="n">
        <v>0</v>
      </c>
      <c r="M925" t="n">
        <v>0</v>
      </c>
      <c r="N925" t="n">
        <v>0</v>
      </c>
      <c r="O925" t="n">
        <v>1</v>
      </c>
      <c r="P925" t="n">
        <v>1</v>
      </c>
      <c r="Q925" t="n">
        <v>1</v>
      </c>
      <c r="R925" s="2" t="inlineStr">
        <is>
          <t>Knärot</t>
        </is>
      </c>
      <c r="S925">
        <f>HYPERLINK("https://klasma.github.io/Logging_STROMSUND/artfynd/A 64823-2020.xlsx")</f>
        <v/>
      </c>
      <c r="T925">
        <f>HYPERLINK("https://klasma.github.io/Logging_STROMSUND/kartor/A 64823-2020.png")</f>
        <v/>
      </c>
      <c r="U925">
        <f>HYPERLINK("https://klasma.github.io/Logging_STROMSUND/knärot/A 64823-2020.png")</f>
        <v/>
      </c>
      <c r="V925">
        <f>HYPERLINK("https://klasma.github.io/Logging_STROMSUND/klagomål/A 64823-2020.docx")</f>
        <v/>
      </c>
      <c r="W925">
        <f>HYPERLINK("https://klasma.github.io/Logging_STROMSUND/klagomålsmail/A 64823-2020.docx")</f>
        <v/>
      </c>
      <c r="X925">
        <f>HYPERLINK("https://klasma.github.io/Logging_STROMSUND/tillsyn/A 64823-2020.docx")</f>
        <v/>
      </c>
      <c r="Y925">
        <f>HYPERLINK("https://klasma.github.io/Logging_STROMSUND/tillsynsmail/A 64823-2020.docx")</f>
        <v/>
      </c>
    </row>
    <row r="926" ht="15" customHeight="1">
      <c r="A926" t="inlineStr">
        <is>
          <t>A 65517-2020</t>
        </is>
      </c>
      <c r="B926" s="1" t="n">
        <v>44173</v>
      </c>
      <c r="C926" s="1" t="n">
        <v>45182</v>
      </c>
      <c r="D926" t="inlineStr">
        <is>
          <t>JÄMTLANDS LÄN</t>
        </is>
      </c>
      <c r="E926" t="inlineStr">
        <is>
          <t>ÅRE</t>
        </is>
      </c>
      <c r="G926" t="n">
        <v>4.6</v>
      </c>
      <c r="H926" t="n">
        <v>0</v>
      </c>
      <c r="I926" t="n">
        <v>0</v>
      </c>
      <c r="J926" t="n">
        <v>1</v>
      </c>
      <c r="K926" t="n">
        <v>0</v>
      </c>
      <c r="L926" t="n">
        <v>0</v>
      </c>
      <c r="M926" t="n">
        <v>0</v>
      </c>
      <c r="N926" t="n">
        <v>0</v>
      </c>
      <c r="O926" t="n">
        <v>1</v>
      </c>
      <c r="P926" t="n">
        <v>0</v>
      </c>
      <c r="Q926" t="n">
        <v>1</v>
      </c>
      <c r="R926" s="2" t="inlineStr">
        <is>
          <t>Doftskinn</t>
        </is>
      </c>
      <c r="S926">
        <f>HYPERLINK("https://klasma.github.io/Logging_ARE/artfynd/A 65517-2020.xlsx")</f>
        <v/>
      </c>
      <c r="T926">
        <f>HYPERLINK("https://klasma.github.io/Logging_ARE/kartor/A 65517-2020.png")</f>
        <v/>
      </c>
      <c r="V926">
        <f>HYPERLINK("https://klasma.github.io/Logging_ARE/klagomål/A 65517-2020.docx")</f>
        <v/>
      </c>
      <c r="W926">
        <f>HYPERLINK("https://klasma.github.io/Logging_ARE/klagomålsmail/A 65517-2020.docx")</f>
        <v/>
      </c>
      <c r="X926">
        <f>HYPERLINK("https://klasma.github.io/Logging_ARE/tillsyn/A 65517-2020.docx")</f>
        <v/>
      </c>
      <c r="Y926">
        <f>HYPERLINK("https://klasma.github.io/Logging_ARE/tillsynsmail/A 65517-2020.docx")</f>
        <v/>
      </c>
    </row>
    <row r="927" ht="15" customHeight="1">
      <c r="A927" t="inlineStr">
        <is>
          <t>A 65446-2020</t>
        </is>
      </c>
      <c r="B927" s="1" t="n">
        <v>44173</v>
      </c>
      <c r="C927" s="1" t="n">
        <v>45182</v>
      </c>
      <c r="D927" t="inlineStr">
        <is>
          <t>JÄMTLANDS LÄN</t>
        </is>
      </c>
      <c r="E927" t="inlineStr">
        <is>
          <t>ÅRE</t>
        </is>
      </c>
      <c r="G927" t="n">
        <v>7.2</v>
      </c>
      <c r="H927" t="n">
        <v>0</v>
      </c>
      <c r="I927" t="n">
        <v>0</v>
      </c>
      <c r="J927" t="n">
        <v>1</v>
      </c>
      <c r="K927" t="n">
        <v>0</v>
      </c>
      <c r="L927" t="n">
        <v>0</v>
      </c>
      <c r="M927" t="n">
        <v>0</v>
      </c>
      <c r="N927" t="n">
        <v>0</v>
      </c>
      <c r="O927" t="n">
        <v>1</v>
      </c>
      <c r="P927" t="n">
        <v>0</v>
      </c>
      <c r="Q927" t="n">
        <v>1</v>
      </c>
      <c r="R927" s="2" t="inlineStr">
        <is>
          <t>Ullticka</t>
        </is>
      </c>
      <c r="S927">
        <f>HYPERLINK("https://klasma.github.io/Logging_ARE/artfynd/A 65446-2020.xlsx")</f>
        <v/>
      </c>
      <c r="T927">
        <f>HYPERLINK("https://klasma.github.io/Logging_ARE/kartor/A 65446-2020.png")</f>
        <v/>
      </c>
      <c r="V927">
        <f>HYPERLINK("https://klasma.github.io/Logging_ARE/klagomål/A 65446-2020.docx")</f>
        <v/>
      </c>
      <c r="W927">
        <f>HYPERLINK("https://klasma.github.io/Logging_ARE/klagomålsmail/A 65446-2020.docx")</f>
        <v/>
      </c>
      <c r="X927">
        <f>HYPERLINK("https://klasma.github.io/Logging_ARE/tillsyn/A 65446-2020.docx")</f>
        <v/>
      </c>
      <c r="Y927">
        <f>HYPERLINK("https://klasma.github.io/Logging_ARE/tillsynsmail/A 65446-2020.docx")</f>
        <v/>
      </c>
    </row>
    <row r="928" ht="15" customHeight="1">
      <c r="A928" t="inlineStr">
        <is>
          <t>A 66717-2020</t>
        </is>
      </c>
      <c r="B928" s="1" t="n">
        <v>44179</v>
      </c>
      <c r="C928" s="1" t="n">
        <v>45182</v>
      </c>
      <c r="D928" t="inlineStr">
        <is>
          <t>JÄMTLANDS LÄN</t>
        </is>
      </c>
      <c r="E928" t="inlineStr">
        <is>
          <t>STRÖMSUND</t>
        </is>
      </c>
      <c r="F928" t="inlineStr">
        <is>
          <t>SCA</t>
        </is>
      </c>
      <c r="G928" t="n">
        <v>22.4</v>
      </c>
      <c r="H928" t="n">
        <v>0</v>
      </c>
      <c r="I928" t="n">
        <v>0</v>
      </c>
      <c r="J928" t="n">
        <v>1</v>
      </c>
      <c r="K928" t="n">
        <v>0</v>
      </c>
      <c r="L928" t="n">
        <v>0</v>
      </c>
      <c r="M928" t="n">
        <v>0</v>
      </c>
      <c r="N928" t="n">
        <v>0</v>
      </c>
      <c r="O928" t="n">
        <v>1</v>
      </c>
      <c r="P928" t="n">
        <v>0</v>
      </c>
      <c r="Q928" t="n">
        <v>1</v>
      </c>
      <c r="R928" s="2" t="inlineStr">
        <is>
          <t>Gränsticka</t>
        </is>
      </c>
      <c r="S928">
        <f>HYPERLINK("https://klasma.github.io/Logging_STROMSUND/artfynd/A 66717-2020.xlsx")</f>
        <v/>
      </c>
      <c r="T928">
        <f>HYPERLINK("https://klasma.github.io/Logging_STROMSUND/kartor/A 66717-2020.png")</f>
        <v/>
      </c>
      <c r="V928">
        <f>HYPERLINK("https://klasma.github.io/Logging_STROMSUND/klagomål/A 66717-2020.docx")</f>
        <v/>
      </c>
      <c r="W928">
        <f>HYPERLINK("https://klasma.github.io/Logging_STROMSUND/klagomålsmail/A 66717-2020.docx")</f>
        <v/>
      </c>
      <c r="X928">
        <f>HYPERLINK("https://klasma.github.io/Logging_STROMSUND/tillsyn/A 66717-2020.docx")</f>
        <v/>
      </c>
      <c r="Y928">
        <f>HYPERLINK("https://klasma.github.io/Logging_STROMSUND/tillsynsmail/A 66717-2020.docx")</f>
        <v/>
      </c>
    </row>
    <row r="929" ht="15" customHeight="1">
      <c r="A929" t="inlineStr">
        <is>
          <t>A 1112-2021</t>
        </is>
      </c>
      <c r="B929" s="1" t="n">
        <v>44207</v>
      </c>
      <c r="C929" s="1" t="n">
        <v>45182</v>
      </c>
      <c r="D929" t="inlineStr">
        <is>
          <t>JÄMTLANDS LÄN</t>
        </is>
      </c>
      <c r="E929" t="inlineStr">
        <is>
          <t>KROKOM</t>
        </is>
      </c>
      <c r="F929" t="inlineStr">
        <is>
          <t>Övriga Aktiebolag</t>
        </is>
      </c>
      <c r="G929" t="n">
        <v>90.7</v>
      </c>
      <c r="H929" t="n">
        <v>0</v>
      </c>
      <c r="I929" t="n">
        <v>1</v>
      </c>
      <c r="J929" t="n">
        <v>0</v>
      </c>
      <c r="K929" t="n">
        <v>0</v>
      </c>
      <c r="L929" t="n">
        <v>0</v>
      </c>
      <c r="M929" t="n">
        <v>0</v>
      </c>
      <c r="N929" t="n">
        <v>0</v>
      </c>
      <c r="O929" t="n">
        <v>0</v>
      </c>
      <c r="P929" t="n">
        <v>0</v>
      </c>
      <c r="Q929" t="n">
        <v>1</v>
      </c>
      <c r="R929" s="2" t="inlineStr">
        <is>
          <t>Kambräken</t>
        </is>
      </c>
      <c r="S929">
        <f>HYPERLINK("https://klasma.github.io/Logging_KROKOM/artfynd/A 1112-2021.xlsx")</f>
        <v/>
      </c>
      <c r="T929">
        <f>HYPERLINK("https://klasma.github.io/Logging_KROKOM/kartor/A 1112-2021.png")</f>
        <v/>
      </c>
      <c r="V929">
        <f>HYPERLINK("https://klasma.github.io/Logging_KROKOM/klagomål/A 1112-2021.docx")</f>
        <v/>
      </c>
      <c r="W929">
        <f>HYPERLINK("https://klasma.github.io/Logging_KROKOM/klagomålsmail/A 1112-2021.docx")</f>
        <v/>
      </c>
      <c r="X929">
        <f>HYPERLINK("https://klasma.github.io/Logging_KROKOM/tillsyn/A 1112-2021.docx")</f>
        <v/>
      </c>
      <c r="Y929">
        <f>HYPERLINK("https://klasma.github.io/Logging_KROKOM/tillsynsmail/A 1112-2021.docx")</f>
        <v/>
      </c>
    </row>
    <row r="930" ht="15" customHeight="1">
      <c r="A930" t="inlineStr">
        <is>
          <t>A 5527-2021</t>
        </is>
      </c>
      <c r="B930" s="1" t="n">
        <v>44230</v>
      </c>
      <c r="C930" s="1" t="n">
        <v>45182</v>
      </c>
      <c r="D930" t="inlineStr">
        <is>
          <t>JÄMTLANDS LÄN</t>
        </is>
      </c>
      <c r="E930" t="inlineStr">
        <is>
          <t>KROKOM</t>
        </is>
      </c>
      <c r="G930" t="n">
        <v>17.8</v>
      </c>
      <c r="H930" t="n">
        <v>1</v>
      </c>
      <c r="I930" t="n">
        <v>1</v>
      </c>
      <c r="J930" t="n">
        <v>0</v>
      </c>
      <c r="K930" t="n">
        <v>0</v>
      </c>
      <c r="L930" t="n">
        <v>0</v>
      </c>
      <c r="M930" t="n">
        <v>0</v>
      </c>
      <c r="N930" t="n">
        <v>0</v>
      </c>
      <c r="O930" t="n">
        <v>0</v>
      </c>
      <c r="P930" t="n">
        <v>0</v>
      </c>
      <c r="Q930" t="n">
        <v>1</v>
      </c>
      <c r="R930" s="2" t="inlineStr">
        <is>
          <t>Guckusko</t>
        </is>
      </c>
      <c r="S930">
        <f>HYPERLINK("https://klasma.github.io/Logging_KROKOM/artfynd/A 5527-2021.xlsx")</f>
        <v/>
      </c>
      <c r="T930">
        <f>HYPERLINK("https://klasma.github.io/Logging_KROKOM/kartor/A 5527-2021.png")</f>
        <v/>
      </c>
      <c r="V930">
        <f>HYPERLINK("https://klasma.github.io/Logging_KROKOM/klagomål/A 5527-2021.docx")</f>
        <v/>
      </c>
      <c r="W930">
        <f>HYPERLINK("https://klasma.github.io/Logging_KROKOM/klagomålsmail/A 5527-2021.docx")</f>
        <v/>
      </c>
      <c r="X930">
        <f>HYPERLINK("https://klasma.github.io/Logging_KROKOM/tillsyn/A 5527-2021.docx")</f>
        <v/>
      </c>
      <c r="Y930">
        <f>HYPERLINK("https://klasma.github.io/Logging_KROKOM/tillsynsmail/A 5527-2021.docx")</f>
        <v/>
      </c>
    </row>
    <row r="931" ht="15" customHeight="1">
      <c r="A931" t="inlineStr">
        <is>
          <t>A 11781-2021</t>
        </is>
      </c>
      <c r="B931" s="1" t="n">
        <v>44265</v>
      </c>
      <c r="C931" s="1" t="n">
        <v>45182</v>
      </c>
      <c r="D931" t="inlineStr">
        <is>
          <t>JÄMTLANDS LÄN</t>
        </is>
      </c>
      <c r="E931" t="inlineStr">
        <is>
          <t>ÅRE</t>
        </is>
      </c>
      <c r="G931" t="n">
        <v>4.1</v>
      </c>
      <c r="H931" t="n">
        <v>0</v>
      </c>
      <c r="I931" t="n">
        <v>1</v>
      </c>
      <c r="J931" t="n">
        <v>0</v>
      </c>
      <c r="K931" t="n">
        <v>0</v>
      </c>
      <c r="L931" t="n">
        <v>0</v>
      </c>
      <c r="M931" t="n">
        <v>0</v>
      </c>
      <c r="N931" t="n">
        <v>0</v>
      </c>
      <c r="O931" t="n">
        <v>0</v>
      </c>
      <c r="P931" t="n">
        <v>0</v>
      </c>
      <c r="Q931" t="n">
        <v>1</v>
      </c>
      <c r="R931" s="2" t="inlineStr">
        <is>
          <t>Finbräken</t>
        </is>
      </c>
      <c r="S931">
        <f>HYPERLINK("https://klasma.github.io/Logging_ARE/artfynd/A 11781-2021.xlsx")</f>
        <v/>
      </c>
      <c r="T931">
        <f>HYPERLINK("https://klasma.github.io/Logging_ARE/kartor/A 11781-2021.png")</f>
        <v/>
      </c>
      <c r="V931">
        <f>HYPERLINK("https://klasma.github.io/Logging_ARE/klagomål/A 11781-2021.docx")</f>
        <v/>
      </c>
      <c r="W931">
        <f>HYPERLINK("https://klasma.github.io/Logging_ARE/klagomålsmail/A 11781-2021.docx")</f>
        <v/>
      </c>
      <c r="X931">
        <f>HYPERLINK("https://klasma.github.io/Logging_ARE/tillsyn/A 11781-2021.docx")</f>
        <v/>
      </c>
      <c r="Y931">
        <f>HYPERLINK("https://klasma.github.io/Logging_ARE/tillsynsmail/A 11781-2021.docx")</f>
        <v/>
      </c>
    </row>
    <row r="932" ht="15" customHeight="1">
      <c r="A932" t="inlineStr">
        <is>
          <t>A 11767-2021</t>
        </is>
      </c>
      <c r="B932" s="1" t="n">
        <v>44265</v>
      </c>
      <c r="C932" s="1" t="n">
        <v>45182</v>
      </c>
      <c r="D932" t="inlineStr">
        <is>
          <t>JÄMTLANDS LÄN</t>
        </is>
      </c>
      <c r="E932" t="inlineStr">
        <is>
          <t>ÅRE</t>
        </is>
      </c>
      <c r="G932" t="n">
        <v>15.4</v>
      </c>
      <c r="H932" t="n">
        <v>1</v>
      </c>
      <c r="I932" t="n">
        <v>0</v>
      </c>
      <c r="J932" t="n">
        <v>1</v>
      </c>
      <c r="K932" t="n">
        <v>0</v>
      </c>
      <c r="L932" t="n">
        <v>0</v>
      </c>
      <c r="M932" t="n">
        <v>0</v>
      </c>
      <c r="N932" t="n">
        <v>0</v>
      </c>
      <c r="O932" t="n">
        <v>1</v>
      </c>
      <c r="P932" t="n">
        <v>0</v>
      </c>
      <c r="Q932" t="n">
        <v>1</v>
      </c>
      <c r="R932" s="2" t="inlineStr">
        <is>
          <t>Tretåig hackspett</t>
        </is>
      </c>
      <c r="S932">
        <f>HYPERLINK("https://klasma.github.io/Logging_ARE/artfynd/A 11767-2021.xlsx")</f>
        <v/>
      </c>
      <c r="T932">
        <f>HYPERLINK("https://klasma.github.io/Logging_ARE/kartor/A 11767-2021.png")</f>
        <v/>
      </c>
      <c r="V932">
        <f>HYPERLINK("https://klasma.github.io/Logging_ARE/klagomål/A 11767-2021.docx")</f>
        <v/>
      </c>
      <c r="W932">
        <f>HYPERLINK("https://klasma.github.io/Logging_ARE/klagomålsmail/A 11767-2021.docx")</f>
        <v/>
      </c>
      <c r="X932">
        <f>HYPERLINK("https://klasma.github.io/Logging_ARE/tillsyn/A 11767-2021.docx")</f>
        <v/>
      </c>
      <c r="Y932">
        <f>HYPERLINK("https://klasma.github.io/Logging_ARE/tillsynsmail/A 11767-2021.docx")</f>
        <v/>
      </c>
    </row>
    <row r="933" ht="15" customHeight="1">
      <c r="A933" t="inlineStr">
        <is>
          <t>A 12970-2021</t>
        </is>
      </c>
      <c r="B933" s="1" t="n">
        <v>44271</v>
      </c>
      <c r="C933" s="1" t="n">
        <v>45182</v>
      </c>
      <c r="D933" t="inlineStr">
        <is>
          <t>JÄMTLANDS LÄN</t>
        </is>
      </c>
      <c r="E933" t="inlineStr">
        <is>
          <t>ÅRE</t>
        </is>
      </c>
      <c r="G933" t="n">
        <v>20.5</v>
      </c>
      <c r="H933" t="n">
        <v>1</v>
      </c>
      <c r="I933" t="n">
        <v>1</v>
      </c>
      <c r="J933" t="n">
        <v>0</v>
      </c>
      <c r="K933" t="n">
        <v>0</v>
      </c>
      <c r="L933" t="n">
        <v>0</v>
      </c>
      <c r="M933" t="n">
        <v>0</v>
      </c>
      <c r="N933" t="n">
        <v>0</v>
      </c>
      <c r="O933" t="n">
        <v>0</v>
      </c>
      <c r="P933" t="n">
        <v>0</v>
      </c>
      <c r="Q933" t="n">
        <v>1</v>
      </c>
      <c r="R933" s="2" t="inlineStr">
        <is>
          <t>Spindelblomster</t>
        </is>
      </c>
      <c r="S933">
        <f>HYPERLINK("https://klasma.github.io/Logging_ARE/artfynd/A 12970-2021.xlsx")</f>
        <v/>
      </c>
      <c r="T933">
        <f>HYPERLINK("https://klasma.github.io/Logging_ARE/kartor/A 12970-2021.png")</f>
        <v/>
      </c>
      <c r="V933">
        <f>HYPERLINK("https://klasma.github.io/Logging_ARE/klagomål/A 12970-2021.docx")</f>
        <v/>
      </c>
      <c r="W933">
        <f>HYPERLINK("https://klasma.github.io/Logging_ARE/klagomålsmail/A 12970-2021.docx")</f>
        <v/>
      </c>
      <c r="X933">
        <f>HYPERLINK("https://klasma.github.io/Logging_ARE/tillsyn/A 12970-2021.docx")</f>
        <v/>
      </c>
      <c r="Y933">
        <f>HYPERLINK("https://klasma.github.io/Logging_ARE/tillsynsmail/A 12970-2021.docx")</f>
        <v/>
      </c>
    </row>
    <row r="934" ht="15" customHeight="1">
      <c r="A934" t="inlineStr">
        <is>
          <t>A 13362-2021</t>
        </is>
      </c>
      <c r="B934" s="1" t="n">
        <v>44272</v>
      </c>
      <c r="C934" s="1" t="n">
        <v>45182</v>
      </c>
      <c r="D934" t="inlineStr">
        <is>
          <t>JÄMTLANDS LÄN</t>
        </is>
      </c>
      <c r="E934" t="inlineStr">
        <is>
          <t>ÖSTERSUND</t>
        </is>
      </c>
      <c r="G934" t="n">
        <v>0.8</v>
      </c>
      <c r="H934" t="n">
        <v>1</v>
      </c>
      <c r="I934" t="n">
        <v>0</v>
      </c>
      <c r="J934" t="n">
        <v>0</v>
      </c>
      <c r="K934" t="n">
        <v>0</v>
      </c>
      <c r="L934" t="n">
        <v>0</v>
      </c>
      <c r="M934" t="n">
        <v>0</v>
      </c>
      <c r="N934" t="n">
        <v>0</v>
      </c>
      <c r="O934" t="n">
        <v>0</v>
      </c>
      <c r="P934" t="n">
        <v>0</v>
      </c>
      <c r="Q934" t="n">
        <v>1</v>
      </c>
      <c r="R934" s="2" t="inlineStr">
        <is>
          <t>Blåsippa</t>
        </is>
      </c>
      <c r="S934">
        <f>HYPERLINK("https://klasma.github.io/Logging_OSTERSUND/artfynd/A 13362-2021.xlsx")</f>
        <v/>
      </c>
      <c r="T934">
        <f>HYPERLINK("https://klasma.github.io/Logging_OSTERSUND/kartor/A 13362-2021.png")</f>
        <v/>
      </c>
      <c r="V934">
        <f>HYPERLINK("https://klasma.github.io/Logging_OSTERSUND/klagomål/A 13362-2021.docx")</f>
        <v/>
      </c>
      <c r="W934">
        <f>HYPERLINK("https://klasma.github.io/Logging_OSTERSUND/klagomålsmail/A 13362-2021.docx")</f>
        <v/>
      </c>
      <c r="X934">
        <f>HYPERLINK("https://klasma.github.io/Logging_OSTERSUND/tillsyn/A 13362-2021.docx")</f>
        <v/>
      </c>
      <c r="Y934">
        <f>HYPERLINK("https://klasma.github.io/Logging_OSTERSUND/tillsynsmail/A 13362-2021.docx")</f>
        <v/>
      </c>
    </row>
    <row r="935" ht="15" customHeight="1">
      <c r="A935" t="inlineStr">
        <is>
          <t>A 16834-2021</t>
        </is>
      </c>
      <c r="B935" s="1" t="n">
        <v>44293</v>
      </c>
      <c r="C935" s="1" t="n">
        <v>45182</v>
      </c>
      <c r="D935" t="inlineStr">
        <is>
          <t>JÄMTLANDS LÄN</t>
        </is>
      </c>
      <c r="E935" t="inlineStr">
        <is>
          <t>BERG</t>
        </is>
      </c>
      <c r="G935" t="n">
        <v>18.7</v>
      </c>
      <c r="H935" t="n">
        <v>0</v>
      </c>
      <c r="I935" t="n">
        <v>0</v>
      </c>
      <c r="J935" t="n">
        <v>1</v>
      </c>
      <c r="K935" t="n">
        <v>0</v>
      </c>
      <c r="L935" t="n">
        <v>0</v>
      </c>
      <c r="M935" t="n">
        <v>0</v>
      </c>
      <c r="N935" t="n">
        <v>0</v>
      </c>
      <c r="O935" t="n">
        <v>1</v>
      </c>
      <c r="P935" t="n">
        <v>0</v>
      </c>
      <c r="Q935" t="n">
        <v>1</v>
      </c>
      <c r="R935" s="2" t="inlineStr">
        <is>
          <t>Gränsticka</t>
        </is>
      </c>
      <c r="S935">
        <f>HYPERLINK("https://klasma.github.io/Logging_BERG/artfynd/A 16834-2021.xlsx")</f>
        <v/>
      </c>
      <c r="T935">
        <f>HYPERLINK("https://klasma.github.io/Logging_BERG/kartor/A 16834-2021.png")</f>
        <v/>
      </c>
      <c r="V935">
        <f>HYPERLINK("https://klasma.github.io/Logging_BERG/klagomål/A 16834-2021.docx")</f>
        <v/>
      </c>
      <c r="W935">
        <f>HYPERLINK("https://klasma.github.io/Logging_BERG/klagomålsmail/A 16834-2021.docx")</f>
        <v/>
      </c>
      <c r="X935">
        <f>HYPERLINK("https://klasma.github.io/Logging_BERG/tillsyn/A 16834-2021.docx")</f>
        <v/>
      </c>
      <c r="Y935">
        <f>HYPERLINK("https://klasma.github.io/Logging_BERG/tillsynsmail/A 16834-2021.docx")</f>
        <v/>
      </c>
    </row>
    <row r="936" ht="15" customHeight="1">
      <c r="A936" t="inlineStr">
        <is>
          <t>A 17855-2021</t>
        </is>
      </c>
      <c r="B936" s="1" t="n">
        <v>44300</v>
      </c>
      <c r="C936" s="1" t="n">
        <v>45182</v>
      </c>
      <c r="D936" t="inlineStr">
        <is>
          <t>JÄMTLANDS LÄN</t>
        </is>
      </c>
      <c r="E936" t="inlineStr">
        <is>
          <t>STRÖMSUND</t>
        </is>
      </c>
      <c r="F936" t="inlineStr">
        <is>
          <t>SCA</t>
        </is>
      </c>
      <c r="G936" t="n">
        <v>10.1</v>
      </c>
      <c r="H936" t="n">
        <v>1</v>
      </c>
      <c r="I936" t="n">
        <v>0</v>
      </c>
      <c r="J936" t="n">
        <v>0</v>
      </c>
      <c r="K936" t="n">
        <v>1</v>
      </c>
      <c r="L936" t="n">
        <v>0</v>
      </c>
      <c r="M936" t="n">
        <v>0</v>
      </c>
      <c r="N936" t="n">
        <v>0</v>
      </c>
      <c r="O936" t="n">
        <v>1</v>
      </c>
      <c r="P936" t="n">
        <v>1</v>
      </c>
      <c r="Q936" t="n">
        <v>1</v>
      </c>
      <c r="R936" s="2" t="inlineStr">
        <is>
          <t>Knärot</t>
        </is>
      </c>
      <c r="S936">
        <f>HYPERLINK("https://klasma.github.io/Logging_STROMSUND/artfynd/A 17855-2021.xlsx")</f>
        <v/>
      </c>
      <c r="T936">
        <f>HYPERLINK("https://klasma.github.io/Logging_STROMSUND/kartor/A 17855-2021.png")</f>
        <v/>
      </c>
      <c r="U936">
        <f>HYPERLINK("https://klasma.github.io/Logging_STROMSUND/knärot/A 17855-2021.png")</f>
        <v/>
      </c>
      <c r="V936">
        <f>HYPERLINK("https://klasma.github.io/Logging_STROMSUND/klagomål/A 17855-2021.docx")</f>
        <v/>
      </c>
      <c r="W936">
        <f>HYPERLINK("https://klasma.github.io/Logging_STROMSUND/klagomålsmail/A 17855-2021.docx")</f>
        <v/>
      </c>
      <c r="X936">
        <f>HYPERLINK("https://klasma.github.io/Logging_STROMSUND/tillsyn/A 17855-2021.docx")</f>
        <v/>
      </c>
      <c r="Y936">
        <f>HYPERLINK("https://klasma.github.io/Logging_STROMSUND/tillsynsmail/A 17855-2021.docx")</f>
        <v/>
      </c>
    </row>
    <row r="937" ht="15" customHeight="1">
      <c r="A937" t="inlineStr">
        <is>
          <t>A 18543-2021</t>
        </is>
      </c>
      <c r="B937" s="1" t="n">
        <v>44306</v>
      </c>
      <c r="C937" s="1" t="n">
        <v>45182</v>
      </c>
      <c r="D937" t="inlineStr">
        <is>
          <t>JÄMTLANDS LÄN</t>
        </is>
      </c>
      <c r="E937" t="inlineStr">
        <is>
          <t>ÅRE</t>
        </is>
      </c>
      <c r="G937" t="n">
        <v>1.7</v>
      </c>
      <c r="H937" t="n">
        <v>1</v>
      </c>
      <c r="I937" t="n">
        <v>0</v>
      </c>
      <c r="J937" t="n">
        <v>1</v>
      </c>
      <c r="K937" t="n">
        <v>0</v>
      </c>
      <c r="L937" t="n">
        <v>0</v>
      </c>
      <c r="M937" t="n">
        <v>0</v>
      </c>
      <c r="N937" t="n">
        <v>0</v>
      </c>
      <c r="O937" t="n">
        <v>1</v>
      </c>
      <c r="P937" t="n">
        <v>0</v>
      </c>
      <c r="Q937" t="n">
        <v>1</v>
      </c>
      <c r="R937" s="2" t="inlineStr">
        <is>
          <t>Tretåig hackspett</t>
        </is>
      </c>
      <c r="S937">
        <f>HYPERLINK("https://klasma.github.io/Logging_ARE/artfynd/A 18543-2021.xlsx")</f>
        <v/>
      </c>
      <c r="T937">
        <f>HYPERLINK("https://klasma.github.io/Logging_ARE/kartor/A 18543-2021.png")</f>
        <v/>
      </c>
      <c r="V937">
        <f>HYPERLINK("https://klasma.github.io/Logging_ARE/klagomål/A 18543-2021.docx")</f>
        <v/>
      </c>
      <c r="W937">
        <f>HYPERLINK("https://klasma.github.io/Logging_ARE/klagomålsmail/A 18543-2021.docx")</f>
        <v/>
      </c>
      <c r="X937">
        <f>HYPERLINK("https://klasma.github.io/Logging_ARE/tillsyn/A 18543-2021.docx")</f>
        <v/>
      </c>
      <c r="Y937">
        <f>HYPERLINK("https://klasma.github.io/Logging_ARE/tillsynsmail/A 18543-2021.docx")</f>
        <v/>
      </c>
    </row>
    <row r="938" ht="15" customHeight="1">
      <c r="A938" t="inlineStr">
        <is>
          <t>A 19282-2021</t>
        </is>
      </c>
      <c r="B938" s="1" t="n">
        <v>44308</v>
      </c>
      <c r="C938" s="1" t="n">
        <v>45182</v>
      </c>
      <c r="D938" t="inlineStr">
        <is>
          <t>JÄMTLANDS LÄN</t>
        </is>
      </c>
      <c r="E938" t="inlineStr">
        <is>
          <t>KROKOM</t>
        </is>
      </c>
      <c r="G938" t="n">
        <v>2</v>
      </c>
      <c r="H938" t="n">
        <v>0</v>
      </c>
      <c r="I938" t="n">
        <v>0</v>
      </c>
      <c r="J938" t="n">
        <v>1</v>
      </c>
      <c r="K938" t="n">
        <v>0</v>
      </c>
      <c r="L938" t="n">
        <v>0</v>
      </c>
      <c r="M938" t="n">
        <v>0</v>
      </c>
      <c r="N938" t="n">
        <v>0</v>
      </c>
      <c r="O938" t="n">
        <v>1</v>
      </c>
      <c r="P938" t="n">
        <v>0</v>
      </c>
      <c r="Q938" t="n">
        <v>1</v>
      </c>
      <c r="R938" s="2" t="inlineStr">
        <is>
          <t>Garnlav</t>
        </is>
      </c>
      <c r="S938">
        <f>HYPERLINK("https://klasma.github.io/Logging_KROKOM/artfynd/A 19282-2021.xlsx")</f>
        <v/>
      </c>
      <c r="T938">
        <f>HYPERLINK("https://klasma.github.io/Logging_KROKOM/kartor/A 19282-2021.png")</f>
        <v/>
      </c>
      <c r="V938">
        <f>HYPERLINK("https://klasma.github.io/Logging_KROKOM/klagomål/A 19282-2021.docx")</f>
        <v/>
      </c>
      <c r="W938">
        <f>HYPERLINK("https://klasma.github.io/Logging_KROKOM/klagomålsmail/A 19282-2021.docx")</f>
        <v/>
      </c>
      <c r="X938">
        <f>HYPERLINK("https://klasma.github.io/Logging_KROKOM/tillsyn/A 19282-2021.docx")</f>
        <v/>
      </c>
      <c r="Y938">
        <f>HYPERLINK("https://klasma.github.io/Logging_KROKOM/tillsynsmail/A 19282-2021.docx")</f>
        <v/>
      </c>
    </row>
    <row r="939" ht="15" customHeight="1">
      <c r="A939" t="inlineStr">
        <is>
          <t>A 19431-2021</t>
        </is>
      </c>
      <c r="B939" s="1" t="n">
        <v>44309</v>
      </c>
      <c r="C939" s="1" t="n">
        <v>45182</v>
      </c>
      <c r="D939" t="inlineStr">
        <is>
          <t>JÄMTLANDS LÄN</t>
        </is>
      </c>
      <c r="E939" t="inlineStr">
        <is>
          <t>BRÄCKE</t>
        </is>
      </c>
      <c r="G939" t="n">
        <v>4.8</v>
      </c>
      <c r="H939" t="n">
        <v>1</v>
      </c>
      <c r="I939" t="n">
        <v>0</v>
      </c>
      <c r="J939" t="n">
        <v>1</v>
      </c>
      <c r="K939" t="n">
        <v>0</v>
      </c>
      <c r="L939" t="n">
        <v>0</v>
      </c>
      <c r="M939" t="n">
        <v>0</v>
      </c>
      <c r="N939" t="n">
        <v>0</v>
      </c>
      <c r="O939" t="n">
        <v>1</v>
      </c>
      <c r="P939" t="n">
        <v>0</v>
      </c>
      <c r="Q939" t="n">
        <v>1</v>
      </c>
      <c r="R939" s="2" t="inlineStr">
        <is>
          <t>Utter</t>
        </is>
      </c>
      <c r="S939">
        <f>HYPERLINK("https://klasma.github.io/Logging_BRACKE/artfynd/A 19431-2021.xlsx")</f>
        <v/>
      </c>
      <c r="T939">
        <f>HYPERLINK("https://klasma.github.io/Logging_BRACKE/kartor/A 19431-2021.png")</f>
        <v/>
      </c>
      <c r="V939">
        <f>HYPERLINK("https://klasma.github.io/Logging_BRACKE/klagomål/A 19431-2021.docx")</f>
        <v/>
      </c>
      <c r="W939">
        <f>HYPERLINK("https://klasma.github.io/Logging_BRACKE/klagomålsmail/A 19431-2021.docx")</f>
        <v/>
      </c>
      <c r="X939">
        <f>HYPERLINK("https://klasma.github.io/Logging_BRACKE/tillsyn/A 19431-2021.docx")</f>
        <v/>
      </c>
      <c r="Y939">
        <f>HYPERLINK("https://klasma.github.io/Logging_BRACKE/tillsynsmail/A 19431-2021.docx")</f>
        <v/>
      </c>
    </row>
    <row r="940" ht="15" customHeight="1">
      <c r="A940" t="inlineStr">
        <is>
          <t>A 21037-2021</t>
        </is>
      </c>
      <c r="B940" s="1" t="n">
        <v>44319</v>
      </c>
      <c r="C940" s="1" t="n">
        <v>45182</v>
      </c>
      <c r="D940" t="inlineStr">
        <is>
          <t>JÄMTLANDS LÄN</t>
        </is>
      </c>
      <c r="E940" t="inlineStr">
        <is>
          <t>RAGUNDA</t>
        </is>
      </c>
      <c r="F940" t="inlineStr">
        <is>
          <t>Kyrkan</t>
        </is>
      </c>
      <c r="G940" t="n">
        <v>0.8</v>
      </c>
      <c r="H940" t="n">
        <v>0</v>
      </c>
      <c r="I940" t="n">
        <v>0</v>
      </c>
      <c r="J940" t="n">
        <v>1</v>
      </c>
      <c r="K940" t="n">
        <v>0</v>
      </c>
      <c r="L940" t="n">
        <v>0</v>
      </c>
      <c r="M940" t="n">
        <v>0</v>
      </c>
      <c r="N940" t="n">
        <v>0</v>
      </c>
      <c r="O940" t="n">
        <v>1</v>
      </c>
      <c r="P940" t="n">
        <v>0</v>
      </c>
      <c r="Q940" t="n">
        <v>1</v>
      </c>
      <c r="R940" s="2" t="inlineStr">
        <is>
          <t>Olivbrun gytterlav</t>
        </is>
      </c>
      <c r="S940">
        <f>HYPERLINK("https://klasma.github.io/Logging_RAGUNDA/artfynd/A 21037-2021.xlsx")</f>
        <v/>
      </c>
      <c r="T940">
        <f>HYPERLINK("https://klasma.github.io/Logging_RAGUNDA/kartor/A 21037-2021.png")</f>
        <v/>
      </c>
      <c r="V940">
        <f>HYPERLINK("https://klasma.github.io/Logging_RAGUNDA/klagomål/A 21037-2021.docx")</f>
        <v/>
      </c>
      <c r="W940">
        <f>HYPERLINK("https://klasma.github.io/Logging_RAGUNDA/klagomålsmail/A 21037-2021.docx")</f>
        <v/>
      </c>
      <c r="X940">
        <f>HYPERLINK("https://klasma.github.io/Logging_RAGUNDA/tillsyn/A 21037-2021.docx")</f>
        <v/>
      </c>
      <c r="Y940">
        <f>HYPERLINK("https://klasma.github.io/Logging_RAGUNDA/tillsynsmail/A 21037-2021.docx")</f>
        <v/>
      </c>
    </row>
    <row r="941" ht="15" customHeight="1">
      <c r="A941" t="inlineStr">
        <is>
          <t>A 21572-2021</t>
        </is>
      </c>
      <c r="B941" s="1" t="n">
        <v>44321</v>
      </c>
      <c r="C941" s="1" t="n">
        <v>45182</v>
      </c>
      <c r="D941" t="inlineStr">
        <is>
          <t>JÄMTLANDS LÄN</t>
        </is>
      </c>
      <c r="E941" t="inlineStr">
        <is>
          <t>HÄRJEDALEN</t>
        </is>
      </c>
      <c r="F941" t="inlineStr">
        <is>
          <t>Holmen skog AB</t>
        </is>
      </c>
      <c r="G941" t="n">
        <v>29</v>
      </c>
      <c r="H941" t="n">
        <v>0</v>
      </c>
      <c r="I941" t="n">
        <v>0</v>
      </c>
      <c r="J941" t="n">
        <v>1</v>
      </c>
      <c r="K941" t="n">
        <v>0</v>
      </c>
      <c r="L941" t="n">
        <v>0</v>
      </c>
      <c r="M941" t="n">
        <v>0</v>
      </c>
      <c r="N941" t="n">
        <v>0</v>
      </c>
      <c r="O941" t="n">
        <v>1</v>
      </c>
      <c r="P941" t="n">
        <v>0</v>
      </c>
      <c r="Q941" t="n">
        <v>1</v>
      </c>
      <c r="R941" s="2" t="inlineStr">
        <is>
          <t>Skrovlig taggsvamp</t>
        </is>
      </c>
      <c r="S941">
        <f>HYPERLINK("https://klasma.github.io/Logging_HARJEDALEN/artfynd/A 21572-2021.xlsx")</f>
        <v/>
      </c>
      <c r="T941">
        <f>HYPERLINK("https://klasma.github.io/Logging_HARJEDALEN/kartor/A 21572-2021.png")</f>
        <v/>
      </c>
      <c r="V941">
        <f>HYPERLINK("https://klasma.github.io/Logging_HARJEDALEN/klagomål/A 21572-2021.docx")</f>
        <v/>
      </c>
      <c r="W941">
        <f>HYPERLINK("https://klasma.github.io/Logging_HARJEDALEN/klagomålsmail/A 21572-2021.docx")</f>
        <v/>
      </c>
      <c r="X941">
        <f>HYPERLINK("https://klasma.github.io/Logging_HARJEDALEN/tillsyn/A 21572-2021.docx")</f>
        <v/>
      </c>
      <c r="Y941">
        <f>HYPERLINK("https://klasma.github.io/Logging_HARJEDALEN/tillsynsmail/A 21572-2021.docx")</f>
        <v/>
      </c>
    </row>
    <row r="942" ht="15" customHeight="1">
      <c r="A942" t="inlineStr">
        <is>
          <t>A 22528-2021</t>
        </is>
      </c>
      <c r="B942" s="1" t="n">
        <v>44326</v>
      </c>
      <c r="C942" s="1" t="n">
        <v>45182</v>
      </c>
      <c r="D942" t="inlineStr">
        <is>
          <t>JÄMTLANDS LÄN</t>
        </is>
      </c>
      <c r="E942" t="inlineStr">
        <is>
          <t>STRÖMSUND</t>
        </is>
      </c>
      <c r="F942" t="inlineStr">
        <is>
          <t>SCA</t>
        </is>
      </c>
      <c r="G942" t="n">
        <v>5.9</v>
      </c>
      <c r="H942" t="n">
        <v>0</v>
      </c>
      <c r="I942" t="n">
        <v>0</v>
      </c>
      <c r="J942" t="n">
        <v>0</v>
      </c>
      <c r="K942" t="n">
        <v>1</v>
      </c>
      <c r="L942" t="n">
        <v>0</v>
      </c>
      <c r="M942" t="n">
        <v>0</v>
      </c>
      <c r="N942" t="n">
        <v>0</v>
      </c>
      <c r="O942" t="n">
        <v>1</v>
      </c>
      <c r="P942" t="n">
        <v>1</v>
      </c>
      <c r="Q942" t="n">
        <v>1</v>
      </c>
      <c r="R942" s="2" t="inlineStr">
        <is>
          <t>Smultronkantarell</t>
        </is>
      </c>
      <c r="S942">
        <f>HYPERLINK("https://klasma.github.io/Logging_STROMSUND/artfynd/A 22528-2021.xlsx")</f>
        <v/>
      </c>
      <c r="T942">
        <f>HYPERLINK("https://klasma.github.io/Logging_STROMSUND/kartor/A 22528-2021.png")</f>
        <v/>
      </c>
      <c r="V942">
        <f>HYPERLINK("https://klasma.github.io/Logging_STROMSUND/klagomål/A 22528-2021.docx")</f>
        <v/>
      </c>
      <c r="W942">
        <f>HYPERLINK("https://klasma.github.io/Logging_STROMSUND/klagomålsmail/A 22528-2021.docx")</f>
        <v/>
      </c>
      <c r="X942">
        <f>HYPERLINK("https://klasma.github.io/Logging_STROMSUND/tillsyn/A 22528-2021.docx")</f>
        <v/>
      </c>
      <c r="Y942">
        <f>HYPERLINK("https://klasma.github.io/Logging_STROMSUND/tillsynsmail/A 22528-2021.docx")</f>
        <v/>
      </c>
    </row>
    <row r="943" ht="15" customHeight="1">
      <c r="A943" t="inlineStr">
        <is>
          <t>A 23556-2021</t>
        </is>
      </c>
      <c r="B943" s="1" t="n">
        <v>44334</v>
      </c>
      <c r="C943" s="1" t="n">
        <v>45182</v>
      </c>
      <c r="D943" t="inlineStr">
        <is>
          <t>JÄMTLANDS LÄN</t>
        </is>
      </c>
      <c r="E943" t="inlineStr">
        <is>
          <t>ÅRE</t>
        </is>
      </c>
      <c r="G943" t="n">
        <v>11.1</v>
      </c>
      <c r="H943" t="n">
        <v>1</v>
      </c>
      <c r="I943" t="n">
        <v>1</v>
      </c>
      <c r="J943" t="n">
        <v>0</v>
      </c>
      <c r="K943" t="n">
        <v>0</v>
      </c>
      <c r="L943" t="n">
        <v>0</v>
      </c>
      <c r="M943" t="n">
        <v>0</v>
      </c>
      <c r="N943" t="n">
        <v>0</v>
      </c>
      <c r="O943" t="n">
        <v>0</v>
      </c>
      <c r="P943" t="n">
        <v>0</v>
      </c>
      <c r="Q943" t="n">
        <v>1</v>
      </c>
      <c r="R943" s="2" t="inlineStr">
        <is>
          <t>Tvåblad</t>
        </is>
      </c>
      <c r="S943">
        <f>HYPERLINK("https://klasma.github.io/Logging_ARE/artfynd/A 23556-2021.xlsx")</f>
        <v/>
      </c>
      <c r="T943">
        <f>HYPERLINK("https://klasma.github.io/Logging_ARE/kartor/A 23556-2021.png")</f>
        <v/>
      </c>
      <c r="V943">
        <f>HYPERLINK("https://klasma.github.io/Logging_ARE/klagomål/A 23556-2021.docx")</f>
        <v/>
      </c>
      <c r="W943">
        <f>HYPERLINK("https://klasma.github.io/Logging_ARE/klagomålsmail/A 23556-2021.docx")</f>
        <v/>
      </c>
      <c r="X943">
        <f>HYPERLINK("https://klasma.github.io/Logging_ARE/tillsyn/A 23556-2021.docx")</f>
        <v/>
      </c>
      <c r="Y943">
        <f>HYPERLINK("https://klasma.github.io/Logging_ARE/tillsynsmail/A 23556-2021.docx")</f>
        <v/>
      </c>
    </row>
    <row r="944" ht="15" customHeight="1">
      <c r="A944" t="inlineStr">
        <is>
          <t>A 25839-2021</t>
        </is>
      </c>
      <c r="B944" s="1" t="n">
        <v>44343</v>
      </c>
      <c r="C944" s="1" t="n">
        <v>45182</v>
      </c>
      <c r="D944" t="inlineStr">
        <is>
          <t>JÄMTLANDS LÄN</t>
        </is>
      </c>
      <c r="E944" t="inlineStr">
        <is>
          <t>ÖSTERSUND</t>
        </is>
      </c>
      <c r="G944" t="n">
        <v>13</v>
      </c>
      <c r="H944" t="n">
        <v>1</v>
      </c>
      <c r="I944" t="n">
        <v>0</v>
      </c>
      <c r="J944" t="n">
        <v>0</v>
      </c>
      <c r="K944" t="n">
        <v>0</v>
      </c>
      <c r="L944" t="n">
        <v>1</v>
      </c>
      <c r="M944" t="n">
        <v>0</v>
      </c>
      <c r="N944" t="n">
        <v>0</v>
      </c>
      <c r="O944" t="n">
        <v>1</v>
      </c>
      <c r="P944" t="n">
        <v>1</v>
      </c>
      <c r="Q944" t="n">
        <v>1</v>
      </c>
      <c r="R944" s="2" t="inlineStr">
        <is>
          <t>Violett guldvinge</t>
        </is>
      </c>
      <c r="S944">
        <f>HYPERLINK("https://klasma.github.io/Logging_OSTERSUND/artfynd/A 25839-2021.xlsx")</f>
        <v/>
      </c>
      <c r="T944">
        <f>HYPERLINK("https://klasma.github.io/Logging_OSTERSUND/kartor/A 25839-2021.png")</f>
        <v/>
      </c>
      <c r="V944">
        <f>HYPERLINK("https://klasma.github.io/Logging_OSTERSUND/klagomål/A 25839-2021.docx")</f>
        <v/>
      </c>
      <c r="W944">
        <f>HYPERLINK("https://klasma.github.io/Logging_OSTERSUND/klagomålsmail/A 25839-2021.docx")</f>
        <v/>
      </c>
      <c r="X944">
        <f>HYPERLINK("https://klasma.github.io/Logging_OSTERSUND/tillsyn/A 25839-2021.docx")</f>
        <v/>
      </c>
      <c r="Y944">
        <f>HYPERLINK("https://klasma.github.io/Logging_OSTERSUND/tillsynsmail/A 25839-2021.docx")</f>
        <v/>
      </c>
    </row>
    <row r="945" ht="15" customHeight="1">
      <c r="A945" t="inlineStr">
        <is>
          <t>A 26147-2021</t>
        </is>
      </c>
      <c r="B945" s="1" t="n">
        <v>44346</v>
      </c>
      <c r="C945" s="1" t="n">
        <v>45182</v>
      </c>
      <c r="D945" t="inlineStr">
        <is>
          <t>JÄMTLANDS LÄN</t>
        </is>
      </c>
      <c r="E945" t="inlineStr">
        <is>
          <t>STRÖMSUND</t>
        </is>
      </c>
      <c r="F945" t="inlineStr">
        <is>
          <t>SCA</t>
        </is>
      </c>
      <c r="G945" t="n">
        <v>5.3</v>
      </c>
      <c r="H945" t="n">
        <v>0</v>
      </c>
      <c r="I945" t="n">
        <v>0</v>
      </c>
      <c r="J945" t="n">
        <v>1</v>
      </c>
      <c r="K945" t="n">
        <v>0</v>
      </c>
      <c r="L945" t="n">
        <v>0</v>
      </c>
      <c r="M945" t="n">
        <v>0</v>
      </c>
      <c r="N945" t="n">
        <v>0</v>
      </c>
      <c r="O945" t="n">
        <v>1</v>
      </c>
      <c r="P945" t="n">
        <v>0</v>
      </c>
      <c r="Q945" t="n">
        <v>1</v>
      </c>
      <c r="R945" s="2" t="inlineStr">
        <is>
          <t>Skrovellav</t>
        </is>
      </c>
      <c r="S945">
        <f>HYPERLINK("https://klasma.github.io/Logging_STROMSUND/artfynd/A 26147-2021.xlsx")</f>
        <v/>
      </c>
      <c r="T945">
        <f>HYPERLINK("https://klasma.github.io/Logging_STROMSUND/kartor/A 26147-2021.png")</f>
        <v/>
      </c>
      <c r="V945">
        <f>HYPERLINK("https://klasma.github.io/Logging_STROMSUND/klagomål/A 26147-2021.docx")</f>
        <v/>
      </c>
      <c r="W945">
        <f>HYPERLINK("https://klasma.github.io/Logging_STROMSUND/klagomålsmail/A 26147-2021.docx")</f>
        <v/>
      </c>
      <c r="X945">
        <f>HYPERLINK("https://klasma.github.io/Logging_STROMSUND/tillsyn/A 26147-2021.docx")</f>
        <v/>
      </c>
      <c r="Y945">
        <f>HYPERLINK("https://klasma.github.io/Logging_STROMSUND/tillsynsmail/A 26147-2021.docx")</f>
        <v/>
      </c>
    </row>
    <row r="946" ht="15" customHeight="1">
      <c r="A946" t="inlineStr">
        <is>
          <t>A 26148-2021</t>
        </is>
      </c>
      <c r="B946" s="1" t="n">
        <v>44346</v>
      </c>
      <c r="C946" s="1" t="n">
        <v>45182</v>
      </c>
      <c r="D946" t="inlineStr">
        <is>
          <t>JÄMTLANDS LÄN</t>
        </is>
      </c>
      <c r="E946" t="inlineStr">
        <is>
          <t>STRÖMSUND</t>
        </is>
      </c>
      <c r="F946" t="inlineStr">
        <is>
          <t>SCA</t>
        </is>
      </c>
      <c r="G946" t="n">
        <v>5.4</v>
      </c>
      <c r="H946" t="n">
        <v>0</v>
      </c>
      <c r="I946" t="n">
        <v>1</v>
      </c>
      <c r="J946" t="n">
        <v>0</v>
      </c>
      <c r="K946" t="n">
        <v>0</v>
      </c>
      <c r="L946" t="n">
        <v>0</v>
      </c>
      <c r="M946" t="n">
        <v>0</v>
      </c>
      <c r="N946" t="n">
        <v>0</v>
      </c>
      <c r="O946" t="n">
        <v>0</v>
      </c>
      <c r="P946" t="n">
        <v>0</v>
      </c>
      <c r="Q946" t="n">
        <v>1</v>
      </c>
      <c r="R946" s="2" t="inlineStr">
        <is>
          <t>Skinnlav</t>
        </is>
      </c>
      <c r="S946">
        <f>HYPERLINK("https://klasma.github.io/Logging_STROMSUND/artfynd/A 26148-2021.xlsx")</f>
        <v/>
      </c>
      <c r="T946">
        <f>HYPERLINK("https://klasma.github.io/Logging_STROMSUND/kartor/A 26148-2021.png")</f>
        <v/>
      </c>
      <c r="V946">
        <f>HYPERLINK("https://klasma.github.io/Logging_STROMSUND/klagomål/A 26148-2021.docx")</f>
        <v/>
      </c>
      <c r="W946">
        <f>HYPERLINK("https://klasma.github.io/Logging_STROMSUND/klagomålsmail/A 26148-2021.docx")</f>
        <v/>
      </c>
      <c r="X946">
        <f>HYPERLINK("https://klasma.github.io/Logging_STROMSUND/tillsyn/A 26148-2021.docx")</f>
        <v/>
      </c>
      <c r="Y946">
        <f>HYPERLINK("https://klasma.github.io/Logging_STROMSUND/tillsynsmail/A 26148-2021.docx")</f>
        <v/>
      </c>
    </row>
    <row r="947" ht="15" customHeight="1">
      <c r="A947" t="inlineStr">
        <is>
          <t>A 26151-2021</t>
        </is>
      </c>
      <c r="B947" s="1" t="n">
        <v>44346</v>
      </c>
      <c r="C947" s="1" t="n">
        <v>45182</v>
      </c>
      <c r="D947" t="inlineStr">
        <is>
          <t>JÄMTLANDS LÄN</t>
        </is>
      </c>
      <c r="E947" t="inlineStr">
        <is>
          <t>STRÖMSUND</t>
        </is>
      </c>
      <c r="F947" t="inlineStr">
        <is>
          <t>SCA</t>
        </is>
      </c>
      <c r="G947" t="n">
        <v>2.6</v>
      </c>
      <c r="H947" t="n">
        <v>0</v>
      </c>
      <c r="I947" t="n">
        <v>1</v>
      </c>
      <c r="J947" t="n">
        <v>0</v>
      </c>
      <c r="K947" t="n">
        <v>0</v>
      </c>
      <c r="L947" t="n">
        <v>0</v>
      </c>
      <c r="M947" t="n">
        <v>0</v>
      </c>
      <c r="N947" t="n">
        <v>0</v>
      </c>
      <c r="O947" t="n">
        <v>0</v>
      </c>
      <c r="P947" t="n">
        <v>0</v>
      </c>
      <c r="Q947" t="n">
        <v>1</v>
      </c>
      <c r="R947" s="2" t="inlineStr">
        <is>
          <t>Skinnlav</t>
        </is>
      </c>
      <c r="S947">
        <f>HYPERLINK("https://klasma.github.io/Logging_STROMSUND/artfynd/A 26151-2021.xlsx")</f>
        <v/>
      </c>
      <c r="T947">
        <f>HYPERLINK("https://klasma.github.io/Logging_STROMSUND/kartor/A 26151-2021.png")</f>
        <v/>
      </c>
      <c r="V947">
        <f>HYPERLINK("https://klasma.github.io/Logging_STROMSUND/klagomål/A 26151-2021.docx")</f>
        <v/>
      </c>
      <c r="W947">
        <f>HYPERLINK("https://klasma.github.io/Logging_STROMSUND/klagomålsmail/A 26151-2021.docx")</f>
        <v/>
      </c>
      <c r="X947">
        <f>HYPERLINK("https://klasma.github.io/Logging_STROMSUND/tillsyn/A 26151-2021.docx")</f>
        <v/>
      </c>
      <c r="Y947">
        <f>HYPERLINK("https://klasma.github.io/Logging_STROMSUND/tillsynsmail/A 26151-2021.docx")</f>
        <v/>
      </c>
    </row>
    <row r="948" ht="15" customHeight="1">
      <c r="A948" t="inlineStr">
        <is>
          <t>A 28287-2021</t>
        </is>
      </c>
      <c r="B948" s="1" t="n">
        <v>44355</v>
      </c>
      <c r="C948" s="1" t="n">
        <v>45182</v>
      </c>
      <c r="D948" t="inlineStr">
        <is>
          <t>JÄMTLANDS LÄN</t>
        </is>
      </c>
      <c r="E948" t="inlineStr">
        <is>
          <t>ÖSTERSUND</t>
        </is>
      </c>
      <c r="G948" t="n">
        <v>1</v>
      </c>
      <c r="H948" t="n">
        <v>0</v>
      </c>
      <c r="I948" t="n">
        <v>0</v>
      </c>
      <c r="J948" t="n">
        <v>1</v>
      </c>
      <c r="K948" t="n">
        <v>0</v>
      </c>
      <c r="L948" t="n">
        <v>0</v>
      </c>
      <c r="M948" t="n">
        <v>0</v>
      </c>
      <c r="N948" t="n">
        <v>0</v>
      </c>
      <c r="O948" t="n">
        <v>1</v>
      </c>
      <c r="P948" t="n">
        <v>0</v>
      </c>
      <c r="Q948" t="n">
        <v>1</v>
      </c>
      <c r="R948" s="2" t="inlineStr">
        <is>
          <t>Garnlav</t>
        </is>
      </c>
      <c r="S948">
        <f>HYPERLINK("https://klasma.github.io/Logging_OSTERSUND/artfynd/A 28287-2021.xlsx")</f>
        <v/>
      </c>
      <c r="T948">
        <f>HYPERLINK("https://klasma.github.io/Logging_OSTERSUND/kartor/A 28287-2021.png")</f>
        <v/>
      </c>
      <c r="V948">
        <f>HYPERLINK("https://klasma.github.io/Logging_OSTERSUND/klagomål/A 28287-2021.docx")</f>
        <v/>
      </c>
      <c r="W948">
        <f>HYPERLINK("https://klasma.github.io/Logging_OSTERSUND/klagomålsmail/A 28287-2021.docx")</f>
        <v/>
      </c>
      <c r="X948">
        <f>HYPERLINK("https://klasma.github.io/Logging_OSTERSUND/tillsyn/A 28287-2021.docx")</f>
        <v/>
      </c>
      <c r="Y948">
        <f>HYPERLINK("https://klasma.github.io/Logging_OSTERSUND/tillsynsmail/A 28287-2021.docx")</f>
        <v/>
      </c>
    </row>
    <row r="949" ht="15" customHeight="1">
      <c r="A949" t="inlineStr">
        <is>
          <t>A 28286-2021</t>
        </is>
      </c>
      <c r="B949" s="1" t="n">
        <v>44355</v>
      </c>
      <c r="C949" s="1" t="n">
        <v>45182</v>
      </c>
      <c r="D949" t="inlineStr">
        <is>
          <t>JÄMTLANDS LÄN</t>
        </is>
      </c>
      <c r="E949" t="inlineStr">
        <is>
          <t>ÖSTERSUND</t>
        </is>
      </c>
      <c r="G949" t="n">
        <v>1.2</v>
      </c>
      <c r="H949" t="n">
        <v>1</v>
      </c>
      <c r="I949" t="n">
        <v>0</v>
      </c>
      <c r="J949" t="n">
        <v>0</v>
      </c>
      <c r="K949" t="n">
        <v>0</v>
      </c>
      <c r="L949" t="n">
        <v>0</v>
      </c>
      <c r="M949" t="n">
        <v>0</v>
      </c>
      <c r="N949" t="n">
        <v>0</v>
      </c>
      <c r="O949" t="n">
        <v>0</v>
      </c>
      <c r="P949" t="n">
        <v>0</v>
      </c>
      <c r="Q949" t="n">
        <v>1</v>
      </c>
      <c r="R949" s="2" t="inlineStr">
        <is>
          <t>Blåsippa</t>
        </is>
      </c>
      <c r="S949">
        <f>HYPERLINK("https://klasma.github.io/Logging_OSTERSUND/artfynd/A 28286-2021.xlsx")</f>
        <v/>
      </c>
      <c r="T949">
        <f>HYPERLINK("https://klasma.github.io/Logging_OSTERSUND/kartor/A 28286-2021.png")</f>
        <v/>
      </c>
      <c r="V949">
        <f>HYPERLINK("https://klasma.github.io/Logging_OSTERSUND/klagomål/A 28286-2021.docx")</f>
        <v/>
      </c>
      <c r="W949">
        <f>HYPERLINK("https://klasma.github.io/Logging_OSTERSUND/klagomålsmail/A 28286-2021.docx")</f>
        <v/>
      </c>
      <c r="X949">
        <f>HYPERLINK("https://klasma.github.io/Logging_OSTERSUND/tillsyn/A 28286-2021.docx")</f>
        <v/>
      </c>
      <c r="Y949">
        <f>HYPERLINK("https://klasma.github.io/Logging_OSTERSUND/tillsynsmail/A 28286-2021.docx")</f>
        <v/>
      </c>
    </row>
    <row r="950" ht="15" customHeight="1">
      <c r="A950" t="inlineStr">
        <is>
          <t>A 29597-2021</t>
        </is>
      </c>
      <c r="B950" s="1" t="n">
        <v>44361</v>
      </c>
      <c r="C950" s="1" t="n">
        <v>45182</v>
      </c>
      <c r="D950" t="inlineStr">
        <is>
          <t>JÄMTLANDS LÄN</t>
        </is>
      </c>
      <c r="E950" t="inlineStr">
        <is>
          <t>STRÖMSUND</t>
        </is>
      </c>
      <c r="F950" t="inlineStr">
        <is>
          <t>SCA</t>
        </is>
      </c>
      <c r="G950" t="n">
        <v>2.6</v>
      </c>
      <c r="H950" t="n">
        <v>1</v>
      </c>
      <c r="I950" t="n">
        <v>0</v>
      </c>
      <c r="J950" t="n">
        <v>0</v>
      </c>
      <c r="K950" t="n">
        <v>0</v>
      </c>
      <c r="L950" t="n">
        <v>0</v>
      </c>
      <c r="M950" t="n">
        <v>0</v>
      </c>
      <c r="N950" t="n">
        <v>0</v>
      </c>
      <c r="O950" t="n">
        <v>0</v>
      </c>
      <c r="P950" t="n">
        <v>0</v>
      </c>
      <c r="Q950" t="n">
        <v>1</v>
      </c>
      <c r="R950" s="2" t="inlineStr">
        <is>
          <t>Mattlummer</t>
        </is>
      </c>
      <c r="S950">
        <f>HYPERLINK("https://klasma.github.io/Logging_STROMSUND/artfynd/A 29597-2021.xlsx")</f>
        <v/>
      </c>
      <c r="T950">
        <f>HYPERLINK("https://klasma.github.io/Logging_STROMSUND/kartor/A 29597-2021.png")</f>
        <v/>
      </c>
      <c r="V950">
        <f>HYPERLINK("https://klasma.github.io/Logging_STROMSUND/klagomål/A 29597-2021.docx")</f>
        <v/>
      </c>
      <c r="W950">
        <f>HYPERLINK("https://klasma.github.io/Logging_STROMSUND/klagomålsmail/A 29597-2021.docx")</f>
        <v/>
      </c>
      <c r="X950">
        <f>HYPERLINK("https://klasma.github.io/Logging_STROMSUND/tillsyn/A 29597-2021.docx")</f>
        <v/>
      </c>
      <c r="Y950">
        <f>HYPERLINK("https://klasma.github.io/Logging_STROMSUND/tillsynsmail/A 29597-2021.docx")</f>
        <v/>
      </c>
    </row>
    <row r="951" ht="15" customHeight="1">
      <c r="A951" t="inlineStr">
        <is>
          <t>A 31328-2021</t>
        </is>
      </c>
      <c r="B951" s="1" t="n">
        <v>44368</v>
      </c>
      <c r="C951" s="1" t="n">
        <v>45182</v>
      </c>
      <c r="D951" t="inlineStr">
        <is>
          <t>JÄMTLANDS LÄN</t>
        </is>
      </c>
      <c r="E951" t="inlineStr">
        <is>
          <t>ÖSTERSUND</t>
        </is>
      </c>
      <c r="G951" t="n">
        <v>6.3</v>
      </c>
      <c r="H951" t="n">
        <v>1</v>
      </c>
      <c r="I951" t="n">
        <v>0</v>
      </c>
      <c r="J951" t="n">
        <v>0</v>
      </c>
      <c r="K951" t="n">
        <v>0</v>
      </c>
      <c r="L951" t="n">
        <v>0</v>
      </c>
      <c r="M951" t="n">
        <v>0</v>
      </c>
      <c r="N951" t="n">
        <v>0</v>
      </c>
      <c r="O951" t="n">
        <v>0</v>
      </c>
      <c r="P951" t="n">
        <v>0</v>
      </c>
      <c r="Q951" t="n">
        <v>1</v>
      </c>
      <c r="R951" s="2" t="inlineStr">
        <is>
          <t>Fläcknycklar</t>
        </is>
      </c>
      <c r="S951">
        <f>HYPERLINK("https://klasma.github.io/Logging_OSTERSUND/artfynd/A 31328-2021.xlsx")</f>
        <v/>
      </c>
      <c r="T951">
        <f>HYPERLINK("https://klasma.github.io/Logging_OSTERSUND/kartor/A 31328-2021.png")</f>
        <v/>
      </c>
      <c r="V951">
        <f>HYPERLINK("https://klasma.github.io/Logging_OSTERSUND/klagomål/A 31328-2021.docx")</f>
        <v/>
      </c>
      <c r="W951">
        <f>HYPERLINK("https://klasma.github.io/Logging_OSTERSUND/klagomålsmail/A 31328-2021.docx")</f>
        <v/>
      </c>
      <c r="X951">
        <f>HYPERLINK("https://klasma.github.io/Logging_OSTERSUND/tillsyn/A 31328-2021.docx")</f>
        <v/>
      </c>
      <c r="Y951">
        <f>HYPERLINK("https://klasma.github.io/Logging_OSTERSUND/tillsynsmail/A 31328-2021.docx")</f>
        <v/>
      </c>
    </row>
    <row r="952" ht="15" customHeight="1">
      <c r="A952" t="inlineStr">
        <is>
          <t>A 31336-2021</t>
        </is>
      </c>
      <c r="B952" s="1" t="n">
        <v>44368</v>
      </c>
      <c r="C952" s="1" t="n">
        <v>45182</v>
      </c>
      <c r="D952" t="inlineStr">
        <is>
          <t>JÄMTLANDS LÄN</t>
        </is>
      </c>
      <c r="E952" t="inlineStr">
        <is>
          <t>BRÄCKE</t>
        </is>
      </c>
      <c r="F952" t="inlineStr">
        <is>
          <t>SCA</t>
        </is>
      </c>
      <c r="G952" t="n">
        <v>2.2</v>
      </c>
      <c r="H952" t="n">
        <v>0</v>
      </c>
      <c r="I952" t="n">
        <v>0</v>
      </c>
      <c r="J952" t="n">
        <v>0</v>
      </c>
      <c r="K952" t="n">
        <v>1</v>
      </c>
      <c r="L952" t="n">
        <v>0</v>
      </c>
      <c r="M952" t="n">
        <v>0</v>
      </c>
      <c r="N952" t="n">
        <v>0</v>
      </c>
      <c r="O952" t="n">
        <v>1</v>
      </c>
      <c r="P952" t="n">
        <v>1</v>
      </c>
      <c r="Q952" t="n">
        <v>1</v>
      </c>
      <c r="R952" s="2" t="inlineStr">
        <is>
          <t>Rynkskinn</t>
        </is>
      </c>
      <c r="S952">
        <f>HYPERLINK("https://klasma.github.io/Logging_BRACKE/artfynd/A 31336-2021.xlsx")</f>
        <v/>
      </c>
      <c r="T952">
        <f>HYPERLINK("https://klasma.github.io/Logging_BRACKE/kartor/A 31336-2021.png")</f>
        <v/>
      </c>
      <c r="V952">
        <f>HYPERLINK("https://klasma.github.io/Logging_BRACKE/klagomål/A 31336-2021.docx")</f>
        <v/>
      </c>
      <c r="W952">
        <f>HYPERLINK("https://klasma.github.io/Logging_BRACKE/klagomålsmail/A 31336-2021.docx")</f>
        <v/>
      </c>
      <c r="X952">
        <f>HYPERLINK("https://klasma.github.io/Logging_BRACKE/tillsyn/A 31336-2021.docx")</f>
        <v/>
      </c>
      <c r="Y952">
        <f>HYPERLINK("https://klasma.github.io/Logging_BRACKE/tillsynsmail/A 31336-2021.docx")</f>
        <v/>
      </c>
    </row>
    <row r="953" ht="15" customHeight="1">
      <c r="A953" t="inlineStr">
        <is>
          <t>A 31773-2021</t>
        </is>
      </c>
      <c r="B953" s="1" t="n">
        <v>44369</v>
      </c>
      <c r="C953" s="1" t="n">
        <v>45182</v>
      </c>
      <c r="D953" t="inlineStr">
        <is>
          <t>JÄMTLANDS LÄN</t>
        </is>
      </c>
      <c r="E953" t="inlineStr">
        <is>
          <t>RAGUNDA</t>
        </is>
      </c>
      <c r="G953" t="n">
        <v>0.8</v>
      </c>
      <c r="H953" t="n">
        <v>0</v>
      </c>
      <c r="I953" t="n">
        <v>0</v>
      </c>
      <c r="J953" t="n">
        <v>0</v>
      </c>
      <c r="K953" t="n">
        <v>1</v>
      </c>
      <c r="L953" t="n">
        <v>0</v>
      </c>
      <c r="M953" t="n">
        <v>0</v>
      </c>
      <c r="N953" t="n">
        <v>0</v>
      </c>
      <c r="O953" t="n">
        <v>1</v>
      </c>
      <c r="P953" t="n">
        <v>1</v>
      </c>
      <c r="Q953" t="n">
        <v>1</v>
      </c>
      <c r="R953" s="2" t="inlineStr">
        <is>
          <t>Strandsandjägare</t>
        </is>
      </c>
      <c r="S953">
        <f>HYPERLINK("https://klasma.github.io/Logging_RAGUNDA/artfynd/A 31773-2021.xlsx")</f>
        <v/>
      </c>
      <c r="T953">
        <f>HYPERLINK("https://klasma.github.io/Logging_RAGUNDA/kartor/A 31773-2021.png")</f>
        <v/>
      </c>
      <c r="V953">
        <f>HYPERLINK("https://klasma.github.io/Logging_RAGUNDA/klagomål/A 31773-2021.docx")</f>
        <v/>
      </c>
      <c r="W953">
        <f>HYPERLINK("https://klasma.github.io/Logging_RAGUNDA/klagomålsmail/A 31773-2021.docx")</f>
        <v/>
      </c>
      <c r="X953">
        <f>HYPERLINK("https://klasma.github.io/Logging_RAGUNDA/tillsyn/A 31773-2021.docx")</f>
        <v/>
      </c>
      <c r="Y953">
        <f>HYPERLINK("https://klasma.github.io/Logging_RAGUNDA/tillsynsmail/A 31773-2021.docx")</f>
        <v/>
      </c>
    </row>
    <row r="954" ht="15" customHeight="1">
      <c r="A954" t="inlineStr">
        <is>
          <t>A 32913-2021</t>
        </is>
      </c>
      <c r="B954" s="1" t="n">
        <v>44375</v>
      </c>
      <c r="C954" s="1" t="n">
        <v>45182</v>
      </c>
      <c r="D954" t="inlineStr">
        <is>
          <t>JÄMTLANDS LÄN</t>
        </is>
      </c>
      <c r="E954" t="inlineStr">
        <is>
          <t>STRÖMSUND</t>
        </is>
      </c>
      <c r="F954" t="inlineStr">
        <is>
          <t>SCA</t>
        </is>
      </c>
      <c r="G954" t="n">
        <v>22</v>
      </c>
      <c r="H954" t="n">
        <v>0</v>
      </c>
      <c r="I954" t="n">
        <v>1</v>
      </c>
      <c r="J954" t="n">
        <v>0</v>
      </c>
      <c r="K954" t="n">
        <v>0</v>
      </c>
      <c r="L954" t="n">
        <v>0</v>
      </c>
      <c r="M954" t="n">
        <v>0</v>
      </c>
      <c r="N954" t="n">
        <v>0</v>
      </c>
      <c r="O954" t="n">
        <v>0</v>
      </c>
      <c r="P954" t="n">
        <v>0</v>
      </c>
      <c r="Q954" t="n">
        <v>1</v>
      </c>
      <c r="R954" s="2" t="inlineStr">
        <is>
          <t>Korallblylav</t>
        </is>
      </c>
      <c r="S954">
        <f>HYPERLINK("https://klasma.github.io/Logging_STROMSUND/artfynd/A 32913-2021.xlsx")</f>
        <v/>
      </c>
      <c r="T954">
        <f>HYPERLINK("https://klasma.github.io/Logging_STROMSUND/kartor/A 32913-2021.png")</f>
        <v/>
      </c>
      <c r="V954">
        <f>HYPERLINK("https://klasma.github.io/Logging_STROMSUND/klagomål/A 32913-2021.docx")</f>
        <v/>
      </c>
      <c r="W954">
        <f>HYPERLINK("https://klasma.github.io/Logging_STROMSUND/klagomålsmail/A 32913-2021.docx")</f>
        <v/>
      </c>
      <c r="X954">
        <f>HYPERLINK("https://klasma.github.io/Logging_STROMSUND/tillsyn/A 32913-2021.docx")</f>
        <v/>
      </c>
      <c r="Y954">
        <f>HYPERLINK("https://klasma.github.io/Logging_STROMSUND/tillsynsmail/A 32913-2021.docx")</f>
        <v/>
      </c>
    </row>
    <row r="955" ht="15" customHeight="1">
      <c r="A955" t="inlineStr">
        <is>
          <t>A 33137-2021</t>
        </is>
      </c>
      <c r="B955" s="1" t="n">
        <v>44376</v>
      </c>
      <c r="C955" s="1" t="n">
        <v>45182</v>
      </c>
      <c r="D955" t="inlineStr">
        <is>
          <t>JÄMTLANDS LÄN</t>
        </is>
      </c>
      <c r="E955" t="inlineStr">
        <is>
          <t>ÖSTERSUND</t>
        </is>
      </c>
      <c r="F955" t="inlineStr">
        <is>
          <t>Kommuner</t>
        </is>
      </c>
      <c r="G955" t="n">
        <v>3.7</v>
      </c>
      <c r="H955" t="n">
        <v>1</v>
      </c>
      <c r="I955" t="n">
        <v>1</v>
      </c>
      <c r="J955" t="n">
        <v>0</v>
      </c>
      <c r="K955" t="n">
        <v>0</v>
      </c>
      <c r="L955" t="n">
        <v>0</v>
      </c>
      <c r="M955" t="n">
        <v>0</v>
      </c>
      <c r="N955" t="n">
        <v>0</v>
      </c>
      <c r="O955" t="n">
        <v>0</v>
      </c>
      <c r="P955" t="n">
        <v>0</v>
      </c>
      <c r="Q955" t="n">
        <v>1</v>
      </c>
      <c r="R955" s="2" t="inlineStr">
        <is>
          <t>Guckusko</t>
        </is>
      </c>
      <c r="S955">
        <f>HYPERLINK("https://klasma.github.io/Logging_OSTERSUND/artfynd/A 33137-2021.xlsx")</f>
        <v/>
      </c>
      <c r="T955">
        <f>HYPERLINK("https://klasma.github.io/Logging_OSTERSUND/kartor/A 33137-2021.png")</f>
        <v/>
      </c>
      <c r="V955">
        <f>HYPERLINK("https://klasma.github.io/Logging_OSTERSUND/klagomål/A 33137-2021.docx")</f>
        <v/>
      </c>
      <c r="W955">
        <f>HYPERLINK("https://klasma.github.io/Logging_OSTERSUND/klagomålsmail/A 33137-2021.docx")</f>
        <v/>
      </c>
      <c r="X955">
        <f>HYPERLINK("https://klasma.github.io/Logging_OSTERSUND/tillsyn/A 33137-2021.docx")</f>
        <v/>
      </c>
      <c r="Y955">
        <f>HYPERLINK("https://klasma.github.io/Logging_OSTERSUND/tillsynsmail/A 33137-2021.docx")</f>
        <v/>
      </c>
    </row>
    <row r="956" ht="15" customHeight="1">
      <c r="A956" t="inlineStr">
        <is>
          <t>A 33545-2021</t>
        </is>
      </c>
      <c r="B956" s="1" t="n">
        <v>44377</v>
      </c>
      <c r="C956" s="1" t="n">
        <v>45182</v>
      </c>
      <c r="D956" t="inlineStr">
        <is>
          <t>JÄMTLANDS LÄN</t>
        </is>
      </c>
      <c r="E956" t="inlineStr">
        <is>
          <t>STRÖMSUND</t>
        </is>
      </c>
      <c r="G956" t="n">
        <v>7.5</v>
      </c>
      <c r="H956" t="n">
        <v>0</v>
      </c>
      <c r="I956" t="n">
        <v>0</v>
      </c>
      <c r="J956" t="n">
        <v>1</v>
      </c>
      <c r="K956" t="n">
        <v>0</v>
      </c>
      <c r="L956" t="n">
        <v>0</v>
      </c>
      <c r="M956" t="n">
        <v>0</v>
      </c>
      <c r="N956" t="n">
        <v>0</v>
      </c>
      <c r="O956" t="n">
        <v>1</v>
      </c>
      <c r="P956" t="n">
        <v>0</v>
      </c>
      <c r="Q956" t="n">
        <v>1</v>
      </c>
      <c r="R956" s="2" t="inlineStr">
        <is>
          <t>Lunglav</t>
        </is>
      </c>
      <c r="S956">
        <f>HYPERLINK("https://klasma.github.io/Logging_STROMSUND/artfynd/A 33545-2021.xlsx")</f>
        <v/>
      </c>
      <c r="T956">
        <f>HYPERLINK("https://klasma.github.io/Logging_STROMSUND/kartor/A 33545-2021.png")</f>
        <v/>
      </c>
      <c r="V956">
        <f>HYPERLINK("https://klasma.github.io/Logging_STROMSUND/klagomål/A 33545-2021.docx")</f>
        <v/>
      </c>
      <c r="W956">
        <f>HYPERLINK("https://klasma.github.io/Logging_STROMSUND/klagomålsmail/A 33545-2021.docx")</f>
        <v/>
      </c>
      <c r="X956">
        <f>HYPERLINK("https://klasma.github.io/Logging_STROMSUND/tillsyn/A 33545-2021.docx")</f>
        <v/>
      </c>
      <c r="Y956">
        <f>HYPERLINK("https://klasma.github.io/Logging_STROMSUND/tillsynsmail/A 33545-2021.docx")</f>
        <v/>
      </c>
    </row>
    <row r="957" ht="15" customHeight="1">
      <c r="A957" t="inlineStr">
        <is>
          <t>A 33557-2021</t>
        </is>
      </c>
      <c r="B957" s="1" t="n">
        <v>44377</v>
      </c>
      <c r="C957" s="1" t="n">
        <v>45182</v>
      </c>
      <c r="D957" t="inlineStr">
        <is>
          <t>JÄMTLANDS LÄN</t>
        </is>
      </c>
      <c r="E957" t="inlineStr">
        <is>
          <t>BERG</t>
        </is>
      </c>
      <c r="F957" t="inlineStr">
        <is>
          <t>SCA</t>
        </is>
      </c>
      <c r="G957" t="n">
        <v>10</v>
      </c>
      <c r="H957" t="n">
        <v>0</v>
      </c>
      <c r="I957" t="n">
        <v>0</v>
      </c>
      <c r="J957" t="n">
        <v>0</v>
      </c>
      <c r="K957" t="n">
        <v>1</v>
      </c>
      <c r="L957" t="n">
        <v>0</v>
      </c>
      <c r="M957" t="n">
        <v>0</v>
      </c>
      <c r="N957" t="n">
        <v>0</v>
      </c>
      <c r="O957" t="n">
        <v>1</v>
      </c>
      <c r="P957" t="n">
        <v>1</v>
      </c>
      <c r="Q957" t="n">
        <v>1</v>
      </c>
      <c r="R957" s="2" t="inlineStr">
        <is>
          <t>Gräddporing</t>
        </is>
      </c>
      <c r="S957">
        <f>HYPERLINK("https://klasma.github.io/Logging_BERG/artfynd/A 33557-2021.xlsx")</f>
        <v/>
      </c>
      <c r="T957">
        <f>HYPERLINK("https://klasma.github.io/Logging_BERG/kartor/A 33557-2021.png")</f>
        <v/>
      </c>
      <c r="V957">
        <f>HYPERLINK("https://klasma.github.io/Logging_BERG/klagomål/A 33557-2021.docx")</f>
        <v/>
      </c>
      <c r="W957">
        <f>HYPERLINK("https://klasma.github.io/Logging_BERG/klagomålsmail/A 33557-2021.docx")</f>
        <v/>
      </c>
      <c r="X957">
        <f>HYPERLINK("https://klasma.github.io/Logging_BERG/tillsyn/A 33557-2021.docx")</f>
        <v/>
      </c>
      <c r="Y957">
        <f>HYPERLINK("https://klasma.github.io/Logging_BERG/tillsynsmail/A 33557-2021.docx")</f>
        <v/>
      </c>
    </row>
    <row r="958" ht="15" customHeight="1">
      <c r="A958" t="inlineStr">
        <is>
          <t>A 35444-2021</t>
        </is>
      </c>
      <c r="B958" s="1" t="n">
        <v>44385</v>
      </c>
      <c r="C958" s="1" t="n">
        <v>45182</v>
      </c>
      <c r="D958" t="inlineStr">
        <is>
          <t>JÄMTLANDS LÄN</t>
        </is>
      </c>
      <c r="E958" t="inlineStr">
        <is>
          <t>STRÖMSUND</t>
        </is>
      </c>
      <c r="G958" t="n">
        <v>20</v>
      </c>
      <c r="H958" t="n">
        <v>1</v>
      </c>
      <c r="I958" t="n">
        <v>0</v>
      </c>
      <c r="J958" t="n">
        <v>1</v>
      </c>
      <c r="K958" t="n">
        <v>0</v>
      </c>
      <c r="L958" t="n">
        <v>0</v>
      </c>
      <c r="M958" t="n">
        <v>0</v>
      </c>
      <c r="N958" t="n">
        <v>0</v>
      </c>
      <c r="O958" t="n">
        <v>1</v>
      </c>
      <c r="P958" t="n">
        <v>0</v>
      </c>
      <c r="Q958" t="n">
        <v>1</v>
      </c>
      <c r="R958" s="2" t="inlineStr">
        <is>
          <t>Tretåig hackspett</t>
        </is>
      </c>
      <c r="S958">
        <f>HYPERLINK("https://klasma.github.io/Logging_STROMSUND/artfynd/A 35444-2021.xlsx")</f>
        <v/>
      </c>
      <c r="T958">
        <f>HYPERLINK("https://klasma.github.io/Logging_STROMSUND/kartor/A 35444-2021.png")</f>
        <v/>
      </c>
      <c r="V958">
        <f>HYPERLINK("https://klasma.github.io/Logging_STROMSUND/klagomål/A 35444-2021.docx")</f>
        <v/>
      </c>
      <c r="W958">
        <f>HYPERLINK("https://klasma.github.io/Logging_STROMSUND/klagomålsmail/A 35444-2021.docx")</f>
        <v/>
      </c>
      <c r="X958">
        <f>HYPERLINK("https://klasma.github.io/Logging_STROMSUND/tillsyn/A 35444-2021.docx")</f>
        <v/>
      </c>
      <c r="Y958">
        <f>HYPERLINK("https://klasma.github.io/Logging_STROMSUND/tillsynsmail/A 35444-2021.docx")</f>
        <v/>
      </c>
    </row>
    <row r="959" ht="15" customHeight="1">
      <c r="A959" t="inlineStr">
        <is>
          <t>A 37082-2021</t>
        </is>
      </c>
      <c r="B959" s="1" t="n">
        <v>44395</v>
      </c>
      <c r="C959" s="1" t="n">
        <v>45182</v>
      </c>
      <c r="D959" t="inlineStr">
        <is>
          <t>JÄMTLANDS LÄN</t>
        </is>
      </c>
      <c r="E959" t="inlineStr">
        <is>
          <t>ÅRE</t>
        </is>
      </c>
      <c r="G959" t="n">
        <v>14.6</v>
      </c>
      <c r="H959" t="n">
        <v>1</v>
      </c>
      <c r="I959" t="n">
        <v>0</v>
      </c>
      <c r="J959" t="n">
        <v>1</v>
      </c>
      <c r="K959" t="n">
        <v>0</v>
      </c>
      <c r="L959" t="n">
        <v>0</v>
      </c>
      <c r="M959" t="n">
        <v>0</v>
      </c>
      <c r="N959" t="n">
        <v>0</v>
      </c>
      <c r="O959" t="n">
        <v>1</v>
      </c>
      <c r="P959" t="n">
        <v>0</v>
      </c>
      <c r="Q959" t="n">
        <v>1</v>
      </c>
      <c r="R959" s="2" t="inlineStr">
        <is>
          <t>Tretåig hackspett</t>
        </is>
      </c>
      <c r="S959">
        <f>HYPERLINK("https://klasma.github.io/Logging_ARE/artfynd/A 37082-2021.xlsx")</f>
        <v/>
      </c>
      <c r="T959">
        <f>HYPERLINK("https://klasma.github.io/Logging_ARE/kartor/A 37082-2021.png")</f>
        <v/>
      </c>
      <c r="V959">
        <f>HYPERLINK("https://klasma.github.io/Logging_ARE/klagomål/A 37082-2021.docx")</f>
        <v/>
      </c>
      <c r="W959">
        <f>HYPERLINK("https://klasma.github.io/Logging_ARE/klagomålsmail/A 37082-2021.docx")</f>
        <v/>
      </c>
      <c r="X959">
        <f>HYPERLINK("https://klasma.github.io/Logging_ARE/tillsyn/A 37082-2021.docx")</f>
        <v/>
      </c>
      <c r="Y959">
        <f>HYPERLINK("https://klasma.github.io/Logging_ARE/tillsynsmail/A 37082-2021.docx")</f>
        <v/>
      </c>
    </row>
    <row r="960" ht="15" customHeight="1">
      <c r="A960" t="inlineStr">
        <is>
          <t>A 37372-2021</t>
        </is>
      </c>
      <c r="B960" s="1" t="n">
        <v>44397</v>
      </c>
      <c r="C960" s="1" t="n">
        <v>45182</v>
      </c>
      <c r="D960" t="inlineStr">
        <is>
          <t>JÄMTLANDS LÄN</t>
        </is>
      </c>
      <c r="E960" t="inlineStr">
        <is>
          <t>STRÖMSUND</t>
        </is>
      </c>
      <c r="F960" t="inlineStr">
        <is>
          <t>SCA</t>
        </is>
      </c>
      <c r="G960" t="n">
        <v>2.3</v>
      </c>
      <c r="H960" t="n">
        <v>0</v>
      </c>
      <c r="I960" t="n">
        <v>0</v>
      </c>
      <c r="J960" t="n">
        <v>1</v>
      </c>
      <c r="K960" t="n">
        <v>0</v>
      </c>
      <c r="L960" t="n">
        <v>0</v>
      </c>
      <c r="M960" t="n">
        <v>0</v>
      </c>
      <c r="N960" t="n">
        <v>0</v>
      </c>
      <c r="O960" t="n">
        <v>1</v>
      </c>
      <c r="P960" t="n">
        <v>0</v>
      </c>
      <c r="Q960" t="n">
        <v>1</v>
      </c>
      <c r="R960" s="2" t="inlineStr">
        <is>
          <t>Dvärgbägarlav</t>
        </is>
      </c>
      <c r="S960">
        <f>HYPERLINK("https://klasma.github.io/Logging_STROMSUND/artfynd/A 37372-2021.xlsx")</f>
        <v/>
      </c>
      <c r="T960">
        <f>HYPERLINK("https://klasma.github.io/Logging_STROMSUND/kartor/A 37372-2021.png")</f>
        <v/>
      </c>
      <c r="V960">
        <f>HYPERLINK("https://klasma.github.io/Logging_STROMSUND/klagomål/A 37372-2021.docx")</f>
        <v/>
      </c>
      <c r="W960">
        <f>HYPERLINK("https://klasma.github.io/Logging_STROMSUND/klagomålsmail/A 37372-2021.docx")</f>
        <v/>
      </c>
      <c r="X960">
        <f>HYPERLINK("https://klasma.github.io/Logging_STROMSUND/tillsyn/A 37372-2021.docx")</f>
        <v/>
      </c>
      <c r="Y960">
        <f>HYPERLINK("https://klasma.github.io/Logging_STROMSUND/tillsynsmail/A 37372-2021.docx")</f>
        <v/>
      </c>
    </row>
    <row r="961" ht="15" customHeight="1">
      <c r="A961" t="inlineStr">
        <is>
          <t>A 38359-2021</t>
        </is>
      </c>
      <c r="B961" s="1" t="n">
        <v>44406</v>
      </c>
      <c r="C961" s="1" t="n">
        <v>45182</v>
      </c>
      <c r="D961" t="inlineStr">
        <is>
          <t>JÄMTLANDS LÄN</t>
        </is>
      </c>
      <c r="E961" t="inlineStr">
        <is>
          <t>HÄRJEDALEN</t>
        </is>
      </c>
      <c r="G961" t="n">
        <v>17.3</v>
      </c>
      <c r="H961" t="n">
        <v>1</v>
      </c>
      <c r="I961" t="n">
        <v>0</v>
      </c>
      <c r="J961" t="n">
        <v>0</v>
      </c>
      <c r="K961" t="n">
        <v>1</v>
      </c>
      <c r="L961" t="n">
        <v>0</v>
      </c>
      <c r="M961" t="n">
        <v>0</v>
      </c>
      <c r="N961" t="n">
        <v>0</v>
      </c>
      <c r="O961" t="n">
        <v>1</v>
      </c>
      <c r="P961" t="n">
        <v>1</v>
      </c>
      <c r="Q961" t="n">
        <v>1</v>
      </c>
      <c r="R961" s="2" t="inlineStr">
        <is>
          <t>Knärot</t>
        </is>
      </c>
      <c r="S961">
        <f>HYPERLINK("https://klasma.github.io/Logging_HARJEDALEN/artfynd/A 38359-2021.xlsx")</f>
        <v/>
      </c>
      <c r="T961">
        <f>HYPERLINK("https://klasma.github.io/Logging_HARJEDALEN/kartor/A 38359-2021.png")</f>
        <v/>
      </c>
      <c r="U961">
        <f>HYPERLINK("https://klasma.github.io/Logging_HARJEDALEN/knärot/A 38359-2021.png")</f>
        <v/>
      </c>
      <c r="V961">
        <f>HYPERLINK("https://klasma.github.io/Logging_HARJEDALEN/klagomål/A 38359-2021.docx")</f>
        <v/>
      </c>
      <c r="W961">
        <f>HYPERLINK("https://klasma.github.io/Logging_HARJEDALEN/klagomålsmail/A 38359-2021.docx")</f>
        <v/>
      </c>
      <c r="X961">
        <f>HYPERLINK("https://klasma.github.io/Logging_HARJEDALEN/tillsyn/A 38359-2021.docx")</f>
        <v/>
      </c>
      <c r="Y961">
        <f>HYPERLINK("https://klasma.github.io/Logging_HARJEDALEN/tillsynsmail/A 38359-2021.docx")</f>
        <v/>
      </c>
    </row>
    <row r="962" ht="15" customHeight="1">
      <c r="A962" t="inlineStr">
        <is>
          <t>A 38584-2021</t>
        </is>
      </c>
      <c r="B962" s="1" t="n">
        <v>44407</v>
      </c>
      <c r="C962" s="1" t="n">
        <v>45182</v>
      </c>
      <c r="D962" t="inlineStr">
        <is>
          <t>JÄMTLANDS LÄN</t>
        </is>
      </c>
      <c r="E962" t="inlineStr">
        <is>
          <t>STRÖMSUND</t>
        </is>
      </c>
      <c r="F962" t="inlineStr">
        <is>
          <t>SCA</t>
        </is>
      </c>
      <c r="G962" t="n">
        <v>8.4</v>
      </c>
      <c r="H962" t="n">
        <v>1</v>
      </c>
      <c r="I962" t="n">
        <v>0</v>
      </c>
      <c r="J962" t="n">
        <v>0</v>
      </c>
      <c r="K962" t="n">
        <v>1</v>
      </c>
      <c r="L962" t="n">
        <v>0</v>
      </c>
      <c r="M962" t="n">
        <v>0</v>
      </c>
      <c r="N962" t="n">
        <v>0</v>
      </c>
      <c r="O962" t="n">
        <v>1</v>
      </c>
      <c r="P962" t="n">
        <v>1</v>
      </c>
      <c r="Q962" t="n">
        <v>1</v>
      </c>
      <c r="R962" s="2" t="inlineStr">
        <is>
          <t>Knärot</t>
        </is>
      </c>
      <c r="S962">
        <f>HYPERLINK("https://klasma.github.io/Logging_STROMSUND/artfynd/A 38584-2021.xlsx")</f>
        <v/>
      </c>
      <c r="T962">
        <f>HYPERLINK("https://klasma.github.io/Logging_STROMSUND/kartor/A 38584-2021.png")</f>
        <v/>
      </c>
      <c r="U962">
        <f>HYPERLINK("https://klasma.github.io/Logging_STROMSUND/knärot/A 38584-2021.png")</f>
        <v/>
      </c>
      <c r="V962">
        <f>HYPERLINK("https://klasma.github.io/Logging_STROMSUND/klagomål/A 38584-2021.docx")</f>
        <v/>
      </c>
      <c r="W962">
        <f>HYPERLINK("https://klasma.github.io/Logging_STROMSUND/klagomålsmail/A 38584-2021.docx")</f>
        <v/>
      </c>
      <c r="X962">
        <f>HYPERLINK("https://klasma.github.io/Logging_STROMSUND/tillsyn/A 38584-2021.docx")</f>
        <v/>
      </c>
      <c r="Y962">
        <f>HYPERLINK("https://klasma.github.io/Logging_STROMSUND/tillsynsmail/A 38584-2021.docx")</f>
        <v/>
      </c>
    </row>
    <row r="963" ht="15" customHeight="1">
      <c r="A963" t="inlineStr">
        <is>
          <t>A 39928-2021</t>
        </is>
      </c>
      <c r="B963" s="1" t="n">
        <v>44417</v>
      </c>
      <c r="C963" s="1" t="n">
        <v>45182</v>
      </c>
      <c r="D963" t="inlineStr">
        <is>
          <t>JÄMTLANDS LÄN</t>
        </is>
      </c>
      <c r="E963" t="inlineStr">
        <is>
          <t>STRÖMSUND</t>
        </is>
      </c>
      <c r="F963" t="inlineStr">
        <is>
          <t>SCA</t>
        </is>
      </c>
      <c r="G963" t="n">
        <v>1.5</v>
      </c>
      <c r="H963" t="n">
        <v>1</v>
      </c>
      <c r="I963" t="n">
        <v>0</v>
      </c>
      <c r="J963" t="n">
        <v>1</v>
      </c>
      <c r="K963" t="n">
        <v>0</v>
      </c>
      <c r="L963" t="n">
        <v>0</v>
      </c>
      <c r="M963" t="n">
        <v>0</v>
      </c>
      <c r="N963" t="n">
        <v>0</v>
      </c>
      <c r="O963" t="n">
        <v>1</v>
      </c>
      <c r="P963" t="n">
        <v>0</v>
      </c>
      <c r="Q963" t="n">
        <v>1</v>
      </c>
      <c r="R963" s="2" t="inlineStr">
        <is>
          <t>Utter</t>
        </is>
      </c>
      <c r="S963">
        <f>HYPERLINK("https://klasma.github.io/Logging_STROMSUND/artfynd/A 39928-2021.xlsx")</f>
        <v/>
      </c>
      <c r="T963">
        <f>HYPERLINK("https://klasma.github.io/Logging_STROMSUND/kartor/A 39928-2021.png")</f>
        <v/>
      </c>
      <c r="V963">
        <f>HYPERLINK("https://klasma.github.io/Logging_STROMSUND/klagomål/A 39928-2021.docx")</f>
        <v/>
      </c>
      <c r="W963">
        <f>HYPERLINK("https://klasma.github.io/Logging_STROMSUND/klagomålsmail/A 39928-2021.docx")</f>
        <v/>
      </c>
      <c r="X963">
        <f>HYPERLINK("https://klasma.github.io/Logging_STROMSUND/tillsyn/A 39928-2021.docx")</f>
        <v/>
      </c>
      <c r="Y963">
        <f>HYPERLINK("https://klasma.github.io/Logging_STROMSUND/tillsynsmail/A 39928-2021.docx")</f>
        <v/>
      </c>
    </row>
    <row r="964" ht="15" customHeight="1">
      <c r="A964" t="inlineStr">
        <is>
          <t>A 42246-2021</t>
        </is>
      </c>
      <c r="B964" s="1" t="n">
        <v>44426</v>
      </c>
      <c r="C964" s="1" t="n">
        <v>45182</v>
      </c>
      <c r="D964" t="inlineStr">
        <is>
          <t>JÄMTLANDS LÄN</t>
        </is>
      </c>
      <c r="E964" t="inlineStr">
        <is>
          <t>STRÖMSUND</t>
        </is>
      </c>
      <c r="F964" t="inlineStr">
        <is>
          <t>SCA</t>
        </is>
      </c>
      <c r="G964" t="n">
        <v>6.6</v>
      </c>
      <c r="H964" t="n">
        <v>0</v>
      </c>
      <c r="I964" t="n">
        <v>0</v>
      </c>
      <c r="J964" t="n">
        <v>1</v>
      </c>
      <c r="K964" t="n">
        <v>0</v>
      </c>
      <c r="L964" t="n">
        <v>0</v>
      </c>
      <c r="M964" t="n">
        <v>0</v>
      </c>
      <c r="N964" t="n">
        <v>0</v>
      </c>
      <c r="O964" t="n">
        <v>1</v>
      </c>
      <c r="P964" t="n">
        <v>0</v>
      </c>
      <c r="Q964" t="n">
        <v>1</v>
      </c>
      <c r="R964" s="2" t="inlineStr">
        <is>
          <t>Garnlav</t>
        </is>
      </c>
      <c r="S964">
        <f>HYPERLINK("https://klasma.github.io/Logging_STROMSUND/artfynd/A 42246-2021.xlsx")</f>
        <v/>
      </c>
      <c r="T964">
        <f>HYPERLINK("https://klasma.github.io/Logging_STROMSUND/kartor/A 42246-2021.png")</f>
        <v/>
      </c>
      <c r="V964">
        <f>HYPERLINK("https://klasma.github.io/Logging_STROMSUND/klagomål/A 42246-2021.docx")</f>
        <v/>
      </c>
      <c r="W964">
        <f>HYPERLINK("https://klasma.github.io/Logging_STROMSUND/klagomålsmail/A 42246-2021.docx")</f>
        <v/>
      </c>
      <c r="X964">
        <f>HYPERLINK("https://klasma.github.io/Logging_STROMSUND/tillsyn/A 42246-2021.docx")</f>
        <v/>
      </c>
      <c r="Y964">
        <f>HYPERLINK("https://klasma.github.io/Logging_STROMSUND/tillsynsmail/A 42246-2021.docx")</f>
        <v/>
      </c>
    </row>
    <row r="965" ht="15" customHeight="1">
      <c r="A965" t="inlineStr">
        <is>
          <t>A 46163-2021</t>
        </is>
      </c>
      <c r="B965" s="1" t="n">
        <v>44441</v>
      </c>
      <c r="C965" s="1" t="n">
        <v>45182</v>
      </c>
      <c r="D965" t="inlineStr">
        <is>
          <t>JÄMTLANDS LÄN</t>
        </is>
      </c>
      <c r="E965" t="inlineStr">
        <is>
          <t>ÖSTERSUND</t>
        </is>
      </c>
      <c r="G965" t="n">
        <v>7.7</v>
      </c>
      <c r="H965" t="n">
        <v>1</v>
      </c>
      <c r="I965" t="n">
        <v>0</v>
      </c>
      <c r="J965" t="n">
        <v>1</v>
      </c>
      <c r="K965" t="n">
        <v>0</v>
      </c>
      <c r="L965" t="n">
        <v>0</v>
      </c>
      <c r="M965" t="n">
        <v>0</v>
      </c>
      <c r="N965" t="n">
        <v>0</v>
      </c>
      <c r="O965" t="n">
        <v>1</v>
      </c>
      <c r="P965" t="n">
        <v>0</v>
      </c>
      <c r="Q965" t="n">
        <v>1</v>
      </c>
      <c r="R965" s="2" t="inlineStr">
        <is>
          <t>Tretåig hackspett</t>
        </is>
      </c>
      <c r="S965">
        <f>HYPERLINK("https://klasma.github.io/Logging_OSTERSUND/artfynd/A 46163-2021.xlsx")</f>
        <v/>
      </c>
      <c r="T965">
        <f>HYPERLINK("https://klasma.github.io/Logging_OSTERSUND/kartor/A 46163-2021.png")</f>
        <v/>
      </c>
      <c r="V965">
        <f>HYPERLINK("https://klasma.github.io/Logging_OSTERSUND/klagomål/A 46163-2021.docx")</f>
        <v/>
      </c>
      <c r="W965">
        <f>HYPERLINK("https://klasma.github.io/Logging_OSTERSUND/klagomålsmail/A 46163-2021.docx")</f>
        <v/>
      </c>
      <c r="X965">
        <f>HYPERLINK("https://klasma.github.io/Logging_OSTERSUND/tillsyn/A 46163-2021.docx")</f>
        <v/>
      </c>
      <c r="Y965">
        <f>HYPERLINK("https://klasma.github.io/Logging_OSTERSUND/tillsynsmail/A 46163-2021.docx")</f>
        <v/>
      </c>
    </row>
    <row r="966" ht="15" customHeight="1">
      <c r="A966" t="inlineStr">
        <is>
          <t>A 46785-2021</t>
        </is>
      </c>
      <c r="B966" s="1" t="n">
        <v>44445</v>
      </c>
      <c r="C966" s="1" t="n">
        <v>45182</v>
      </c>
      <c r="D966" t="inlineStr">
        <is>
          <t>JÄMTLANDS LÄN</t>
        </is>
      </c>
      <c r="E966" t="inlineStr">
        <is>
          <t>KROKOM</t>
        </is>
      </c>
      <c r="F966" t="inlineStr">
        <is>
          <t>SCA</t>
        </is>
      </c>
      <c r="G966" t="n">
        <v>1.5</v>
      </c>
      <c r="H966" t="n">
        <v>0</v>
      </c>
      <c r="I966" t="n">
        <v>0</v>
      </c>
      <c r="J966" t="n">
        <v>1</v>
      </c>
      <c r="K966" t="n">
        <v>0</v>
      </c>
      <c r="L966" t="n">
        <v>0</v>
      </c>
      <c r="M966" t="n">
        <v>0</v>
      </c>
      <c r="N966" t="n">
        <v>0</v>
      </c>
      <c r="O966" t="n">
        <v>1</v>
      </c>
      <c r="P966" t="n">
        <v>0</v>
      </c>
      <c r="Q966" t="n">
        <v>1</v>
      </c>
      <c r="R966" s="2" t="inlineStr">
        <is>
          <t>Harticka</t>
        </is>
      </c>
      <c r="S966">
        <f>HYPERLINK("https://klasma.github.io/Logging_KROKOM/artfynd/A 46785-2021.xlsx")</f>
        <v/>
      </c>
      <c r="T966">
        <f>HYPERLINK("https://klasma.github.io/Logging_KROKOM/kartor/A 46785-2021.png")</f>
        <v/>
      </c>
      <c r="V966">
        <f>HYPERLINK("https://klasma.github.io/Logging_KROKOM/klagomål/A 46785-2021.docx")</f>
        <v/>
      </c>
      <c r="W966">
        <f>HYPERLINK("https://klasma.github.io/Logging_KROKOM/klagomålsmail/A 46785-2021.docx")</f>
        <v/>
      </c>
      <c r="X966">
        <f>HYPERLINK("https://klasma.github.io/Logging_KROKOM/tillsyn/A 46785-2021.docx")</f>
        <v/>
      </c>
      <c r="Y966">
        <f>HYPERLINK("https://klasma.github.io/Logging_KROKOM/tillsynsmail/A 46785-2021.docx")</f>
        <v/>
      </c>
    </row>
    <row r="967" ht="15" customHeight="1">
      <c r="A967" t="inlineStr">
        <is>
          <t>A 46787-2021</t>
        </is>
      </c>
      <c r="B967" s="1" t="n">
        <v>44445</v>
      </c>
      <c r="C967" s="1" t="n">
        <v>45182</v>
      </c>
      <c r="D967" t="inlineStr">
        <is>
          <t>JÄMTLANDS LÄN</t>
        </is>
      </c>
      <c r="E967" t="inlineStr">
        <is>
          <t>KROKOM</t>
        </is>
      </c>
      <c r="F967" t="inlineStr">
        <is>
          <t>SCA</t>
        </is>
      </c>
      <c r="G967" t="n">
        <v>4.6</v>
      </c>
      <c r="H967" t="n">
        <v>0</v>
      </c>
      <c r="I967" t="n">
        <v>0</v>
      </c>
      <c r="J967" t="n">
        <v>1</v>
      </c>
      <c r="K967" t="n">
        <v>0</v>
      </c>
      <c r="L967" t="n">
        <v>0</v>
      </c>
      <c r="M967" t="n">
        <v>0</v>
      </c>
      <c r="N967" t="n">
        <v>0</v>
      </c>
      <c r="O967" t="n">
        <v>1</v>
      </c>
      <c r="P967" t="n">
        <v>0</v>
      </c>
      <c r="Q967" t="n">
        <v>1</v>
      </c>
      <c r="R967" s="2" t="inlineStr">
        <is>
          <t>Gammelgransskål</t>
        </is>
      </c>
      <c r="S967">
        <f>HYPERLINK("https://klasma.github.io/Logging_KROKOM/artfynd/A 46787-2021.xlsx")</f>
        <v/>
      </c>
      <c r="T967">
        <f>HYPERLINK("https://klasma.github.io/Logging_KROKOM/kartor/A 46787-2021.png")</f>
        <v/>
      </c>
      <c r="V967">
        <f>HYPERLINK("https://klasma.github.io/Logging_KROKOM/klagomål/A 46787-2021.docx")</f>
        <v/>
      </c>
      <c r="W967">
        <f>HYPERLINK("https://klasma.github.io/Logging_KROKOM/klagomålsmail/A 46787-2021.docx")</f>
        <v/>
      </c>
      <c r="X967">
        <f>HYPERLINK("https://klasma.github.io/Logging_KROKOM/tillsyn/A 46787-2021.docx")</f>
        <v/>
      </c>
      <c r="Y967">
        <f>HYPERLINK("https://klasma.github.io/Logging_KROKOM/tillsynsmail/A 46787-2021.docx")</f>
        <v/>
      </c>
    </row>
    <row r="968" ht="15" customHeight="1">
      <c r="A968" t="inlineStr">
        <is>
          <t>A 50654-2021</t>
        </is>
      </c>
      <c r="B968" s="1" t="n">
        <v>44459</v>
      </c>
      <c r="C968" s="1" t="n">
        <v>45182</v>
      </c>
      <c r="D968" t="inlineStr">
        <is>
          <t>JÄMTLANDS LÄN</t>
        </is>
      </c>
      <c r="E968" t="inlineStr">
        <is>
          <t>STRÖMSUND</t>
        </is>
      </c>
      <c r="F968" t="inlineStr">
        <is>
          <t>SCA</t>
        </is>
      </c>
      <c r="G968" t="n">
        <v>3.1</v>
      </c>
      <c r="H968" t="n">
        <v>0</v>
      </c>
      <c r="I968" t="n">
        <v>0</v>
      </c>
      <c r="J968" t="n">
        <v>1</v>
      </c>
      <c r="K968" t="n">
        <v>0</v>
      </c>
      <c r="L968" t="n">
        <v>0</v>
      </c>
      <c r="M968" t="n">
        <v>0</v>
      </c>
      <c r="N968" t="n">
        <v>0</v>
      </c>
      <c r="O968" t="n">
        <v>1</v>
      </c>
      <c r="P968" t="n">
        <v>0</v>
      </c>
      <c r="Q968" t="n">
        <v>1</v>
      </c>
      <c r="R968" s="2" t="inlineStr">
        <is>
          <t>Ullticka</t>
        </is>
      </c>
      <c r="S968">
        <f>HYPERLINK("https://klasma.github.io/Logging_STROMSUND/artfynd/A 50654-2021.xlsx")</f>
        <v/>
      </c>
      <c r="T968">
        <f>HYPERLINK("https://klasma.github.io/Logging_STROMSUND/kartor/A 50654-2021.png")</f>
        <v/>
      </c>
      <c r="V968">
        <f>HYPERLINK("https://klasma.github.io/Logging_STROMSUND/klagomål/A 50654-2021.docx")</f>
        <v/>
      </c>
      <c r="W968">
        <f>HYPERLINK("https://klasma.github.io/Logging_STROMSUND/klagomålsmail/A 50654-2021.docx")</f>
        <v/>
      </c>
      <c r="X968">
        <f>HYPERLINK("https://klasma.github.io/Logging_STROMSUND/tillsyn/A 50654-2021.docx")</f>
        <v/>
      </c>
      <c r="Y968">
        <f>HYPERLINK("https://klasma.github.io/Logging_STROMSUND/tillsynsmail/A 50654-2021.docx")</f>
        <v/>
      </c>
    </row>
    <row r="969" ht="15" customHeight="1">
      <c r="A969" t="inlineStr">
        <is>
          <t>A 51916-2021</t>
        </is>
      </c>
      <c r="B969" s="1" t="n">
        <v>44462</v>
      </c>
      <c r="C969" s="1" t="n">
        <v>45182</v>
      </c>
      <c r="D969" t="inlineStr">
        <is>
          <t>JÄMTLANDS LÄN</t>
        </is>
      </c>
      <c r="E969" t="inlineStr">
        <is>
          <t>RAGUNDA</t>
        </is>
      </c>
      <c r="F969" t="inlineStr">
        <is>
          <t>SCA</t>
        </is>
      </c>
      <c r="G969" t="n">
        <v>3</v>
      </c>
      <c r="H969" t="n">
        <v>1</v>
      </c>
      <c r="I969" t="n">
        <v>0</v>
      </c>
      <c r="J969" t="n">
        <v>1</v>
      </c>
      <c r="K969" t="n">
        <v>0</v>
      </c>
      <c r="L969" t="n">
        <v>0</v>
      </c>
      <c r="M969" t="n">
        <v>0</v>
      </c>
      <c r="N969" t="n">
        <v>0</v>
      </c>
      <c r="O969" t="n">
        <v>1</v>
      </c>
      <c r="P969" t="n">
        <v>0</v>
      </c>
      <c r="Q969" t="n">
        <v>1</v>
      </c>
      <c r="R969" s="2" t="inlineStr">
        <is>
          <t>Varglav</t>
        </is>
      </c>
      <c r="S969">
        <f>HYPERLINK("https://klasma.github.io/Logging_RAGUNDA/artfynd/A 51916-2021.xlsx")</f>
        <v/>
      </c>
      <c r="T969">
        <f>HYPERLINK("https://klasma.github.io/Logging_RAGUNDA/kartor/A 51916-2021.png")</f>
        <v/>
      </c>
      <c r="V969">
        <f>HYPERLINK("https://klasma.github.io/Logging_RAGUNDA/klagomål/A 51916-2021.docx")</f>
        <v/>
      </c>
      <c r="W969">
        <f>HYPERLINK("https://klasma.github.io/Logging_RAGUNDA/klagomålsmail/A 51916-2021.docx")</f>
        <v/>
      </c>
      <c r="X969">
        <f>HYPERLINK("https://klasma.github.io/Logging_RAGUNDA/tillsyn/A 51916-2021.docx")</f>
        <v/>
      </c>
      <c r="Y969">
        <f>HYPERLINK("https://klasma.github.io/Logging_RAGUNDA/tillsynsmail/A 51916-2021.docx")</f>
        <v/>
      </c>
    </row>
    <row r="970" ht="15" customHeight="1">
      <c r="A970" t="inlineStr">
        <is>
          <t>A 53509-2021</t>
        </is>
      </c>
      <c r="B970" s="1" t="n">
        <v>44468</v>
      </c>
      <c r="C970" s="1" t="n">
        <v>45182</v>
      </c>
      <c r="D970" t="inlineStr">
        <is>
          <t>JÄMTLANDS LÄN</t>
        </is>
      </c>
      <c r="E970" t="inlineStr">
        <is>
          <t>STRÖMSUND</t>
        </is>
      </c>
      <c r="F970" t="inlineStr">
        <is>
          <t>SCA</t>
        </is>
      </c>
      <c r="G970" t="n">
        <v>3.4</v>
      </c>
      <c r="H970" t="n">
        <v>0</v>
      </c>
      <c r="I970" t="n">
        <v>1</v>
      </c>
      <c r="J970" t="n">
        <v>0</v>
      </c>
      <c r="K970" t="n">
        <v>0</v>
      </c>
      <c r="L970" t="n">
        <v>0</v>
      </c>
      <c r="M970" t="n">
        <v>0</v>
      </c>
      <c r="N970" t="n">
        <v>0</v>
      </c>
      <c r="O970" t="n">
        <v>0</v>
      </c>
      <c r="P970" t="n">
        <v>0</v>
      </c>
      <c r="Q970" t="n">
        <v>1</v>
      </c>
      <c r="R970" s="2" t="inlineStr">
        <is>
          <t>Stor aspticka</t>
        </is>
      </c>
      <c r="S970">
        <f>HYPERLINK("https://klasma.github.io/Logging_STROMSUND/artfynd/A 53509-2021.xlsx")</f>
        <v/>
      </c>
      <c r="T970">
        <f>HYPERLINK("https://klasma.github.io/Logging_STROMSUND/kartor/A 53509-2021.png")</f>
        <v/>
      </c>
      <c r="V970">
        <f>HYPERLINK("https://klasma.github.io/Logging_STROMSUND/klagomål/A 53509-2021.docx")</f>
        <v/>
      </c>
      <c r="W970">
        <f>HYPERLINK("https://klasma.github.io/Logging_STROMSUND/klagomålsmail/A 53509-2021.docx")</f>
        <v/>
      </c>
      <c r="X970">
        <f>HYPERLINK("https://klasma.github.io/Logging_STROMSUND/tillsyn/A 53509-2021.docx")</f>
        <v/>
      </c>
      <c r="Y970">
        <f>HYPERLINK("https://klasma.github.io/Logging_STROMSUND/tillsynsmail/A 53509-2021.docx")</f>
        <v/>
      </c>
    </row>
    <row r="971" ht="15" customHeight="1">
      <c r="A971" t="inlineStr">
        <is>
          <t>A 53517-2021</t>
        </is>
      </c>
      <c r="B971" s="1" t="n">
        <v>44468</v>
      </c>
      <c r="C971" s="1" t="n">
        <v>45182</v>
      </c>
      <c r="D971" t="inlineStr">
        <is>
          <t>JÄMTLANDS LÄN</t>
        </is>
      </c>
      <c r="E971" t="inlineStr">
        <is>
          <t>STRÖMSUND</t>
        </is>
      </c>
      <c r="F971" t="inlineStr">
        <is>
          <t>SCA</t>
        </is>
      </c>
      <c r="G971" t="n">
        <v>3</v>
      </c>
      <c r="H971" t="n">
        <v>0</v>
      </c>
      <c r="I971" t="n">
        <v>0</v>
      </c>
      <c r="J971" t="n">
        <v>1</v>
      </c>
      <c r="K971" t="n">
        <v>0</v>
      </c>
      <c r="L971" t="n">
        <v>0</v>
      </c>
      <c r="M971" t="n">
        <v>0</v>
      </c>
      <c r="N971" t="n">
        <v>0</v>
      </c>
      <c r="O971" t="n">
        <v>1</v>
      </c>
      <c r="P971" t="n">
        <v>0</v>
      </c>
      <c r="Q971" t="n">
        <v>1</v>
      </c>
      <c r="R971" s="2" t="inlineStr">
        <is>
          <t>Lunglav</t>
        </is>
      </c>
      <c r="S971">
        <f>HYPERLINK("https://klasma.github.io/Logging_STROMSUND/artfynd/A 53517-2021.xlsx")</f>
        <v/>
      </c>
      <c r="T971">
        <f>HYPERLINK("https://klasma.github.io/Logging_STROMSUND/kartor/A 53517-2021.png")</f>
        <v/>
      </c>
      <c r="V971">
        <f>HYPERLINK("https://klasma.github.io/Logging_STROMSUND/klagomål/A 53517-2021.docx")</f>
        <v/>
      </c>
      <c r="W971">
        <f>HYPERLINK("https://klasma.github.io/Logging_STROMSUND/klagomålsmail/A 53517-2021.docx")</f>
        <v/>
      </c>
      <c r="X971">
        <f>HYPERLINK("https://klasma.github.io/Logging_STROMSUND/tillsyn/A 53517-2021.docx")</f>
        <v/>
      </c>
      <c r="Y971">
        <f>HYPERLINK("https://klasma.github.io/Logging_STROMSUND/tillsynsmail/A 53517-2021.docx")</f>
        <v/>
      </c>
    </row>
    <row r="972" ht="15" customHeight="1">
      <c r="A972" t="inlineStr">
        <is>
          <t>A 55223-2021</t>
        </is>
      </c>
      <c r="B972" s="1" t="n">
        <v>44475</v>
      </c>
      <c r="C972" s="1" t="n">
        <v>45182</v>
      </c>
      <c r="D972" t="inlineStr">
        <is>
          <t>JÄMTLANDS LÄN</t>
        </is>
      </c>
      <c r="E972" t="inlineStr">
        <is>
          <t>HÄRJEDALEN</t>
        </is>
      </c>
      <c r="G972" t="n">
        <v>18.2</v>
      </c>
      <c r="H972" t="n">
        <v>1</v>
      </c>
      <c r="I972" t="n">
        <v>0</v>
      </c>
      <c r="J972" t="n">
        <v>1</v>
      </c>
      <c r="K972" t="n">
        <v>0</v>
      </c>
      <c r="L972" t="n">
        <v>0</v>
      </c>
      <c r="M972" t="n">
        <v>0</v>
      </c>
      <c r="N972" t="n">
        <v>0</v>
      </c>
      <c r="O972" t="n">
        <v>1</v>
      </c>
      <c r="P972" t="n">
        <v>0</v>
      </c>
      <c r="Q972" t="n">
        <v>1</v>
      </c>
      <c r="R972" s="2" t="inlineStr">
        <is>
          <t>Varglav</t>
        </is>
      </c>
      <c r="S972">
        <f>HYPERLINK("https://klasma.github.io/Logging_HARJEDALEN/artfynd/A 55223-2021.xlsx")</f>
        <v/>
      </c>
      <c r="T972">
        <f>HYPERLINK("https://klasma.github.io/Logging_HARJEDALEN/kartor/A 55223-2021.png")</f>
        <v/>
      </c>
      <c r="V972">
        <f>HYPERLINK("https://klasma.github.io/Logging_HARJEDALEN/klagomål/A 55223-2021.docx")</f>
        <v/>
      </c>
      <c r="W972">
        <f>HYPERLINK("https://klasma.github.io/Logging_HARJEDALEN/klagomålsmail/A 55223-2021.docx")</f>
        <v/>
      </c>
      <c r="X972">
        <f>HYPERLINK("https://klasma.github.io/Logging_HARJEDALEN/tillsyn/A 55223-2021.docx")</f>
        <v/>
      </c>
      <c r="Y972">
        <f>HYPERLINK("https://klasma.github.io/Logging_HARJEDALEN/tillsynsmail/A 55223-2021.docx")</f>
        <v/>
      </c>
    </row>
    <row r="973" ht="15" customHeight="1">
      <c r="A973" t="inlineStr">
        <is>
          <t>A 55222-2021</t>
        </is>
      </c>
      <c r="B973" s="1" t="n">
        <v>44475</v>
      </c>
      <c r="C973" s="1" t="n">
        <v>45182</v>
      </c>
      <c r="D973" t="inlineStr">
        <is>
          <t>JÄMTLANDS LÄN</t>
        </is>
      </c>
      <c r="E973" t="inlineStr">
        <is>
          <t>HÄRJEDALEN</t>
        </is>
      </c>
      <c r="G973" t="n">
        <v>1.1</v>
      </c>
      <c r="H973" t="n">
        <v>1</v>
      </c>
      <c r="I973" t="n">
        <v>0</v>
      </c>
      <c r="J973" t="n">
        <v>1</v>
      </c>
      <c r="K973" t="n">
        <v>0</v>
      </c>
      <c r="L973" t="n">
        <v>0</v>
      </c>
      <c r="M973" t="n">
        <v>0</v>
      </c>
      <c r="N973" t="n">
        <v>0</v>
      </c>
      <c r="O973" t="n">
        <v>1</v>
      </c>
      <c r="P973" t="n">
        <v>0</v>
      </c>
      <c r="Q973" t="n">
        <v>1</v>
      </c>
      <c r="R973" s="2" t="inlineStr">
        <is>
          <t>Varglav</t>
        </is>
      </c>
      <c r="S973">
        <f>HYPERLINK("https://klasma.github.io/Logging_HARJEDALEN/artfynd/A 55222-2021.xlsx")</f>
        <v/>
      </c>
      <c r="T973">
        <f>HYPERLINK("https://klasma.github.io/Logging_HARJEDALEN/kartor/A 55222-2021.png")</f>
        <v/>
      </c>
      <c r="V973">
        <f>HYPERLINK("https://klasma.github.io/Logging_HARJEDALEN/klagomål/A 55222-2021.docx")</f>
        <v/>
      </c>
      <c r="W973">
        <f>HYPERLINK("https://klasma.github.io/Logging_HARJEDALEN/klagomålsmail/A 55222-2021.docx")</f>
        <v/>
      </c>
      <c r="X973">
        <f>HYPERLINK("https://klasma.github.io/Logging_HARJEDALEN/tillsyn/A 55222-2021.docx")</f>
        <v/>
      </c>
      <c r="Y973">
        <f>HYPERLINK("https://klasma.github.io/Logging_HARJEDALEN/tillsynsmail/A 55222-2021.docx")</f>
        <v/>
      </c>
    </row>
    <row r="974" ht="15" customHeight="1">
      <c r="A974" t="inlineStr">
        <is>
          <t>A 55245-2021</t>
        </is>
      </c>
      <c r="B974" s="1" t="n">
        <v>44475</v>
      </c>
      <c r="C974" s="1" t="n">
        <v>45182</v>
      </c>
      <c r="D974" t="inlineStr">
        <is>
          <t>JÄMTLANDS LÄN</t>
        </is>
      </c>
      <c r="E974" t="inlineStr">
        <is>
          <t>HÄRJEDALEN</t>
        </is>
      </c>
      <c r="G974" t="n">
        <v>5.1</v>
      </c>
      <c r="H974" t="n">
        <v>0</v>
      </c>
      <c r="I974" t="n">
        <v>0</v>
      </c>
      <c r="J974" t="n">
        <v>1</v>
      </c>
      <c r="K974" t="n">
        <v>0</v>
      </c>
      <c r="L974" t="n">
        <v>0</v>
      </c>
      <c r="M974" t="n">
        <v>0</v>
      </c>
      <c r="N974" t="n">
        <v>0</v>
      </c>
      <c r="O974" t="n">
        <v>1</v>
      </c>
      <c r="P974" t="n">
        <v>0</v>
      </c>
      <c r="Q974" t="n">
        <v>1</v>
      </c>
      <c r="R974" s="2" t="inlineStr">
        <is>
          <t>Blanksvart spiklav</t>
        </is>
      </c>
      <c r="S974">
        <f>HYPERLINK("https://klasma.github.io/Logging_HARJEDALEN/artfynd/A 55245-2021.xlsx")</f>
        <v/>
      </c>
      <c r="T974">
        <f>HYPERLINK("https://klasma.github.io/Logging_HARJEDALEN/kartor/A 55245-2021.png")</f>
        <v/>
      </c>
      <c r="V974">
        <f>HYPERLINK("https://klasma.github.io/Logging_HARJEDALEN/klagomål/A 55245-2021.docx")</f>
        <v/>
      </c>
      <c r="W974">
        <f>HYPERLINK("https://klasma.github.io/Logging_HARJEDALEN/klagomålsmail/A 55245-2021.docx")</f>
        <v/>
      </c>
      <c r="X974">
        <f>HYPERLINK("https://klasma.github.io/Logging_HARJEDALEN/tillsyn/A 55245-2021.docx")</f>
        <v/>
      </c>
      <c r="Y974">
        <f>HYPERLINK("https://klasma.github.io/Logging_HARJEDALEN/tillsynsmail/A 55245-2021.docx")</f>
        <v/>
      </c>
    </row>
    <row r="975" ht="15" customHeight="1">
      <c r="A975" t="inlineStr">
        <is>
          <t>A 55604-2021</t>
        </is>
      </c>
      <c r="B975" s="1" t="n">
        <v>44475</v>
      </c>
      <c r="C975" s="1" t="n">
        <v>45182</v>
      </c>
      <c r="D975" t="inlineStr">
        <is>
          <t>JÄMTLANDS LÄN</t>
        </is>
      </c>
      <c r="E975" t="inlineStr">
        <is>
          <t>STRÖMSUND</t>
        </is>
      </c>
      <c r="F975" t="inlineStr">
        <is>
          <t>SCA</t>
        </is>
      </c>
      <c r="G975" t="n">
        <v>4.9</v>
      </c>
      <c r="H975" t="n">
        <v>0</v>
      </c>
      <c r="I975" t="n">
        <v>1</v>
      </c>
      <c r="J975" t="n">
        <v>0</v>
      </c>
      <c r="K975" t="n">
        <v>0</v>
      </c>
      <c r="L975" t="n">
        <v>0</v>
      </c>
      <c r="M975" t="n">
        <v>0</v>
      </c>
      <c r="N975" t="n">
        <v>0</v>
      </c>
      <c r="O975" t="n">
        <v>0</v>
      </c>
      <c r="P975" t="n">
        <v>0</v>
      </c>
      <c r="Q975" t="n">
        <v>1</v>
      </c>
      <c r="R975" s="2" t="inlineStr">
        <is>
          <t>Stor aspticka</t>
        </is>
      </c>
      <c r="S975">
        <f>HYPERLINK("https://klasma.github.io/Logging_STROMSUND/artfynd/A 55604-2021.xlsx")</f>
        <v/>
      </c>
      <c r="T975">
        <f>HYPERLINK("https://klasma.github.io/Logging_STROMSUND/kartor/A 55604-2021.png")</f>
        <v/>
      </c>
      <c r="V975">
        <f>HYPERLINK("https://klasma.github.io/Logging_STROMSUND/klagomål/A 55604-2021.docx")</f>
        <v/>
      </c>
      <c r="W975">
        <f>HYPERLINK("https://klasma.github.io/Logging_STROMSUND/klagomålsmail/A 55604-2021.docx")</f>
        <v/>
      </c>
      <c r="X975">
        <f>HYPERLINK("https://klasma.github.io/Logging_STROMSUND/tillsyn/A 55604-2021.docx")</f>
        <v/>
      </c>
      <c r="Y975">
        <f>HYPERLINK("https://klasma.github.io/Logging_STROMSUND/tillsynsmail/A 55604-2021.docx")</f>
        <v/>
      </c>
    </row>
    <row r="976" ht="15" customHeight="1">
      <c r="A976" t="inlineStr">
        <is>
          <t>A 55221-2021</t>
        </is>
      </c>
      <c r="B976" s="1" t="n">
        <v>44475</v>
      </c>
      <c r="C976" s="1" t="n">
        <v>45182</v>
      </c>
      <c r="D976" t="inlineStr">
        <is>
          <t>JÄMTLANDS LÄN</t>
        </is>
      </c>
      <c r="E976" t="inlineStr">
        <is>
          <t>HÄRJEDALEN</t>
        </is>
      </c>
      <c r="G976" t="n">
        <v>0.2</v>
      </c>
      <c r="H976" t="n">
        <v>1</v>
      </c>
      <c r="I976" t="n">
        <v>0</v>
      </c>
      <c r="J976" t="n">
        <v>1</v>
      </c>
      <c r="K976" t="n">
        <v>0</v>
      </c>
      <c r="L976" t="n">
        <v>0</v>
      </c>
      <c r="M976" t="n">
        <v>0</v>
      </c>
      <c r="N976" t="n">
        <v>0</v>
      </c>
      <c r="O976" t="n">
        <v>1</v>
      </c>
      <c r="P976" t="n">
        <v>0</v>
      </c>
      <c r="Q976" t="n">
        <v>1</v>
      </c>
      <c r="R976" s="2" t="inlineStr">
        <is>
          <t>Varglav</t>
        </is>
      </c>
      <c r="S976">
        <f>HYPERLINK("https://klasma.github.io/Logging_HARJEDALEN/artfynd/A 55221-2021.xlsx")</f>
        <v/>
      </c>
      <c r="T976">
        <f>HYPERLINK("https://klasma.github.io/Logging_HARJEDALEN/kartor/A 55221-2021.png")</f>
        <v/>
      </c>
      <c r="V976">
        <f>HYPERLINK("https://klasma.github.io/Logging_HARJEDALEN/klagomål/A 55221-2021.docx")</f>
        <v/>
      </c>
      <c r="W976">
        <f>HYPERLINK("https://klasma.github.io/Logging_HARJEDALEN/klagomålsmail/A 55221-2021.docx")</f>
        <v/>
      </c>
      <c r="X976">
        <f>HYPERLINK("https://klasma.github.io/Logging_HARJEDALEN/tillsyn/A 55221-2021.docx")</f>
        <v/>
      </c>
      <c r="Y976">
        <f>HYPERLINK("https://klasma.github.io/Logging_HARJEDALEN/tillsynsmail/A 55221-2021.docx")</f>
        <v/>
      </c>
    </row>
    <row r="977" ht="15" customHeight="1">
      <c r="A977" t="inlineStr">
        <is>
          <t>A 55821-2021</t>
        </is>
      </c>
      <c r="B977" s="1" t="n">
        <v>44476</v>
      </c>
      <c r="C977" s="1" t="n">
        <v>45182</v>
      </c>
      <c r="D977" t="inlineStr">
        <is>
          <t>JÄMTLANDS LÄN</t>
        </is>
      </c>
      <c r="E977" t="inlineStr">
        <is>
          <t>ÖSTERSUND</t>
        </is>
      </c>
      <c r="G977" t="n">
        <v>7.2</v>
      </c>
      <c r="H977" t="n">
        <v>0</v>
      </c>
      <c r="I977" t="n">
        <v>0</v>
      </c>
      <c r="J977" t="n">
        <v>1</v>
      </c>
      <c r="K977" t="n">
        <v>0</v>
      </c>
      <c r="L977" t="n">
        <v>0</v>
      </c>
      <c r="M977" t="n">
        <v>0</v>
      </c>
      <c r="N977" t="n">
        <v>0</v>
      </c>
      <c r="O977" t="n">
        <v>1</v>
      </c>
      <c r="P977" t="n">
        <v>0</v>
      </c>
      <c r="Q977" t="n">
        <v>1</v>
      </c>
      <c r="R977" s="2" t="inlineStr">
        <is>
          <t>Harticka</t>
        </is>
      </c>
      <c r="S977">
        <f>HYPERLINK("https://klasma.github.io/Logging_OSTERSUND/artfynd/A 55821-2021.xlsx")</f>
        <v/>
      </c>
      <c r="T977">
        <f>HYPERLINK("https://klasma.github.io/Logging_OSTERSUND/kartor/A 55821-2021.png")</f>
        <v/>
      </c>
      <c r="V977">
        <f>HYPERLINK("https://klasma.github.io/Logging_OSTERSUND/klagomål/A 55821-2021.docx")</f>
        <v/>
      </c>
      <c r="W977">
        <f>HYPERLINK("https://klasma.github.io/Logging_OSTERSUND/klagomålsmail/A 55821-2021.docx")</f>
        <v/>
      </c>
      <c r="X977">
        <f>HYPERLINK("https://klasma.github.io/Logging_OSTERSUND/tillsyn/A 55821-2021.docx")</f>
        <v/>
      </c>
      <c r="Y977">
        <f>HYPERLINK("https://klasma.github.io/Logging_OSTERSUND/tillsynsmail/A 55821-2021.docx")</f>
        <v/>
      </c>
    </row>
    <row r="978" ht="15" customHeight="1">
      <c r="A978" t="inlineStr">
        <is>
          <t>A 56193-2021</t>
        </is>
      </c>
      <c r="B978" s="1" t="n">
        <v>44477</v>
      </c>
      <c r="C978" s="1" t="n">
        <v>45182</v>
      </c>
      <c r="D978" t="inlineStr">
        <is>
          <t>JÄMTLANDS LÄN</t>
        </is>
      </c>
      <c r="E978" t="inlineStr">
        <is>
          <t>ÅRE</t>
        </is>
      </c>
      <c r="F978" t="inlineStr">
        <is>
          <t>Övriga Aktiebolag</t>
        </is>
      </c>
      <c r="G978" t="n">
        <v>15.5</v>
      </c>
      <c r="H978" t="n">
        <v>1</v>
      </c>
      <c r="I978" t="n">
        <v>0</v>
      </c>
      <c r="J978" t="n">
        <v>1</v>
      </c>
      <c r="K978" t="n">
        <v>0</v>
      </c>
      <c r="L978" t="n">
        <v>0</v>
      </c>
      <c r="M978" t="n">
        <v>0</v>
      </c>
      <c r="N978" t="n">
        <v>0</v>
      </c>
      <c r="O978" t="n">
        <v>1</v>
      </c>
      <c r="P978" t="n">
        <v>0</v>
      </c>
      <c r="Q978" t="n">
        <v>1</v>
      </c>
      <c r="R978" s="2" t="inlineStr">
        <is>
          <t>Tretåig hackspett</t>
        </is>
      </c>
      <c r="S978">
        <f>HYPERLINK("https://klasma.github.io/Logging_ARE/artfynd/A 56193-2021.xlsx")</f>
        <v/>
      </c>
      <c r="T978">
        <f>HYPERLINK("https://klasma.github.io/Logging_ARE/kartor/A 56193-2021.png")</f>
        <v/>
      </c>
      <c r="V978">
        <f>HYPERLINK("https://klasma.github.io/Logging_ARE/klagomål/A 56193-2021.docx")</f>
        <v/>
      </c>
      <c r="W978">
        <f>HYPERLINK("https://klasma.github.io/Logging_ARE/klagomålsmail/A 56193-2021.docx")</f>
        <v/>
      </c>
      <c r="X978">
        <f>HYPERLINK("https://klasma.github.io/Logging_ARE/tillsyn/A 56193-2021.docx")</f>
        <v/>
      </c>
      <c r="Y978">
        <f>HYPERLINK("https://klasma.github.io/Logging_ARE/tillsynsmail/A 56193-2021.docx")</f>
        <v/>
      </c>
    </row>
    <row r="979" ht="15" customHeight="1">
      <c r="A979" t="inlineStr">
        <is>
          <t>A 56210-2021</t>
        </is>
      </c>
      <c r="B979" s="1" t="n">
        <v>44477</v>
      </c>
      <c r="C979" s="1" t="n">
        <v>45182</v>
      </c>
      <c r="D979" t="inlineStr">
        <is>
          <t>JÄMTLANDS LÄN</t>
        </is>
      </c>
      <c r="E979" t="inlineStr">
        <is>
          <t>STRÖMSUND</t>
        </is>
      </c>
      <c r="F979" t="inlineStr">
        <is>
          <t>SCA</t>
        </is>
      </c>
      <c r="G979" t="n">
        <v>24.1</v>
      </c>
      <c r="H979" t="n">
        <v>0</v>
      </c>
      <c r="I979" t="n">
        <v>0</v>
      </c>
      <c r="J979" t="n">
        <v>1</v>
      </c>
      <c r="K979" t="n">
        <v>0</v>
      </c>
      <c r="L979" t="n">
        <v>0</v>
      </c>
      <c r="M979" t="n">
        <v>0</v>
      </c>
      <c r="N979" t="n">
        <v>0</v>
      </c>
      <c r="O979" t="n">
        <v>1</v>
      </c>
      <c r="P979" t="n">
        <v>0</v>
      </c>
      <c r="Q979" t="n">
        <v>1</v>
      </c>
      <c r="R979" s="2" t="inlineStr">
        <is>
          <t>Skrovellav</t>
        </is>
      </c>
      <c r="S979">
        <f>HYPERLINK("https://klasma.github.io/Logging_STROMSUND/artfynd/A 56210-2021.xlsx")</f>
        <v/>
      </c>
      <c r="T979">
        <f>HYPERLINK("https://klasma.github.io/Logging_STROMSUND/kartor/A 56210-2021.png")</f>
        <v/>
      </c>
      <c r="V979">
        <f>HYPERLINK("https://klasma.github.io/Logging_STROMSUND/klagomål/A 56210-2021.docx")</f>
        <v/>
      </c>
      <c r="W979">
        <f>HYPERLINK("https://klasma.github.io/Logging_STROMSUND/klagomålsmail/A 56210-2021.docx")</f>
        <v/>
      </c>
      <c r="X979">
        <f>HYPERLINK("https://klasma.github.io/Logging_STROMSUND/tillsyn/A 56210-2021.docx")</f>
        <v/>
      </c>
      <c r="Y979">
        <f>HYPERLINK("https://klasma.github.io/Logging_STROMSUND/tillsynsmail/A 56210-2021.docx")</f>
        <v/>
      </c>
    </row>
    <row r="980" ht="15" customHeight="1">
      <c r="A980" t="inlineStr">
        <is>
          <t>A 58239-2021</t>
        </is>
      </c>
      <c r="B980" s="1" t="n">
        <v>44487</v>
      </c>
      <c r="C980" s="1" t="n">
        <v>45182</v>
      </c>
      <c r="D980" t="inlineStr">
        <is>
          <t>JÄMTLANDS LÄN</t>
        </is>
      </c>
      <c r="E980" t="inlineStr">
        <is>
          <t>ÅRE</t>
        </is>
      </c>
      <c r="G980" t="n">
        <v>25</v>
      </c>
      <c r="H980" t="n">
        <v>0</v>
      </c>
      <c r="I980" t="n">
        <v>0</v>
      </c>
      <c r="J980" t="n">
        <v>0</v>
      </c>
      <c r="K980" t="n">
        <v>1</v>
      </c>
      <c r="L980" t="n">
        <v>0</v>
      </c>
      <c r="M980" t="n">
        <v>0</v>
      </c>
      <c r="N980" t="n">
        <v>0</v>
      </c>
      <c r="O980" t="n">
        <v>1</v>
      </c>
      <c r="P980" t="n">
        <v>1</v>
      </c>
      <c r="Q980" t="n">
        <v>1</v>
      </c>
      <c r="R980" s="2" t="inlineStr">
        <is>
          <t>Rynkskinn</t>
        </is>
      </c>
      <c r="S980">
        <f>HYPERLINK("https://klasma.github.io/Logging_ARE/artfynd/A 58239-2021.xlsx")</f>
        <v/>
      </c>
      <c r="T980">
        <f>HYPERLINK("https://klasma.github.io/Logging_ARE/kartor/A 58239-2021.png")</f>
        <v/>
      </c>
      <c r="V980">
        <f>HYPERLINK("https://klasma.github.io/Logging_ARE/klagomål/A 58239-2021.docx")</f>
        <v/>
      </c>
      <c r="W980">
        <f>HYPERLINK("https://klasma.github.io/Logging_ARE/klagomålsmail/A 58239-2021.docx")</f>
        <v/>
      </c>
      <c r="X980">
        <f>HYPERLINK("https://klasma.github.io/Logging_ARE/tillsyn/A 58239-2021.docx")</f>
        <v/>
      </c>
      <c r="Y980">
        <f>HYPERLINK("https://klasma.github.io/Logging_ARE/tillsynsmail/A 58239-2021.docx")</f>
        <v/>
      </c>
    </row>
    <row r="981" ht="15" customHeight="1">
      <c r="A981" t="inlineStr">
        <is>
          <t>A 58117-2021</t>
        </is>
      </c>
      <c r="B981" s="1" t="n">
        <v>44487</v>
      </c>
      <c r="C981" s="1" t="n">
        <v>45182</v>
      </c>
      <c r="D981" t="inlineStr">
        <is>
          <t>JÄMTLANDS LÄN</t>
        </is>
      </c>
      <c r="E981" t="inlineStr">
        <is>
          <t>ÅRE</t>
        </is>
      </c>
      <c r="G981" t="n">
        <v>40.9</v>
      </c>
      <c r="H981" t="n">
        <v>0</v>
      </c>
      <c r="I981" t="n">
        <v>1</v>
      </c>
      <c r="J981" t="n">
        <v>0</v>
      </c>
      <c r="K981" t="n">
        <v>0</v>
      </c>
      <c r="L981" t="n">
        <v>0</v>
      </c>
      <c r="M981" t="n">
        <v>0</v>
      </c>
      <c r="N981" t="n">
        <v>0</v>
      </c>
      <c r="O981" t="n">
        <v>0</v>
      </c>
      <c r="P981" t="n">
        <v>0</v>
      </c>
      <c r="Q981" t="n">
        <v>1</v>
      </c>
      <c r="R981" s="2" t="inlineStr">
        <is>
          <t>Stuplav</t>
        </is>
      </c>
      <c r="S981">
        <f>HYPERLINK("https://klasma.github.io/Logging_ARE/artfynd/A 58117-2021.xlsx")</f>
        <v/>
      </c>
      <c r="T981">
        <f>HYPERLINK("https://klasma.github.io/Logging_ARE/kartor/A 58117-2021.png")</f>
        <v/>
      </c>
      <c r="V981">
        <f>HYPERLINK("https://klasma.github.io/Logging_ARE/klagomål/A 58117-2021.docx")</f>
        <v/>
      </c>
      <c r="W981">
        <f>HYPERLINK("https://klasma.github.io/Logging_ARE/klagomålsmail/A 58117-2021.docx")</f>
        <v/>
      </c>
      <c r="X981">
        <f>HYPERLINK("https://klasma.github.io/Logging_ARE/tillsyn/A 58117-2021.docx")</f>
        <v/>
      </c>
      <c r="Y981">
        <f>HYPERLINK("https://klasma.github.io/Logging_ARE/tillsynsmail/A 58117-2021.docx")</f>
        <v/>
      </c>
    </row>
    <row r="982" ht="15" customHeight="1">
      <c r="A982" t="inlineStr">
        <is>
          <t>A 58226-2021</t>
        </is>
      </c>
      <c r="B982" s="1" t="n">
        <v>44487</v>
      </c>
      <c r="C982" s="1" t="n">
        <v>45182</v>
      </c>
      <c r="D982" t="inlineStr">
        <is>
          <t>JÄMTLANDS LÄN</t>
        </is>
      </c>
      <c r="E982" t="inlineStr">
        <is>
          <t>ÅRE</t>
        </is>
      </c>
      <c r="G982" t="n">
        <v>62.3</v>
      </c>
      <c r="H982" t="n">
        <v>0</v>
      </c>
      <c r="I982" t="n">
        <v>1</v>
      </c>
      <c r="J982" t="n">
        <v>0</v>
      </c>
      <c r="K982" t="n">
        <v>0</v>
      </c>
      <c r="L982" t="n">
        <v>0</v>
      </c>
      <c r="M982" t="n">
        <v>0</v>
      </c>
      <c r="N982" t="n">
        <v>0</v>
      </c>
      <c r="O982" t="n">
        <v>0</v>
      </c>
      <c r="P982" t="n">
        <v>0</v>
      </c>
      <c r="Q982" t="n">
        <v>1</v>
      </c>
      <c r="R982" s="2" t="inlineStr">
        <is>
          <t>Kambräken</t>
        </is>
      </c>
      <c r="S982">
        <f>HYPERLINK("https://klasma.github.io/Logging_ARE/artfynd/A 58226-2021.xlsx")</f>
        <v/>
      </c>
      <c r="T982">
        <f>HYPERLINK("https://klasma.github.io/Logging_ARE/kartor/A 58226-2021.png")</f>
        <v/>
      </c>
      <c r="V982">
        <f>HYPERLINK("https://klasma.github.io/Logging_ARE/klagomål/A 58226-2021.docx")</f>
        <v/>
      </c>
      <c r="W982">
        <f>HYPERLINK("https://klasma.github.io/Logging_ARE/klagomålsmail/A 58226-2021.docx")</f>
        <v/>
      </c>
      <c r="X982">
        <f>HYPERLINK("https://klasma.github.io/Logging_ARE/tillsyn/A 58226-2021.docx")</f>
        <v/>
      </c>
      <c r="Y982">
        <f>HYPERLINK("https://klasma.github.io/Logging_ARE/tillsynsmail/A 58226-2021.docx")</f>
        <v/>
      </c>
    </row>
    <row r="983" ht="15" customHeight="1">
      <c r="A983" t="inlineStr">
        <is>
          <t>A 59433-2021</t>
        </is>
      </c>
      <c r="B983" s="1" t="n">
        <v>44491</v>
      </c>
      <c r="C983" s="1" t="n">
        <v>45182</v>
      </c>
      <c r="D983" t="inlineStr">
        <is>
          <t>JÄMTLANDS LÄN</t>
        </is>
      </c>
      <c r="E983" t="inlineStr">
        <is>
          <t>ÖSTERSUND</t>
        </is>
      </c>
      <c r="F983" t="inlineStr">
        <is>
          <t>Övriga statliga verk och myndigheter</t>
        </is>
      </c>
      <c r="G983" t="n">
        <v>1.6</v>
      </c>
      <c r="H983" t="n">
        <v>0</v>
      </c>
      <c r="I983" t="n">
        <v>0</v>
      </c>
      <c r="J983" t="n">
        <v>1</v>
      </c>
      <c r="K983" t="n">
        <v>0</v>
      </c>
      <c r="L983" t="n">
        <v>0</v>
      </c>
      <c r="M983" t="n">
        <v>0</v>
      </c>
      <c r="N983" t="n">
        <v>0</v>
      </c>
      <c r="O983" t="n">
        <v>1</v>
      </c>
      <c r="P983" t="n">
        <v>0</v>
      </c>
      <c r="Q983" t="n">
        <v>1</v>
      </c>
      <c r="R983" s="2" t="inlineStr">
        <is>
          <t>Brunpudrad nållav</t>
        </is>
      </c>
      <c r="S983">
        <f>HYPERLINK("https://klasma.github.io/Logging_OSTERSUND/artfynd/A 59433-2021.xlsx")</f>
        <v/>
      </c>
      <c r="T983">
        <f>HYPERLINK("https://klasma.github.io/Logging_OSTERSUND/kartor/A 59433-2021.png")</f>
        <v/>
      </c>
      <c r="V983">
        <f>HYPERLINK("https://klasma.github.io/Logging_OSTERSUND/klagomål/A 59433-2021.docx")</f>
        <v/>
      </c>
      <c r="W983">
        <f>HYPERLINK("https://klasma.github.io/Logging_OSTERSUND/klagomålsmail/A 59433-2021.docx")</f>
        <v/>
      </c>
      <c r="X983">
        <f>HYPERLINK("https://klasma.github.io/Logging_OSTERSUND/tillsyn/A 59433-2021.docx")</f>
        <v/>
      </c>
      <c r="Y983">
        <f>HYPERLINK("https://klasma.github.io/Logging_OSTERSUND/tillsynsmail/A 59433-2021.docx")</f>
        <v/>
      </c>
    </row>
    <row r="984" ht="15" customHeight="1">
      <c r="A984" t="inlineStr">
        <is>
          <t>A 60006-2021</t>
        </is>
      </c>
      <c r="B984" s="1" t="n">
        <v>44494</v>
      </c>
      <c r="C984" s="1" t="n">
        <v>45182</v>
      </c>
      <c r="D984" t="inlineStr">
        <is>
          <t>JÄMTLANDS LÄN</t>
        </is>
      </c>
      <c r="E984" t="inlineStr">
        <is>
          <t>KROKOM</t>
        </is>
      </c>
      <c r="F984" t="inlineStr">
        <is>
          <t>SCA</t>
        </is>
      </c>
      <c r="G984" t="n">
        <v>7.5</v>
      </c>
      <c r="H984" t="n">
        <v>0</v>
      </c>
      <c r="I984" t="n">
        <v>0</v>
      </c>
      <c r="J984" t="n">
        <v>1</v>
      </c>
      <c r="K984" t="n">
        <v>0</v>
      </c>
      <c r="L984" t="n">
        <v>0</v>
      </c>
      <c r="M984" t="n">
        <v>0</v>
      </c>
      <c r="N984" t="n">
        <v>0</v>
      </c>
      <c r="O984" t="n">
        <v>1</v>
      </c>
      <c r="P984" t="n">
        <v>0</v>
      </c>
      <c r="Q984" t="n">
        <v>1</v>
      </c>
      <c r="R984" s="2" t="inlineStr">
        <is>
          <t>Flattoppad klubbsvamp</t>
        </is>
      </c>
      <c r="S984">
        <f>HYPERLINK("https://klasma.github.io/Logging_KROKOM/artfynd/A 60006-2021.xlsx")</f>
        <v/>
      </c>
      <c r="T984">
        <f>HYPERLINK("https://klasma.github.io/Logging_KROKOM/kartor/A 60006-2021.png")</f>
        <v/>
      </c>
      <c r="V984">
        <f>HYPERLINK("https://klasma.github.io/Logging_KROKOM/klagomål/A 60006-2021.docx")</f>
        <v/>
      </c>
      <c r="W984">
        <f>HYPERLINK("https://klasma.github.io/Logging_KROKOM/klagomålsmail/A 60006-2021.docx")</f>
        <v/>
      </c>
      <c r="X984">
        <f>HYPERLINK("https://klasma.github.io/Logging_KROKOM/tillsyn/A 60006-2021.docx")</f>
        <v/>
      </c>
      <c r="Y984">
        <f>HYPERLINK("https://klasma.github.io/Logging_KROKOM/tillsynsmail/A 60006-2021.docx")</f>
        <v/>
      </c>
    </row>
    <row r="985" ht="15" customHeight="1">
      <c r="A985" t="inlineStr">
        <is>
          <t>A 61482-2021</t>
        </is>
      </c>
      <c r="B985" s="1" t="n">
        <v>44500</v>
      </c>
      <c r="C985" s="1" t="n">
        <v>45182</v>
      </c>
      <c r="D985" t="inlineStr">
        <is>
          <t>JÄMTLANDS LÄN</t>
        </is>
      </c>
      <c r="E985" t="inlineStr">
        <is>
          <t>STRÖMSUND</t>
        </is>
      </c>
      <c r="F985" t="inlineStr">
        <is>
          <t>SCA</t>
        </is>
      </c>
      <c r="G985" t="n">
        <v>5.9</v>
      </c>
      <c r="H985" t="n">
        <v>0</v>
      </c>
      <c r="I985" t="n">
        <v>0</v>
      </c>
      <c r="J985" t="n">
        <v>1</v>
      </c>
      <c r="K985" t="n">
        <v>0</v>
      </c>
      <c r="L985" t="n">
        <v>0</v>
      </c>
      <c r="M985" t="n">
        <v>0</v>
      </c>
      <c r="N985" t="n">
        <v>0</v>
      </c>
      <c r="O985" t="n">
        <v>1</v>
      </c>
      <c r="P985" t="n">
        <v>0</v>
      </c>
      <c r="Q985" t="n">
        <v>1</v>
      </c>
      <c r="R985" s="2" t="inlineStr">
        <is>
          <t>Lunglav</t>
        </is>
      </c>
      <c r="S985">
        <f>HYPERLINK("https://klasma.github.io/Logging_STROMSUND/artfynd/A 61482-2021.xlsx")</f>
        <v/>
      </c>
      <c r="T985">
        <f>HYPERLINK("https://klasma.github.io/Logging_STROMSUND/kartor/A 61482-2021.png")</f>
        <v/>
      </c>
      <c r="V985">
        <f>HYPERLINK("https://klasma.github.io/Logging_STROMSUND/klagomål/A 61482-2021.docx")</f>
        <v/>
      </c>
      <c r="W985">
        <f>HYPERLINK("https://klasma.github.io/Logging_STROMSUND/klagomålsmail/A 61482-2021.docx")</f>
        <v/>
      </c>
      <c r="X985">
        <f>HYPERLINK("https://klasma.github.io/Logging_STROMSUND/tillsyn/A 61482-2021.docx")</f>
        <v/>
      </c>
      <c r="Y985">
        <f>HYPERLINK("https://klasma.github.io/Logging_STROMSUND/tillsynsmail/A 61482-2021.docx")</f>
        <v/>
      </c>
    </row>
    <row r="986" ht="15" customHeight="1">
      <c r="A986" t="inlineStr">
        <is>
          <t>A 61437-2021</t>
        </is>
      </c>
      <c r="B986" s="1" t="n">
        <v>44500</v>
      </c>
      <c r="C986" s="1" t="n">
        <v>45182</v>
      </c>
      <c r="D986" t="inlineStr">
        <is>
          <t>JÄMTLANDS LÄN</t>
        </is>
      </c>
      <c r="E986" t="inlineStr">
        <is>
          <t>STRÖMSUND</t>
        </is>
      </c>
      <c r="F986" t="inlineStr">
        <is>
          <t>SCA</t>
        </is>
      </c>
      <c r="G986" t="n">
        <v>3.6</v>
      </c>
      <c r="H986" t="n">
        <v>0</v>
      </c>
      <c r="I986" t="n">
        <v>0</v>
      </c>
      <c r="J986" t="n">
        <v>1</v>
      </c>
      <c r="K986" t="n">
        <v>0</v>
      </c>
      <c r="L986" t="n">
        <v>0</v>
      </c>
      <c r="M986" t="n">
        <v>0</v>
      </c>
      <c r="N986" t="n">
        <v>0</v>
      </c>
      <c r="O986" t="n">
        <v>1</v>
      </c>
      <c r="P986" t="n">
        <v>0</v>
      </c>
      <c r="Q986" t="n">
        <v>1</v>
      </c>
      <c r="R986" s="2" t="inlineStr">
        <is>
          <t>Rödbrun klubbdyna</t>
        </is>
      </c>
      <c r="S986">
        <f>HYPERLINK("https://klasma.github.io/Logging_STROMSUND/artfynd/A 61437-2021.xlsx")</f>
        <v/>
      </c>
      <c r="T986">
        <f>HYPERLINK("https://klasma.github.io/Logging_STROMSUND/kartor/A 61437-2021.png")</f>
        <v/>
      </c>
      <c r="V986">
        <f>HYPERLINK("https://klasma.github.io/Logging_STROMSUND/klagomål/A 61437-2021.docx")</f>
        <v/>
      </c>
      <c r="W986">
        <f>HYPERLINK("https://klasma.github.io/Logging_STROMSUND/klagomålsmail/A 61437-2021.docx")</f>
        <v/>
      </c>
      <c r="X986">
        <f>HYPERLINK("https://klasma.github.io/Logging_STROMSUND/tillsyn/A 61437-2021.docx")</f>
        <v/>
      </c>
      <c r="Y986">
        <f>HYPERLINK("https://klasma.github.io/Logging_STROMSUND/tillsynsmail/A 61437-2021.docx")</f>
        <v/>
      </c>
    </row>
    <row r="987" ht="15" customHeight="1">
      <c r="A987" t="inlineStr">
        <is>
          <t>A 62188-2021</t>
        </is>
      </c>
      <c r="B987" s="1" t="n">
        <v>44502</v>
      </c>
      <c r="C987" s="1" t="n">
        <v>45182</v>
      </c>
      <c r="D987" t="inlineStr">
        <is>
          <t>JÄMTLANDS LÄN</t>
        </is>
      </c>
      <c r="E987" t="inlineStr">
        <is>
          <t>ÅRE</t>
        </is>
      </c>
      <c r="G987" t="n">
        <v>2.5</v>
      </c>
      <c r="H987" t="n">
        <v>0</v>
      </c>
      <c r="I987" t="n">
        <v>1</v>
      </c>
      <c r="J987" t="n">
        <v>0</v>
      </c>
      <c r="K987" t="n">
        <v>0</v>
      </c>
      <c r="L987" t="n">
        <v>0</v>
      </c>
      <c r="M987" t="n">
        <v>0</v>
      </c>
      <c r="N987" t="n">
        <v>0</v>
      </c>
      <c r="O987" t="n">
        <v>0</v>
      </c>
      <c r="P987" t="n">
        <v>0</v>
      </c>
      <c r="Q987" t="n">
        <v>1</v>
      </c>
      <c r="R987" s="2" t="inlineStr">
        <is>
          <t>Svart trolldruva</t>
        </is>
      </c>
      <c r="S987">
        <f>HYPERLINK("https://klasma.github.io/Logging_ARE/artfynd/A 62188-2021.xlsx")</f>
        <v/>
      </c>
      <c r="T987">
        <f>HYPERLINK("https://klasma.github.io/Logging_ARE/kartor/A 62188-2021.png")</f>
        <v/>
      </c>
      <c r="V987">
        <f>HYPERLINK("https://klasma.github.io/Logging_ARE/klagomål/A 62188-2021.docx")</f>
        <v/>
      </c>
      <c r="W987">
        <f>HYPERLINK("https://klasma.github.io/Logging_ARE/klagomålsmail/A 62188-2021.docx")</f>
        <v/>
      </c>
      <c r="X987">
        <f>HYPERLINK("https://klasma.github.io/Logging_ARE/tillsyn/A 62188-2021.docx")</f>
        <v/>
      </c>
      <c r="Y987">
        <f>HYPERLINK("https://klasma.github.io/Logging_ARE/tillsynsmail/A 62188-2021.docx")</f>
        <v/>
      </c>
    </row>
    <row r="988" ht="15" customHeight="1">
      <c r="A988" t="inlineStr">
        <is>
          <t>A 63975-2021</t>
        </is>
      </c>
      <c r="B988" s="1" t="n">
        <v>44509</v>
      </c>
      <c r="C988" s="1" t="n">
        <v>45182</v>
      </c>
      <c r="D988" t="inlineStr">
        <is>
          <t>JÄMTLANDS LÄN</t>
        </is>
      </c>
      <c r="E988" t="inlineStr">
        <is>
          <t>ÅRE</t>
        </is>
      </c>
      <c r="G988" t="n">
        <v>2.4</v>
      </c>
      <c r="H988" t="n">
        <v>0</v>
      </c>
      <c r="I988" t="n">
        <v>1</v>
      </c>
      <c r="J988" t="n">
        <v>0</v>
      </c>
      <c r="K988" t="n">
        <v>0</v>
      </c>
      <c r="L988" t="n">
        <v>0</v>
      </c>
      <c r="M988" t="n">
        <v>0</v>
      </c>
      <c r="N988" t="n">
        <v>0</v>
      </c>
      <c r="O988" t="n">
        <v>0</v>
      </c>
      <c r="P988" t="n">
        <v>0</v>
      </c>
      <c r="Q988" t="n">
        <v>1</v>
      </c>
      <c r="R988" s="2" t="inlineStr">
        <is>
          <t>Svart trolldruva</t>
        </is>
      </c>
      <c r="S988">
        <f>HYPERLINK("https://klasma.github.io/Logging_ARE/artfynd/A 63975-2021.xlsx")</f>
        <v/>
      </c>
      <c r="T988">
        <f>HYPERLINK("https://klasma.github.io/Logging_ARE/kartor/A 63975-2021.png")</f>
        <v/>
      </c>
      <c r="V988">
        <f>HYPERLINK("https://klasma.github.io/Logging_ARE/klagomål/A 63975-2021.docx")</f>
        <v/>
      </c>
      <c r="W988">
        <f>HYPERLINK("https://klasma.github.io/Logging_ARE/klagomålsmail/A 63975-2021.docx")</f>
        <v/>
      </c>
      <c r="X988">
        <f>HYPERLINK("https://klasma.github.io/Logging_ARE/tillsyn/A 63975-2021.docx")</f>
        <v/>
      </c>
      <c r="Y988">
        <f>HYPERLINK("https://klasma.github.io/Logging_ARE/tillsynsmail/A 63975-2021.docx")</f>
        <v/>
      </c>
    </row>
    <row r="989" ht="15" customHeight="1">
      <c r="A989" t="inlineStr">
        <is>
          <t>A 64301-2021</t>
        </is>
      </c>
      <c r="B989" s="1" t="n">
        <v>44510</v>
      </c>
      <c r="C989" s="1" t="n">
        <v>45182</v>
      </c>
      <c r="D989" t="inlineStr">
        <is>
          <t>JÄMTLANDS LÄN</t>
        </is>
      </c>
      <c r="E989" t="inlineStr">
        <is>
          <t>KROKOM</t>
        </is>
      </c>
      <c r="G989" t="n">
        <v>3.3</v>
      </c>
      <c r="H989" t="n">
        <v>1</v>
      </c>
      <c r="I989" t="n">
        <v>0</v>
      </c>
      <c r="J989" t="n">
        <v>1</v>
      </c>
      <c r="K989" t="n">
        <v>0</v>
      </c>
      <c r="L989" t="n">
        <v>0</v>
      </c>
      <c r="M989" t="n">
        <v>0</v>
      </c>
      <c r="N989" t="n">
        <v>0</v>
      </c>
      <c r="O989" t="n">
        <v>1</v>
      </c>
      <c r="P989" t="n">
        <v>0</v>
      </c>
      <c r="Q989" t="n">
        <v>1</v>
      </c>
      <c r="R989" s="2" t="inlineStr">
        <is>
          <t>Tretåig hackspett</t>
        </is>
      </c>
      <c r="S989">
        <f>HYPERLINK("https://klasma.github.io/Logging_KROKOM/artfynd/A 64301-2021.xlsx")</f>
        <v/>
      </c>
      <c r="T989">
        <f>HYPERLINK("https://klasma.github.io/Logging_KROKOM/kartor/A 64301-2021.png")</f>
        <v/>
      </c>
      <c r="V989">
        <f>HYPERLINK("https://klasma.github.io/Logging_KROKOM/klagomål/A 64301-2021.docx")</f>
        <v/>
      </c>
      <c r="W989">
        <f>HYPERLINK("https://klasma.github.io/Logging_KROKOM/klagomålsmail/A 64301-2021.docx")</f>
        <v/>
      </c>
      <c r="X989">
        <f>HYPERLINK("https://klasma.github.io/Logging_KROKOM/tillsyn/A 64301-2021.docx")</f>
        <v/>
      </c>
      <c r="Y989">
        <f>HYPERLINK("https://klasma.github.io/Logging_KROKOM/tillsynsmail/A 64301-2021.docx")</f>
        <v/>
      </c>
    </row>
    <row r="990" ht="15" customHeight="1">
      <c r="A990" t="inlineStr">
        <is>
          <t>A 64658-2021</t>
        </is>
      </c>
      <c r="B990" s="1" t="n">
        <v>44511</v>
      </c>
      <c r="C990" s="1" t="n">
        <v>45182</v>
      </c>
      <c r="D990" t="inlineStr">
        <is>
          <t>JÄMTLANDS LÄN</t>
        </is>
      </c>
      <c r="E990" t="inlineStr">
        <is>
          <t>STRÖMSUND</t>
        </is>
      </c>
      <c r="F990" t="inlineStr">
        <is>
          <t>SCA</t>
        </is>
      </c>
      <c r="G990" t="n">
        <v>4.7</v>
      </c>
      <c r="H990" t="n">
        <v>0</v>
      </c>
      <c r="I990" t="n">
        <v>0</v>
      </c>
      <c r="J990" t="n">
        <v>1</v>
      </c>
      <c r="K990" t="n">
        <v>0</v>
      </c>
      <c r="L990" t="n">
        <v>0</v>
      </c>
      <c r="M990" t="n">
        <v>0</v>
      </c>
      <c r="N990" t="n">
        <v>0</v>
      </c>
      <c r="O990" t="n">
        <v>1</v>
      </c>
      <c r="P990" t="n">
        <v>0</v>
      </c>
      <c r="Q990" t="n">
        <v>1</v>
      </c>
      <c r="R990" s="2" t="inlineStr">
        <is>
          <t>Harticka</t>
        </is>
      </c>
      <c r="S990">
        <f>HYPERLINK("https://klasma.github.io/Logging_STROMSUND/artfynd/A 64658-2021.xlsx")</f>
        <v/>
      </c>
      <c r="T990">
        <f>HYPERLINK("https://klasma.github.io/Logging_STROMSUND/kartor/A 64658-2021.png")</f>
        <v/>
      </c>
      <c r="V990">
        <f>HYPERLINK("https://klasma.github.io/Logging_STROMSUND/klagomål/A 64658-2021.docx")</f>
        <v/>
      </c>
      <c r="W990">
        <f>HYPERLINK("https://klasma.github.io/Logging_STROMSUND/klagomålsmail/A 64658-2021.docx")</f>
        <v/>
      </c>
      <c r="X990">
        <f>HYPERLINK("https://klasma.github.io/Logging_STROMSUND/tillsyn/A 64658-2021.docx")</f>
        <v/>
      </c>
      <c r="Y990">
        <f>HYPERLINK("https://klasma.github.io/Logging_STROMSUND/tillsynsmail/A 64658-2021.docx")</f>
        <v/>
      </c>
    </row>
    <row r="991" ht="15" customHeight="1">
      <c r="A991" t="inlineStr">
        <is>
          <t>A 64951-2021</t>
        </is>
      </c>
      <c r="B991" s="1" t="n">
        <v>44512</v>
      </c>
      <c r="C991" s="1" t="n">
        <v>45182</v>
      </c>
      <c r="D991" t="inlineStr">
        <is>
          <t>JÄMTLANDS LÄN</t>
        </is>
      </c>
      <c r="E991" t="inlineStr">
        <is>
          <t>KROKOM</t>
        </is>
      </c>
      <c r="F991" t="inlineStr">
        <is>
          <t>SCA</t>
        </is>
      </c>
      <c r="G991" t="n">
        <v>2.5</v>
      </c>
      <c r="H991" t="n">
        <v>0</v>
      </c>
      <c r="I991" t="n">
        <v>1</v>
      </c>
      <c r="J991" t="n">
        <v>0</v>
      </c>
      <c r="K991" t="n">
        <v>0</v>
      </c>
      <c r="L991" t="n">
        <v>0</v>
      </c>
      <c r="M991" t="n">
        <v>0</v>
      </c>
      <c r="N991" t="n">
        <v>0</v>
      </c>
      <c r="O991" t="n">
        <v>0</v>
      </c>
      <c r="P991" t="n">
        <v>0</v>
      </c>
      <c r="Q991" t="n">
        <v>1</v>
      </c>
      <c r="R991" s="2" t="inlineStr">
        <is>
          <t>Kransrams</t>
        </is>
      </c>
      <c r="S991">
        <f>HYPERLINK("https://klasma.github.io/Logging_KROKOM/artfynd/A 64951-2021.xlsx")</f>
        <v/>
      </c>
      <c r="T991">
        <f>HYPERLINK("https://klasma.github.io/Logging_KROKOM/kartor/A 64951-2021.png")</f>
        <v/>
      </c>
      <c r="V991">
        <f>HYPERLINK("https://klasma.github.io/Logging_KROKOM/klagomål/A 64951-2021.docx")</f>
        <v/>
      </c>
      <c r="W991">
        <f>HYPERLINK("https://klasma.github.io/Logging_KROKOM/klagomålsmail/A 64951-2021.docx")</f>
        <v/>
      </c>
      <c r="X991">
        <f>HYPERLINK("https://klasma.github.io/Logging_KROKOM/tillsyn/A 64951-2021.docx")</f>
        <v/>
      </c>
      <c r="Y991">
        <f>HYPERLINK("https://klasma.github.io/Logging_KROKOM/tillsynsmail/A 64951-2021.docx")</f>
        <v/>
      </c>
    </row>
    <row r="992" ht="15" customHeight="1">
      <c r="A992" t="inlineStr">
        <is>
          <t>A 64968-2021</t>
        </is>
      </c>
      <c r="B992" s="1" t="n">
        <v>44512</v>
      </c>
      <c r="C992" s="1" t="n">
        <v>45182</v>
      </c>
      <c r="D992" t="inlineStr">
        <is>
          <t>JÄMTLANDS LÄN</t>
        </is>
      </c>
      <c r="E992" t="inlineStr">
        <is>
          <t>KROKOM</t>
        </is>
      </c>
      <c r="F992" t="inlineStr">
        <is>
          <t>SCA</t>
        </is>
      </c>
      <c r="G992" t="n">
        <v>3.2</v>
      </c>
      <c r="H992" t="n">
        <v>0</v>
      </c>
      <c r="I992" t="n">
        <v>0</v>
      </c>
      <c r="J992" t="n">
        <v>1</v>
      </c>
      <c r="K992" t="n">
        <v>0</v>
      </c>
      <c r="L992" t="n">
        <v>0</v>
      </c>
      <c r="M992" t="n">
        <v>0</v>
      </c>
      <c r="N992" t="n">
        <v>0</v>
      </c>
      <c r="O992" t="n">
        <v>1</v>
      </c>
      <c r="P992" t="n">
        <v>0</v>
      </c>
      <c r="Q992" t="n">
        <v>1</v>
      </c>
      <c r="R992" s="2" t="inlineStr">
        <is>
          <t>Skrovellav</t>
        </is>
      </c>
      <c r="S992">
        <f>HYPERLINK("https://klasma.github.io/Logging_KROKOM/artfynd/A 64968-2021.xlsx")</f>
        <v/>
      </c>
      <c r="T992">
        <f>HYPERLINK("https://klasma.github.io/Logging_KROKOM/kartor/A 64968-2021.png")</f>
        <v/>
      </c>
      <c r="V992">
        <f>HYPERLINK("https://klasma.github.io/Logging_KROKOM/klagomål/A 64968-2021.docx")</f>
        <v/>
      </c>
      <c r="W992">
        <f>HYPERLINK("https://klasma.github.io/Logging_KROKOM/klagomålsmail/A 64968-2021.docx")</f>
        <v/>
      </c>
      <c r="X992">
        <f>HYPERLINK("https://klasma.github.io/Logging_KROKOM/tillsyn/A 64968-2021.docx")</f>
        <v/>
      </c>
      <c r="Y992">
        <f>HYPERLINK("https://klasma.github.io/Logging_KROKOM/tillsynsmail/A 64968-2021.docx")</f>
        <v/>
      </c>
    </row>
    <row r="993" ht="15" customHeight="1">
      <c r="A993" t="inlineStr">
        <is>
          <t>A 66483-2021</t>
        </is>
      </c>
      <c r="B993" s="1" t="n">
        <v>44518</v>
      </c>
      <c r="C993" s="1" t="n">
        <v>45182</v>
      </c>
      <c r="D993" t="inlineStr">
        <is>
          <t>JÄMTLANDS LÄN</t>
        </is>
      </c>
      <c r="E993" t="inlineStr">
        <is>
          <t>STRÖMSUND</t>
        </is>
      </c>
      <c r="F993" t="inlineStr">
        <is>
          <t>SCA</t>
        </is>
      </c>
      <c r="G993" t="n">
        <v>10.2</v>
      </c>
      <c r="H993" t="n">
        <v>0</v>
      </c>
      <c r="I993" t="n">
        <v>0</v>
      </c>
      <c r="J993" t="n">
        <v>1</v>
      </c>
      <c r="K993" t="n">
        <v>0</v>
      </c>
      <c r="L993" t="n">
        <v>0</v>
      </c>
      <c r="M993" t="n">
        <v>0</v>
      </c>
      <c r="N993" t="n">
        <v>0</v>
      </c>
      <c r="O993" t="n">
        <v>1</v>
      </c>
      <c r="P993" t="n">
        <v>0</v>
      </c>
      <c r="Q993" t="n">
        <v>1</v>
      </c>
      <c r="R993" s="2" t="inlineStr">
        <is>
          <t>Knottrig blåslav</t>
        </is>
      </c>
      <c r="S993">
        <f>HYPERLINK("https://klasma.github.io/Logging_STROMSUND/artfynd/A 66483-2021.xlsx")</f>
        <v/>
      </c>
      <c r="T993">
        <f>HYPERLINK("https://klasma.github.io/Logging_STROMSUND/kartor/A 66483-2021.png")</f>
        <v/>
      </c>
      <c r="V993">
        <f>HYPERLINK("https://klasma.github.io/Logging_STROMSUND/klagomål/A 66483-2021.docx")</f>
        <v/>
      </c>
      <c r="W993">
        <f>HYPERLINK("https://klasma.github.io/Logging_STROMSUND/klagomålsmail/A 66483-2021.docx")</f>
        <v/>
      </c>
      <c r="X993">
        <f>HYPERLINK("https://klasma.github.io/Logging_STROMSUND/tillsyn/A 66483-2021.docx")</f>
        <v/>
      </c>
      <c r="Y993">
        <f>HYPERLINK("https://klasma.github.io/Logging_STROMSUND/tillsynsmail/A 66483-2021.docx")</f>
        <v/>
      </c>
    </row>
    <row r="994" ht="15" customHeight="1">
      <c r="A994" t="inlineStr">
        <is>
          <t>A 67701-2021</t>
        </is>
      </c>
      <c r="B994" s="1" t="n">
        <v>44524</v>
      </c>
      <c r="C994" s="1" t="n">
        <v>45182</v>
      </c>
      <c r="D994" t="inlineStr">
        <is>
          <t>JÄMTLANDS LÄN</t>
        </is>
      </c>
      <c r="E994" t="inlineStr">
        <is>
          <t>KROKOM</t>
        </is>
      </c>
      <c r="F994" t="inlineStr">
        <is>
          <t>SCA</t>
        </is>
      </c>
      <c r="G994" t="n">
        <v>3.1</v>
      </c>
      <c r="H994" t="n">
        <v>0</v>
      </c>
      <c r="I994" t="n">
        <v>1</v>
      </c>
      <c r="J994" t="n">
        <v>0</v>
      </c>
      <c r="K994" t="n">
        <v>0</v>
      </c>
      <c r="L994" t="n">
        <v>0</v>
      </c>
      <c r="M994" t="n">
        <v>0</v>
      </c>
      <c r="N994" t="n">
        <v>0</v>
      </c>
      <c r="O994" t="n">
        <v>0</v>
      </c>
      <c r="P994" t="n">
        <v>0</v>
      </c>
      <c r="Q994" t="n">
        <v>1</v>
      </c>
      <c r="R994" s="2" t="inlineStr">
        <is>
          <t>Trådticka</t>
        </is>
      </c>
      <c r="S994">
        <f>HYPERLINK("https://klasma.github.io/Logging_KROKOM/artfynd/A 67701-2021.xlsx")</f>
        <v/>
      </c>
      <c r="T994">
        <f>HYPERLINK("https://klasma.github.io/Logging_KROKOM/kartor/A 67701-2021.png")</f>
        <v/>
      </c>
      <c r="V994">
        <f>HYPERLINK("https://klasma.github.io/Logging_KROKOM/klagomål/A 67701-2021.docx")</f>
        <v/>
      </c>
      <c r="W994">
        <f>HYPERLINK("https://klasma.github.io/Logging_KROKOM/klagomålsmail/A 67701-2021.docx")</f>
        <v/>
      </c>
      <c r="X994">
        <f>HYPERLINK("https://klasma.github.io/Logging_KROKOM/tillsyn/A 67701-2021.docx")</f>
        <v/>
      </c>
      <c r="Y994">
        <f>HYPERLINK("https://klasma.github.io/Logging_KROKOM/tillsynsmail/A 67701-2021.docx")</f>
        <v/>
      </c>
    </row>
    <row r="995" ht="15" customHeight="1">
      <c r="A995" t="inlineStr">
        <is>
          <t>A 68434-2021</t>
        </is>
      </c>
      <c r="B995" s="1" t="n">
        <v>44529</v>
      </c>
      <c r="C995" s="1" t="n">
        <v>45182</v>
      </c>
      <c r="D995" t="inlineStr">
        <is>
          <t>JÄMTLANDS LÄN</t>
        </is>
      </c>
      <c r="E995" t="inlineStr">
        <is>
          <t>BERG</t>
        </is>
      </c>
      <c r="G995" t="n">
        <v>14</v>
      </c>
      <c r="H995" t="n">
        <v>0</v>
      </c>
      <c r="I995" t="n">
        <v>0</v>
      </c>
      <c r="J995" t="n">
        <v>0</v>
      </c>
      <c r="K995" t="n">
        <v>1</v>
      </c>
      <c r="L995" t="n">
        <v>0</v>
      </c>
      <c r="M995" t="n">
        <v>0</v>
      </c>
      <c r="N995" t="n">
        <v>0</v>
      </c>
      <c r="O995" t="n">
        <v>1</v>
      </c>
      <c r="P995" t="n">
        <v>1</v>
      </c>
      <c r="Q995" t="n">
        <v>1</v>
      </c>
      <c r="R995" s="2" t="inlineStr">
        <is>
          <t>Ostticka</t>
        </is>
      </c>
      <c r="S995">
        <f>HYPERLINK("https://klasma.github.io/Logging_BERG/artfynd/A 68434-2021.xlsx")</f>
        <v/>
      </c>
      <c r="T995">
        <f>HYPERLINK("https://klasma.github.io/Logging_BERG/kartor/A 68434-2021.png")</f>
        <v/>
      </c>
      <c r="V995">
        <f>HYPERLINK("https://klasma.github.io/Logging_BERG/klagomål/A 68434-2021.docx")</f>
        <v/>
      </c>
      <c r="W995">
        <f>HYPERLINK("https://klasma.github.io/Logging_BERG/klagomålsmail/A 68434-2021.docx")</f>
        <v/>
      </c>
      <c r="X995">
        <f>HYPERLINK("https://klasma.github.io/Logging_BERG/tillsyn/A 68434-2021.docx")</f>
        <v/>
      </c>
      <c r="Y995">
        <f>HYPERLINK("https://klasma.github.io/Logging_BERG/tillsynsmail/A 68434-2021.docx")</f>
        <v/>
      </c>
    </row>
    <row r="996" ht="15" customHeight="1">
      <c r="A996" t="inlineStr">
        <is>
          <t>A 68604-2021</t>
        </is>
      </c>
      <c r="B996" s="1" t="n">
        <v>44529</v>
      </c>
      <c r="C996" s="1" t="n">
        <v>45182</v>
      </c>
      <c r="D996" t="inlineStr">
        <is>
          <t>JÄMTLANDS LÄN</t>
        </is>
      </c>
      <c r="E996" t="inlineStr">
        <is>
          <t>STRÖMSUND</t>
        </is>
      </c>
      <c r="G996" t="n">
        <v>1.3</v>
      </c>
      <c r="H996" t="n">
        <v>0</v>
      </c>
      <c r="I996" t="n">
        <v>0</v>
      </c>
      <c r="J996" t="n">
        <v>1</v>
      </c>
      <c r="K996" t="n">
        <v>0</v>
      </c>
      <c r="L996" t="n">
        <v>0</v>
      </c>
      <c r="M996" t="n">
        <v>0</v>
      </c>
      <c r="N996" t="n">
        <v>0</v>
      </c>
      <c r="O996" t="n">
        <v>1</v>
      </c>
      <c r="P996" t="n">
        <v>0</v>
      </c>
      <c r="Q996" t="n">
        <v>1</v>
      </c>
      <c r="R996" s="2" t="inlineStr">
        <is>
          <t>Blanksvart spiklav</t>
        </is>
      </c>
      <c r="S996">
        <f>HYPERLINK("https://klasma.github.io/Logging_STROMSUND/artfynd/A 68604-2021.xlsx")</f>
        <v/>
      </c>
      <c r="T996">
        <f>HYPERLINK("https://klasma.github.io/Logging_STROMSUND/kartor/A 68604-2021.png")</f>
        <v/>
      </c>
      <c r="V996">
        <f>HYPERLINK("https://klasma.github.io/Logging_STROMSUND/klagomål/A 68604-2021.docx")</f>
        <v/>
      </c>
      <c r="W996">
        <f>HYPERLINK("https://klasma.github.io/Logging_STROMSUND/klagomålsmail/A 68604-2021.docx")</f>
        <v/>
      </c>
      <c r="X996">
        <f>HYPERLINK("https://klasma.github.io/Logging_STROMSUND/tillsyn/A 68604-2021.docx")</f>
        <v/>
      </c>
      <c r="Y996">
        <f>HYPERLINK("https://klasma.github.io/Logging_STROMSUND/tillsynsmail/A 68604-2021.docx")</f>
        <v/>
      </c>
    </row>
    <row r="997" ht="15" customHeight="1">
      <c r="A997" t="inlineStr">
        <is>
          <t>A 69134-2021</t>
        </is>
      </c>
      <c r="B997" s="1" t="n">
        <v>44530</v>
      </c>
      <c r="C997" s="1" t="n">
        <v>45182</v>
      </c>
      <c r="D997" t="inlineStr">
        <is>
          <t>JÄMTLANDS LÄN</t>
        </is>
      </c>
      <c r="E997" t="inlineStr">
        <is>
          <t>STRÖMSUND</t>
        </is>
      </c>
      <c r="G997" t="n">
        <v>9.4</v>
      </c>
      <c r="H997" t="n">
        <v>0</v>
      </c>
      <c r="I997" t="n">
        <v>0</v>
      </c>
      <c r="J997" t="n">
        <v>1</v>
      </c>
      <c r="K997" t="n">
        <v>0</v>
      </c>
      <c r="L997" t="n">
        <v>0</v>
      </c>
      <c r="M997" t="n">
        <v>0</v>
      </c>
      <c r="N997" t="n">
        <v>0</v>
      </c>
      <c r="O997" t="n">
        <v>1</v>
      </c>
      <c r="P997" t="n">
        <v>0</v>
      </c>
      <c r="Q997" t="n">
        <v>1</v>
      </c>
      <c r="R997" s="2" t="inlineStr">
        <is>
          <t>Garnlav</t>
        </is>
      </c>
      <c r="S997">
        <f>HYPERLINK("https://klasma.github.io/Logging_STROMSUND/artfynd/A 69134-2021.xlsx")</f>
        <v/>
      </c>
      <c r="T997">
        <f>HYPERLINK("https://klasma.github.io/Logging_STROMSUND/kartor/A 69134-2021.png")</f>
        <v/>
      </c>
      <c r="V997">
        <f>HYPERLINK("https://klasma.github.io/Logging_STROMSUND/klagomål/A 69134-2021.docx")</f>
        <v/>
      </c>
      <c r="W997">
        <f>HYPERLINK("https://klasma.github.io/Logging_STROMSUND/klagomålsmail/A 69134-2021.docx")</f>
        <v/>
      </c>
      <c r="X997">
        <f>HYPERLINK("https://klasma.github.io/Logging_STROMSUND/tillsyn/A 69134-2021.docx")</f>
        <v/>
      </c>
      <c r="Y997">
        <f>HYPERLINK("https://klasma.github.io/Logging_STROMSUND/tillsynsmail/A 69134-2021.docx")</f>
        <v/>
      </c>
    </row>
    <row r="998" ht="15" customHeight="1">
      <c r="A998" t="inlineStr">
        <is>
          <t>A 69154-2021</t>
        </is>
      </c>
      <c r="B998" s="1" t="n">
        <v>44530</v>
      </c>
      <c r="C998" s="1" t="n">
        <v>45182</v>
      </c>
      <c r="D998" t="inlineStr">
        <is>
          <t>JÄMTLANDS LÄN</t>
        </is>
      </c>
      <c r="E998" t="inlineStr">
        <is>
          <t>BRÄCKE</t>
        </is>
      </c>
      <c r="F998" t="inlineStr">
        <is>
          <t>SCA</t>
        </is>
      </c>
      <c r="G998" t="n">
        <v>3.4</v>
      </c>
      <c r="H998" t="n">
        <v>0</v>
      </c>
      <c r="I998" t="n">
        <v>0</v>
      </c>
      <c r="J998" t="n">
        <v>1</v>
      </c>
      <c r="K998" t="n">
        <v>0</v>
      </c>
      <c r="L998" t="n">
        <v>0</v>
      </c>
      <c r="M998" t="n">
        <v>0</v>
      </c>
      <c r="N998" t="n">
        <v>0</v>
      </c>
      <c r="O998" t="n">
        <v>1</v>
      </c>
      <c r="P998" t="n">
        <v>0</v>
      </c>
      <c r="Q998" t="n">
        <v>1</v>
      </c>
      <c r="R998" s="2" t="inlineStr">
        <is>
          <t>Lunglav</t>
        </is>
      </c>
      <c r="S998">
        <f>HYPERLINK("https://klasma.github.io/Logging_BRACKE/artfynd/A 69154-2021.xlsx")</f>
        <v/>
      </c>
      <c r="T998">
        <f>HYPERLINK("https://klasma.github.io/Logging_BRACKE/kartor/A 69154-2021.png")</f>
        <v/>
      </c>
      <c r="V998">
        <f>HYPERLINK("https://klasma.github.io/Logging_BRACKE/klagomål/A 69154-2021.docx")</f>
        <v/>
      </c>
      <c r="W998">
        <f>HYPERLINK("https://klasma.github.io/Logging_BRACKE/klagomålsmail/A 69154-2021.docx")</f>
        <v/>
      </c>
      <c r="X998">
        <f>HYPERLINK("https://klasma.github.io/Logging_BRACKE/tillsyn/A 69154-2021.docx")</f>
        <v/>
      </c>
      <c r="Y998">
        <f>HYPERLINK("https://klasma.github.io/Logging_BRACKE/tillsynsmail/A 69154-2021.docx")</f>
        <v/>
      </c>
    </row>
    <row r="999" ht="15" customHeight="1">
      <c r="A999" t="inlineStr">
        <is>
          <t>A 69137-2021</t>
        </is>
      </c>
      <c r="B999" s="1" t="n">
        <v>44530</v>
      </c>
      <c r="C999" s="1" t="n">
        <v>45182</v>
      </c>
      <c r="D999" t="inlineStr">
        <is>
          <t>JÄMTLANDS LÄN</t>
        </is>
      </c>
      <c r="E999" t="inlineStr">
        <is>
          <t>KROKOM</t>
        </is>
      </c>
      <c r="F999" t="inlineStr">
        <is>
          <t>SCA</t>
        </is>
      </c>
      <c r="G999" t="n">
        <v>30.5</v>
      </c>
      <c r="H999" t="n">
        <v>0</v>
      </c>
      <c r="I999" t="n">
        <v>0</v>
      </c>
      <c r="J999" t="n">
        <v>1</v>
      </c>
      <c r="K999" t="n">
        <v>0</v>
      </c>
      <c r="L999" t="n">
        <v>0</v>
      </c>
      <c r="M999" t="n">
        <v>0</v>
      </c>
      <c r="N999" t="n">
        <v>0</v>
      </c>
      <c r="O999" t="n">
        <v>1</v>
      </c>
      <c r="P999" t="n">
        <v>0</v>
      </c>
      <c r="Q999" t="n">
        <v>1</v>
      </c>
      <c r="R999" s="2" t="inlineStr">
        <is>
          <t>Garnlav</t>
        </is>
      </c>
      <c r="S999">
        <f>HYPERLINK("https://klasma.github.io/Logging_KROKOM/artfynd/A 69137-2021.xlsx")</f>
        <v/>
      </c>
      <c r="T999">
        <f>HYPERLINK("https://klasma.github.io/Logging_KROKOM/kartor/A 69137-2021.png")</f>
        <v/>
      </c>
      <c r="V999">
        <f>HYPERLINK("https://klasma.github.io/Logging_KROKOM/klagomål/A 69137-2021.docx")</f>
        <v/>
      </c>
      <c r="W999">
        <f>HYPERLINK("https://klasma.github.io/Logging_KROKOM/klagomålsmail/A 69137-2021.docx")</f>
        <v/>
      </c>
      <c r="X999">
        <f>HYPERLINK("https://klasma.github.io/Logging_KROKOM/tillsyn/A 69137-2021.docx")</f>
        <v/>
      </c>
      <c r="Y999">
        <f>HYPERLINK("https://klasma.github.io/Logging_KROKOM/tillsynsmail/A 69137-2021.docx")</f>
        <v/>
      </c>
    </row>
    <row r="1000" ht="15" customHeight="1">
      <c r="A1000" t="inlineStr">
        <is>
          <t>A 69551-2021</t>
        </is>
      </c>
      <c r="B1000" s="1" t="n">
        <v>44531</v>
      </c>
      <c r="C1000" s="1" t="n">
        <v>45182</v>
      </c>
      <c r="D1000" t="inlineStr">
        <is>
          <t>JÄMTLANDS LÄN</t>
        </is>
      </c>
      <c r="E1000" t="inlineStr">
        <is>
          <t>STRÖMSUND</t>
        </is>
      </c>
      <c r="F1000" t="inlineStr">
        <is>
          <t>SCA</t>
        </is>
      </c>
      <c r="G1000" t="n">
        <v>23.7</v>
      </c>
      <c r="H1000" t="n">
        <v>0</v>
      </c>
      <c r="I1000" t="n">
        <v>0</v>
      </c>
      <c r="J1000" t="n">
        <v>1</v>
      </c>
      <c r="K1000" t="n">
        <v>0</v>
      </c>
      <c r="L1000" t="n">
        <v>0</v>
      </c>
      <c r="M1000" t="n">
        <v>0</v>
      </c>
      <c r="N1000" t="n">
        <v>0</v>
      </c>
      <c r="O1000" t="n">
        <v>1</v>
      </c>
      <c r="P1000" t="n">
        <v>0</v>
      </c>
      <c r="Q1000" t="n">
        <v>1</v>
      </c>
      <c r="R1000" s="2" t="inlineStr">
        <is>
          <t>Skrovellav</t>
        </is>
      </c>
      <c r="S1000">
        <f>HYPERLINK("https://klasma.github.io/Logging_STROMSUND/artfynd/A 69551-2021.xlsx")</f>
        <v/>
      </c>
      <c r="T1000">
        <f>HYPERLINK("https://klasma.github.io/Logging_STROMSUND/kartor/A 69551-2021.png")</f>
        <v/>
      </c>
      <c r="V1000">
        <f>HYPERLINK("https://klasma.github.io/Logging_STROMSUND/klagomål/A 69551-2021.docx")</f>
        <v/>
      </c>
      <c r="W1000">
        <f>HYPERLINK("https://klasma.github.io/Logging_STROMSUND/klagomålsmail/A 69551-2021.docx")</f>
        <v/>
      </c>
      <c r="X1000">
        <f>HYPERLINK("https://klasma.github.io/Logging_STROMSUND/tillsyn/A 69551-2021.docx")</f>
        <v/>
      </c>
      <c r="Y1000">
        <f>HYPERLINK("https://klasma.github.io/Logging_STROMSUND/tillsynsmail/A 69551-2021.docx")</f>
        <v/>
      </c>
    </row>
    <row r="1001" ht="15" customHeight="1">
      <c r="A1001" t="inlineStr">
        <is>
          <t>A 71573-2021</t>
        </is>
      </c>
      <c r="B1001" s="1" t="n">
        <v>44540</v>
      </c>
      <c r="C1001" s="1" t="n">
        <v>45182</v>
      </c>
      <c r="D1001" t="inlineStr">
        <is>
          <t>JÄMTLANDS LÄN</t>
        </is>
      </c>
      <c r="E1001" t="inlineStr">
        <is>
          <t>KROKOM</t>
        </is>
      </c>
      <c r="G1001" t="n">
        <v>1</v>
      </c>
      <c r="H1001" t="n">
        <v>0</v>
      </c>
      <c r="I1001" t="n">
        <v>0</v>
      </c>
      <c r="J1001" t="n">
        <v>1</v>
      </c>
      <c r="K1001" t="n">
        <v>0</v>
      </c>
      <c r="L1001" t="n">
        <v>0</v>
      </c>
      <c r="M1001" t="n">
        <v>0</v>
      </c>
      <c r="N1001" t="n">
        <v>0</v>
      </c>
      <c r="O1001" t="n">
        <v>1</v>
      </c>
      <c r="P1001" t="n">
        <v>0</v>
      </c>
      <c r="Q1001" t="n">
        <v>1</v>
      </c>
      <c r="R1001" s="2" t="inlineStr">
        <is>
          <t>Doftskinn</t>
        </is>
      </c>
      <c r="S1001">
        <f>HYPERLINK("https://klasma.github.io/Logging_KROKOM/artfynd/A 71573-2021.xlsx")</f>
        <v/>
      </c>
      <c r="T1001">
        <f>HYPERLINK("https://klasma.github.io/Logging_KROKOM/kartor/A 71573-2021.png")</f>
        <v/>
      </c>
      <c r="V1001">
        <f>HYPERLINK("https://klasma.github.io/Logging_KROKOM/klagomål/A 71573-2021.docx")</f>
        <v/>
      </c>
      <c r="W1001">
        <f>HYPERLINK("https://klasma.github.io/Logging_KROKOM/klagomålsmail/A 71573-2021.docx")</f>
        <v/>
      </c>
      <c r="X1001">
        <f>HYPERLINK("https://klasma.github.io/Logging_KROKOM/tillsyn/A 71573-2021.docx")</f>
        <v/>
      </c>
      <c r="Y1001">
        <f>HYPERLINK("https://klasma.github.io/Logging_KROKOM/tillsynsmail/A 71573-2021.docx")</f>
        <v/>
      </c>
    </row>
    <row r="1002" ht="15" customHeight="1">
      <c r="A1002" t="inlineStr">
        <is>
          <t>A 71570-2021</t>
        </is>
      </c>
      <c r="B1002" s="1" t="n">
        <v>44540</v>
      </c>
      <c r="C1002" s="1" t="n">
        <v>45182</v>
      </c>
      <c r="D1002" t="inlineStr">
        <is>
          <t>JÄMTLANDS LÄN</t>
        </is>
      </c>
      <c r="E1002" t="inlineStr">
        <is>
          <t>KROKOM</t>
        </is>
      </c>
      <c r="G1002" t="n">
        <v>0.6</v>
      </c>
      <c r="H1002" t="n">
        <v>0</v>
      </c>
      <c r="I1002" t="n">
        <v>1</v>
      </c>
      <c r="J1002" t="n">
        <v>0</v>
      </c>
      <c r="K1002" t="n">
        <v>0</v>
      </c>
      <c r="L1002" t="n">
        <v>0</v>
      </c>
      <c r="M1002" t="n">
        <v>0</v>
      </c>
      <c r="N1002" t="n">
        <v>0</v>
      </c>
      <c r="O1002" t="n">
        <v>0</v>
      </c>
      <c r="P1002" t="n">
        <v>0</v>
      </c>
      <c r="Q1002" t="n">
        <v>1</v>
      </c>
      <c r="R1002" s="2" t="inlineStr">
        <is>
          <t>Ögonpyrola</t>
        </is>
      </c>
      <c r="S1002">
        <f>HYPERLINK("https://klasma.github.io/Logging_KROKOM/artfynd/A 71570-2021.xlsx")</f>
        <v/>
      </c>
      <c r="T1002">
        <f>HYPERLINK("https://klasma.github.io/Logging_KROKOM/kartor/A 71570-2021.png")</f>
        <v/>
      </c>
      <c r="V1002">
        <f>HYPERLINK("https://klasma.github.io/Logging_KROKOM/klagomål/A 71570-2021.docx")</f>
        <v/>
      </c>
      <c r="W1002">
        <f>HYPERLINK("https://klasma.github.io/Logging_KROKOM/klagomålsmail/A 71570-2021.docx")</f>
        <v/>
      </c>
      <c r="X1002">
        <f>HYPERLINK("https://klasma.github.io/Logging_KROKOM/tillsyn/A 71570-2021.docx")</f>
        <v/>
      </c>
      <c r="Y1002">
        <f>HYPERLINK("https://klasma.github.io/Logging_KROKOM/tillsynsmail/A 71570-2021.docx")</f>
        <v/>
      </c>
    </row>
    <row r="1003" ht="15" customHeight="1">
      <c r="A1003" t="inlineStr">
        <is>
          <t>A 71574-2021</t>
        </is>
      </c>
      <c r="B1003" s="1" t="n">
        <v>44540</v>
      </c>
      <c r="C1003" s="1" t="n">
        <v>45182</v>
      </c>
      <c r="D1003" t="inlineStr">
        <is>
          <t>JÄMTLANDS LÄN</t>
        </is>
      </c>
      <c r="E1003" t="inlineStr">
        <is>
          <t>KROKOM</t>
        </is>
      </c>
      <c r="G1003" t="n">
        <v>1.1</v>
      </c>
      <c r="H1003" t="n">
        <v>1</v>
      </c>
      <c r="I1003" t="n">
        <v>1</v>
      </c>
      <c r="J1003" t="n">
        <v>0</v>
      </c>
      <c r="K1003" t="n">
        <v>0</v>
      </c>
      <c r="L1003" t="n">
        <v>0</v>
      </c>
      <c r="M1003" t="n">
        <v>0</v>
      </c>
      <c r="N1003" t="n">
        <v>0</v>
      </c>
      <c r="O1003" t="n">
        <v>0</v>
      </c>
      <c r="P1003" t="n">
        <v>0</v>
      </c>
      <c r="Q1003" t="n">
        <v>1</v>
      </c>
      <c r="R1003" s="2" t="inlineStr">
        <is>
          <t>Spindelblomster</t>
        </is>
      </c>
      <c r="S1003">
        <f>HYPERLINK("https://klasma.github.io/Logging_KROKOM/artfynd/A 71574-2021.xlsx")</f>
        <v/>
      </c>
      <c r="T1003">
        <f>HYPERLINK("https://klasma.github.io/Logging_KROKOM/kartor/A 71574-2021.png")</f>
        <v/>
      </c>
      <c r="V1003">
        <f>HYPERLINK("https://klasma.github.io/Logging_KROKOM/klagomål/A 71574-2021.docx")</f>
        <v/>
      </c>
      <c r="W1003">
        <f>HYPERLINK("https://klasma.github.io/Logging_KROKOM/klagomålsmail/A 71574-2021.docx")</f>
        <v/>
      </c>
      <c r="X1003">
        <f>HYPERLINK("https://klasma.github.io/Logging_KROKOM/tillsyn/A 71574-2021.docx")</f>
        <v/>
      </c>
      <c r="Y1003">
        <f>HYPERLINK("https://klasma.github.io/Logging_KROKOM/tillsynsmail/A 71574-2021.docx")</f>
        <v/>
      </c>
    </row>
    <row r="1004" ht="15" customHeight="1">
      <c r="A1004" t="inlineStr">
        <is>
          <t>A 74392-2021</t>
        </is>
      </c>
      <c r="B1004" s="1" t="n">
        <v>44559</v>
      </c>
      <c r="C1004" s="1" t="n">
        <v>45182</v>
      </c>
      <c r="D1004" t="inlineStr">
        <is>
          <t>JÄMTLANDS LÄN</t>
        </is>
      </c>
      <c r="E1004" t="inlineStr">
        <is>
          <t>ÅRE</t>
        </is>
      </c>
      <c r="G1004" t="n">
        <v>11.6</v>
      </c>
      <c r="H1004" t="n">
        <v>0</v>
      </c>
      <c r="I1004" t="n">
        <v>0</v>
      </c>
      <c r="J1004" t="n">
        <v>1</v>
      </c>
      <c r="K1004" t="n">
        <v>0</v>
      </c>
      <c r="L1004" t="n">
        <v>0</v>
      </c>
      <c r="M1004" t="n">
        <v>0</v>
      </c>
      <c r="N1004" t="n">
        <v>0</v>
      </c>
      <c r="O1004" t="n">
        <v>1</v>
      </c>
      <c r="P1004" t="n">
        <v>0</v>
      </c>
      <c r="Q1004" t="n">
        <v>1</v>
      </c>
      <c r="R1004" s="2" t="inlineStr">
        <is>
          <t>Skrovellav</t>
        </is>
      </c>
      <c r="S1004">
        <f>HYPERLINK("https://klasma.github.io/Logging_ARE/artfynd/A 74392-2021.xlsx")</f>
        <v/>
      </c>
      <c r="T1004">
        <f>HYPERLINK("https://klasma.github.io/Logging_ARE/kartor/A 74392-2021.png")</f>
        <v/>
      </c>
      <c r="V1004">
        <f>HYPERLINK("https://klasma.github.io/Logging_ARE/klagomål/A 74392-2021.docx")</f>
        <v/>
      </c>
      <c r="W1004">
        <f>HYPERLINK("https://klasma.github.io/Logging_ARE/klagomålsmail/A 74392-2021.docx")</f>
        <v/>
      </c>
      <c r="X1004">
        <f>HYPERLINK("https://klasma.github.io/Logging_ARE/tillsyn/A 74392-2021.docx")</f>
        <v/>
      </c>
      <c r="Y1004">
        <f>HYPERLINK("https://klasma.github.io/Logging_ARE/tillsynsmail/A 74392-2021.docx")</f>
        <v/>
      </c>
    </row>
    <row r="1005" ht="15" customHeight="1">
      <c r="A1005" t="inlineStr">
        <is>
          <t>A 235-2022</t>
        </is>
      </c>
      <c r="B1005" s="1" t="n">
        <v>44564</v>
      </c>
      <c r="C1005" s="1" t="n">
        <v>45182</v>
      </c>
      <c r="D1005" t="inlineStr">
        <is>
          <t>JÄMTLANDS LÄN</t>
        </is>
      </c>
      <c r="E1005" t="inlineStr">
        <is>
          <t>BRÄCKE</t>
        </is>
      </c>
      <c r="F1005" t="inlineStr">
        <is>
          <t>SCA</t>
        </is>
      </c>
      <c r="G1005" t="n">
        <v>5.8</v>
      </c>
      <c r="H1005" t="n">
        <v>0</v>
      </c>
      <c r="I1005" t="n">
        <v>0</v>
      </c>
      <c r="J1005" t="n">
        <v>1</v>
      </c>
      <c r="K1005" t="n">
        <v>0</v>
      </c>
      <c r="L1005" t="n">
        <v>0</v>
      </c>
      <c r="M1005" t="n">
        <v>0</v>
      </c>
      <c r="N1005" t="n">
        <v>0</v>
      </c>
      <c r="O1005" t="n">
        <v>1</v>
      </c>
      <c r="P1005" t="n">
        <v>0</v>
      </c>
      <c r="Q1005" t="n">
        <v>1</v>
      </c>
      <c r="R1005" s="2" t="inlineStr">
        <is>
          <t>Harticka</t>
        </is>
      </c>
      <c r="S1005">
        <f>HYPERLINK("https://klasma.github.io/Logging_BRACKE/artfynd/A 235-2022.xlsx")</f>
        <v/>
      </c>
      <c r="T1005">
        <f>HYPERLINK("https://klasma.github.io/Logging_BRACKE/kartor/A 235-2022.png")</f>
        <v/>
      </c>
      <c r="V1005">
        <f>HYPERLINK("https://klasma.github.io/Logging_BRACKE/klagomål/A 235-2022.docx")</f>
        <v/>
      </c>
      <c r="W1005">
        <f>HYPERLINK("https://klasma.github.io/Logging_BRACKE/klagomålsmail/A 235-2022.docx")</f>
        <v/>
      </c>
      <c r="X1005">
        <f>HYPERLINK("https://klasma.github.io/Logging_BRACKE/tillsyn/A 235-2022.docx")</f>
        <v/>
      </c>
      <c r="Y1005">
        <f>HYPERLINK("https://klasma.github.io/Logging_BRACKE/tillsynsmail/A 235-2022.docx")</f>
        <v/>
      </c>
    </row>
    <row r="1006" ht="15" customHeight="1">
      <c r="A1006" t="inlineStr">
        <is>
          <t>A 806-2022</t>
        </is>
      </c>
      <c r="B1006" s="1" t="n">
        <v>44568</v>
      </c>
      <c r="C1006" s="1" t="n">
        <v>45182</v>
      </c>
      <c r="D1006" t="inlineStr">
        <is>
          <t>JÄMTLANDS LÄN</t>
        </is>
      </c>
      <c r="E1006" t="inlineStr">
        <is>
          <t>KROKOM</t>
        </is>
      </c>
      <c r="G1006" t="n">
        <v>46.8</v>
      </c>
      <c r="H1006" t="n">
        <v>1</v>
      </c>
      <c r="I1006" t="n">
        <v>0</v>
      </c>
      <c r="J1006" t="n">
        <v>1</v>
      </c>
      <c r="K1006" t="n">
        <v>0</v>
      </c>
      <c r="L1006" t="n">
        <v>0</v>
      </c>
      <c r="M1006" t="n">
        <v>0</v>
      </c>
      <c r="N1006" t="n">
        <v>0</v>
      </c>
      <c r="O1006" t="n">
        <v>1</v>
      </c>
      <c r="P1006" t="n">
        <v>0</v>
      </c>
      <c r="Q1006" t="n">
        <v>1</v>
      </c>
      <c r="R1006" s="2" t="inlineStr">
        <is>
          <t>Tretåig hackspett</t>
        </is>
      </c>
      <c r="S1006">
        <f>HYPERLINK("https://klasma.github.io/Logging_KROKOM/artfynd/A 806-2022.xlsx")</f>
        <v/>
      </c>
      <c r="T1006">
        <f>HYPERLINK("https://klasma.github.io/Logging_KROKOM/kartor/A 806-2022.png")</f>
        <v/>
      </c>
      <c r="V1006">
        <f>HYPERLINK("https://klasma.github.io/Logging_KROKOM/klagomål/A 806-2022.docx")</f>
        <v/>
      </c>
      <c r="W1006">
        <f>HYPERLINK("https://klasma.github.io/Logging_KROKOM/klagomålsmail/A 806-2022.docx")</f>
        <v/>
      </c>
      <c r="X1006">
        <f>HYPERLINK("https://klasma.github.io/Logging_KROKOM/tillsyn/A 806-2022.docx")</f>
        <v/>
      </c>
      <c r="Y1006">
        <f>HYPERLINK("https://klasma.github.io/Logging_KROKOM/tillsynsmail/A 806-2022.docx")</f>
        <v/>
      </c>
    </row>
    <row r="1007" ht="15" customHeight="1">
      <c r="A1007" t="inlineStr">
        <is>
          <t>A 814-2022</t>
        </is>
      </c>
      <c r="B1007" s="1" t="n">
        <v>44568</v>
      </c>
      <c r="C1007" s="1" t="n">
        <v>45182</v>
      </c>
      <c r="D1007" t="inlineStr">
        <is>
          <t>JÄMTLANDS LÄN</t>
        </is>
      </c>
      <c r="E1007" t="inlineStr">
        <is>
          <t>KROKOM</t>
        </is>
      </c>
      <c r="G1007" t="n">
        <v>2.6</v>
      </c>
      <c r="H1007" t="n">
        <v>1</v>
      </c>
      <c r="I1007" t="n">
        <v>0</v>
      </c>
      <c r="J1007" t="n">
        <v>1</v>
      </c>
      <c r="K1007" t="n">
        <v>0</v>
      </c>
      <c r="L1007" t="n">
        <v>0</v>
      </c>
      <c r="M1007" t="n">
        <v>0</v>
      </c>
      <c r="N1007" t="n">
        <v>0</v>
      </c>
      <c r="O1007" t="n">
        <v>1</v>
      </c>
      <c r="P1007" t="n">
        <v>0</v>
      </c>
      <c r="Q1007" t="n">
        <v>1</v>
      </c>
      <c r="R1007" s="2" t="inlineStr">
        <is>
          <t>Tretåig hackspett</t>
        </is>
      </c>
      <c r="S1007">
        <f>HYPERLINK("https://klasma.github.io/Logging_KROKOM/artfynd/A 814-2022.xlsx")</f>
        <v/>
      </c>
      <c r="T1007">
        <f>HYPERLINK("https://klasma.github.io/Logging_KROKOM/kartor/A 814-2022.png")</f>
        <v/>
      </c>
      <c r="V1007">
        <f>HYPERLINK("https://klasma.github.io/Logging_KROKOM/klagomål/A 814-2022.docx")</f>
        <v/>
      </c>
      <c r="W1007">
        <f>HYPERLINK("https://klasma.github.io/Logging_KROKOM/klagomålsmail/A 814-2022.docx")</f>
        <v/>
      </c>
      <c r="X1007">
        <f>HYPERLINK("https://klasma.github.io/Logging_KROKOM/tillsyn/A 814-2022.docx")</f>
        <v/>
      </c>
      <c r="Y1007">
        <f>HYPERLINK("https://klasma.github.io/Logging_KROKOM/tillsynsmail/A 814-2022.docx")</f>
        <v/>
      </c>
    </row>
    <row r="1008" ht="15" customHeight="1">
      <c r="A1008" t="inlineStr">
        <is>
          <t>A 6550-2022</t>
        </is>
      </c>
      <c r="B1008" s="1" t="n">
        <v>44601</v>
      </c>
      <c r="C1008" s="1" t="n">
        <v>45182</v>
      </c>
      <c r="D1008" t="inlineStr">
        <is>
          <t>JÄMTLANDS LÄN</t>
        </is>
      </c>
      <c r="E1008" t="inlineStr">
        <is>
          <t>RAGUNDA</t>
        </is>
      </c>
      <c r="G1008" t="n">
        <v>2.3</v>
      </c>
      <c r="H1008" t="n">
        <v>0</v>
      </c>
      <c r="I1008" t="n">
        <v>0</v>
      </c>
      <c r="J1008" t="n">
        <v>1</v>
      </c>
      <c r="K1008" t="n">
        <v>0</v>
      </c>
      <c r="L1008" t="n">
        <v>0</v>
      </c>
      <c r="M1008" t="n">
        <v>0</v>
      </c>
      <c r="N1008" t="n">
        <v>0</v>
      </c>
      <c r="O1008" t="n">
        <v>1</v>
      </c>
      <c r="P1008" t="n">
        <v>0</v>
      </c>
      <c r="Q1008" t="n">
        <v>1</v>
      </c>
      <c r="R1008" s="2" t="inlineStr">
        <is>
          <t>Dvärgbägarlav</t>
        </is>
      </c>
      <c r="S1008">
        <f>HYPERLINK("https://klasma.github.io/Logging_RAGUNDA/artfynd/A 6550-2022.xlsx")</f>
        <v/>
      </c>
      <c r="T1008">
        <f>HYPERLINK("https://klasma.github.io/Logging_RAGUNDA/kartor/A 6550-2022.png")</f>
        <v/>
      </c>
      <c r="V1008">
        <f>HYPERLINK("https://klasma.github.io/Logging_RAGUNDA/klagomål/A 6550-2022.docx")</f>
        <v/>
      </c>
      <c r="W1008">
        <f>HYPERLINK("https://klasma.github.io/Logging_RAGUNDA/klagomålsmail/A 6550-2022.docx")</f>
        <v/>
      </c>
      <c r="X1008">
        <f>HYPERLINK("https://klasma.github.io/Logging_RAGUNDA/tillsyn/A 6550-2022.docx")</f>
        <v/>
      </c>
      <c r="Y1008">
        <f>HYPERLINK("https://klasma.github.io/Logging_RAGUNDA/tillsynsmail/A 6550-2022.docx")</f>
        <v/>
      </c>
    </row>
    <row r="1009" ht="15" customHeight="1">
      <c r="A1009" t="inlineStr">
        <is>
          <t>A 7005-2022</t>
        </is>
      </c>
      <c r="B1009" s="1" t="n">
        <v>44603</v>
      </c>
      <c r="C1009" s="1" t="n">
        <v>45182</v>
      </c>
      <c r="D1009" t="inlineStr">
        <is>
          <t>JÄMTLANDS LÄN</t>
        </is>
      </c>
      <c r="E1009" t="inlineStr">
        <is>
          <t>KROKOM</t>
        </is>
      </c>
      <c r="G1009" t="n">
        <v>46</v>
      </c>
      <c r="H1009" t="n">
        <v>0</v>
      </c>
      <c r="I1009" t="n">
        <v>1</v>
      </c>
      <c r="J1009" t="n">
        <v>0</v>
      </c>
      <c r="K1009" t="n">
        <v>0</v>
      </c>
      <c r="L1009" t="n">
        <v>0</v>
      </c>
      <c r="M1009" t="n">
        <v>0</v>
      </c>
      <c r="N1009" t="n">
        <v>0</v>
      </c>
      <c r="O1009" t="n">
        <v>0</v>
      </c>
      <c r="P1009" t="n">
        <v>0</v>
      </c>
      <c r="Q1009" t="n">
        <v>1</v>
      </c>
      <c r="R1009" s="2" t="inlineStr">
        <is>
          <t>Stuplav</t>
        </is>
      </c>
      <c r="S1009">
        <f>HYPERLINK("https://klasma.github.io/Logging_KROKOM/artfynd/A 7005-2022.xlsx")</f>
        <v/>
      </c>
      <c r="T1009">
        <f>HYPERLINK("https://klasma.github.io/Logging_KROKOM/kartor/A 7005-2022.png")</f>
        <v/>
      </c>
      <c r="V1009">
        <f>HYPERLINK("https://klasma.github.io/Logging_KROKOM/klagomål/A 7005-2022.docx")</f>
        <v/>
      </c>
      <c r="W1009">
        <f>HYPERLINK("https://klasma.github.io/Logging_KROKOM/klagomålsmail/A 7005-2022.docx")</f>
        <v/>
      </c>
      <c r="X1009">
        <f>HYPERLINK("https://klasma.github.io/Logging_KROKOM/tillsyn/A 7005-2022.docx")</f>
        <v/>
      </c>
      <c r="Y1009">
        <f>HYPERLINK("https://klasma.github.io/Logging_KROKOM/tillsynsmail/A 7005-2022.docx")</f>
        <v/>
      </c>
    </row>
    <row r="1010" ht="15" customHeight="1">
      <c r="A1010" t="inlineStr">
        <is>
          <t>A 7666-2022</t>
        </is>
      </c>
      <c r="B1010" s="1" t="n">
        <v>44607</v>
      </c>
      <c r="C1010" s="1" t="n">
        <v>45182</v>
      </c>
      <c r="D1010" t="inlineStr">
        <is>
          <t>JÄMTLANDS LÄN</t>
        </is>
      </c>
      <c r="E1010" t="inlineStr">
        <is>
          <t>RAGUNDA</t>
        </is>
      </c>
      <c r="F1010" t="inlineStr">
        <is>
          <t>SCA</t>
        </is>
      </c>
      <c r="G1010" t="n">
        <v>1.4</v>
      </c>
      <c r="H1010" t="n">
        <v>0</v>
      </c>
      <c r="I1010" t="n">
        <v>0</v>
      </c>
      <c r="J1010" t="n">
        <v>1</v>
      </c>
      <c r="K1010" t="n">
        <v>0</v>
      </c>
      <c r="L1010" t="n">
        <v>0</v>
      </c>
      <c r="M1010" t="n">
        <v>0</v>
      </c>
      <c r="N1010" t="n">
        <v>0</v>
      </c>
      <c r="O1010" t="n">
        <v>1</v>
      </c>
      <c r="P1010" t="n">
        <v>0</v>
      </c>
      <c r="Q1010" t="n">
        <v>1</v>
      </c>
      <c r="R1010" s="2" t="inlineStr">
        <is>
          <t>Garnlav</t>
        </is>
      </c>
      <c r="S1010">
        <f>HYPERLINK("https://klasma.github.io/Logging_RAGUNDA/artfynd/A 7666-2022.xlsx")</f>
        <v/>
      </c>
      <c r="T1010">
        <f>HYPERLINK("https://klasma.github.io/Logging_RAGUNDA/kartor/A 7666-2022.png")</f>
        <v/>
      </c>
      <c r="V1010">
        <f>HYPERLINK("https://klasma.github.io/Logging_RAGUNDA/klagomål/A 7666-2022.docx")</f>
        <v/>
      </c>
      <c r="W1010">
        <f>HYPERLINK("https://klasma.github.io/Logging_RAGUNDA/klagomålsmail/A 7666-2022.docx")</f>
        <v/>
      </c>
      <c r="X1010">
        <f>HYPERLINK("https://klasma.github.io/Logging_RAGUNDA/tillsyn/A 7666-2022.docx")</f>
        <v/>
      </c>
      <c r="Y1010">
        <f>HYPERLINK("https://klasma.github.io/Logging_RAGUNDA/tillsynsmail/A 7666-2022.docx")</f>
        <v/>
      </c>
    </row>
    <row r="1011" ht="15" customHeight="1">
      <c r="A1011" t="inlineStr">
        <is>
          <t>A 9739-2022</t>
        </is>
      </c>
      <c r="B1011" s="1" t="n">
        <v>44617</v>
      </c>
      <c r="C1011" s="1" t="n">
        <v>45182</v>
      </c>
      <c r="D1011" t="inlineStr">
        <is>
          <t>JÄMTLANDS LÄN</t>
        </is>
      </c>
      <c r="E1011" t="inlineStr">
        <is>
          <t>ÖSTERSUND</t>
        </is>
      </c>
      <c r="F1011" t="inlineStr">
        <is>
          <t>SCA</t>
        </is>
      </c>
      <c r="G1011" t="n">
        <v>13.5</v>
      </c>
      <c r="H1011" t="n">
        <v>0</v>
      </c>
      <c r="I1011" t="n">
        <v>0</v>
      </c>
      <c r="J1011" t="n">
        <v>1</v>
      </c>
      <c r="K1011" t="n">
        <v>0</v>
      </c>
      <c r="L1011" t="n">
        <v>0</v>
      </c>
      <c r="M1011" t="n">
        <v>0</v>
      </c>
      <c r="N1011" t="n">
        <v>0</v>
      </c>
      <c r="O1011" t="n">
        <v>1</v>
      </c>
      <c r="P1011" t="n">
        <v>0</v>
      </c>
      <c r="Q1011" t="n">
        <v>1</v>
      </c>
      <c r="R1011" s="2" t="inlineStr">
        <is>
          <t>Dvärgbägarlav</t>
        </is>
      </c>
      <c r="S1011">
        <f>HYPERLINK("https://klasma.github.io/Logging_OSTERSUND/artfynd/A 9739-2022.xlsx")</f>
        <v/>
      </c>
      <c r="T1011">
        <f>HYPERLINK("https://klasma.github.io/Logging_OSTERSUND/kartor/A 9739-2022.png")</f>
        <v/>
      </c>
      <c r="V1011">
        <f>HYPERLINK("https://klasma.github.io/Logging_OSTERSUND/klagomål/A 9739-2022.docx")</f>
        <v/>
      </c>
      <c r="W1011">
        <f>HYPERLINK("https://klasma.github.io/Logging_OSTERSUND/klagomålsmail/A 9739-2022.docx")</f>
        <v/>
      </c>
      <c r="X1011">
        <f>HYPERLINK("https://klasma.github.io/Logging_OSTERSUND/tillsyn/A 9739-2022.docx")</f>
        <v/>
      </c>
      <c r="Y1011">
        <f>HYPERLINK("https://klasma.github.io/Logging_OSTERSUND/tillsynsmail/A 9739-2022.docx")</f>
        <v/>
      </c>
    </row>
    <row r="1012" ht="15" customHeight="1">
      <c r="A1012" t="inlineStr">
        <is>
          <t>A 10336-2022</t>
        </is>
      </c>
      <c r="B1012" s="1" t="n">
        <v>44623</v>
      </c>
      <c r="C1012" s="1" t="n">
        <v>45182</v>
      </c>
      <c r="D1012" t="inlineStr">
        <is>
          <t>JÄMTLANDS LÄN</t>
        </is>
      </c>
      <c r="E1012" t="inlineStr">
        <is>
          <t>ÖSTERSUND</t>
        </is>
      </c>
      <c r="G1012" t="n">
        <v>0.9</v>
      </c>
      <c r="H1012" t="n">
        <v>0</v>
      </c>
      <c r="I1012" t="n">
        <v>1</v>
      </c>
      <c r="J1012" t="n">
        <v>0</v>
      </c>
      <c r="K1012" t="n">
        <v>0</v>
      </c>
      <c r="L1012" t="n">
        <v>0</v>
      </c>
      <c r="M1012" t="n">
        <v>0</v>
      </c>
      <c r="N1012" t="n">
        <v>0</v>
      </c>
      <c r="O1012" t="n">
        <v>0</v>
      </c>
      <c r="P1012" t="n">
        <v>0</v>
      </c>
      <c r="Q1012" t="n">
        <v>1</v>
      </c>
      <c r="R1012" s="2" t="inlineStr">
        <is>
          <t>Underviol</t>
        </is>
      </c>
      <c r="S1012">
        <f>HYPERLINK("https://klasma.github.io/Logging_OSTERSUND/artfynd/A 10336-2022.xlsx")</f>
        <v/>
      </c>
      <c r="T1012">
        <f>HYPERLINK("https://klasma.github.io/Logging_OSTERSUND/kartor/A 10336-2022.png")</f>
        <v/>
      </c>
      <c r="V1012">
        <f>HYPERLINK("https://klasma.github.io/Logging_OSTERSUND/klagomål/A 10336-2022.docx")</f>
        <v/>
      </c>
      <c r="W1012">
        <f>HYPERLINK("https://klasma.github.io/Logging_OSTERSUND/klagomålsmail/A 10336-2022.docx")</f>
        <v/>
      </c>
      <c r="X1012">
        <f>HYPERLINK("https://klasma.github.io/Logging_OSTERSUND/tillsyn/A 10336-2022.docx")</f>
        <v/>
      </c>
      <c r="Y1012">
        <f>HYPERLINK("https://klasma.github.io/Logging_OSTERSUND/tillsynsmail/A 10336-2022.docx")</f>
        <v/>
      </c>
    </row>
    <row r="1013" ht="15" customHeight="1">
      <c r="A1013" t="inlineStr">
        <is>
          <t>A 10696-2022</t>
        </is>
      </c>
      <c r="B1013" s="1" t="n">
        <v>44624</v>
      </c>
      <c r="C1013" s="1" t="n">
        <v>45182</v>
      </c>
      <c r="D1013" t="inlineStr">
        <is>
          <t>JÄMTLANDS LÄN</t>
        </is>
      </c>
      <c r="E1013" t="inlineStr">
        <is>
          <t>STRÖMSUND</t>
        </is>
      </c>
      <c r="F1013" t="inlineStr">
        <is>
          <t>SCA</t>
        </is>
      </c>
      <c r="G1013" t="n">
        <v>9</v>
      </c>
      <c r="H1013" t="n">
        <v>0</v>
      </c>
      <c r="I1013" t="n">
        <v>0</v>
      </c>
      <c r="J1013" t="n">
        <v>0</v>
      </c>
      <c r="K1013" t="n">
        <v>1</v>
      </c>
      <c r="L1013" t="n">
        <v>0</v>
      </c>
      <c r="M1013" t="n">
        <v>0</v>
      </c>
      <c r="N1013" t="n">
        <v>0</v>
      </c>
      <c r="O1013" t="n">
        <v>1</v>
      </c>
      <c r="P1013" t="n">
        <v>1</v>
      </c>
      <c r="Q1013" t="n">
        <v>1</v>
      </c>
      <c r="R1013" s="2" t="inlineStr">
        <is>
          <t>Smalskaftslav</t>
        </is>
      </c>
      <c r="S1013">
        <f>HYPERLINK("https://klasma.github.io/Logging_STROMSUND/artfynd/A 10696-2022.xlsx")</f>
        <v/>
      </c>
      <c r="T1013">
        <f>HYPERLINK("https://klasma.github.io/Logging_STROMSUND/kartor/A 10696-2022.png")</f>
        <v/>
      </c>
      <c r="V1013">
        <f>HYPERLINK("https://klasma.github.io/Logging_STROMSUND/klagomål/A 10696-2022.docx")</f>
        <v/>
      </c>
      <c r="W1013">
        <f>HYPERLINK("https://klasma.github.io/Logging_STROMSUND/klagomålsmail/A 10696-2022.docx")</f>
        <v/>
      </c>
      <c r="X1013">
        <f>HYPERLINK("https://klasma.github.io/Logging_STROMSUND/tillsyn/A 10696-2022.docx")</f>
        <v/>
      </c>
      <c r="Y1013">
        <f>HYPERLINK("https://klasma.github.io/Logging_STROMSUND/tillsynsmail/A 10696-2022.docx")</f>
        <v/>
      </c>
    </row>
    <row r="1014" ht="15" customHeight="1">
      <c r="A1014" t="inlineStr">
        <is>
          <t>A 11124-2022</t>
        </is>
      </c>
      <c r="B1014" s="1" t="n">
        <v>44628</v>
      </c>
      <c r="C1014" s="1" t="n">
        <v>45182</v>
      </c>
      <c r="D1014" t="inlineStr">
        <is>
          <t>JÄMTLANDS LÄN</t>
        </is>
      </c>
      <c r="E1014" t="inlineStr">
        <is>
          <t>STRÖMSUND</t>
        </is>
      </c>
      <c r="F1014" t="inlineStr">
        <is>
          <t>SCA</t>
        </is>
      </c>
      <c r="G1014" t="n">
        <v>3.4</v>
      </c>
      <c r="H1014" t="n">
        <v>1</v>
      </c>
      <c r="I1014" t="n">
        <v>0</v>
      </c>
      <c r="J1014" t="n">
        <v>0</v>
      </c>
      <c r="K1014" t="n">
        <v>0</v>
      </c>
      <c r="L1014" t="n">
        <v>0</v>
      </c>
      <c r="M1014" t="n">
        <v>0</v>
      </c>
      <c r="N1014" t="n">
        <v>0</v>
      </c>
      <c r="O1014" t="n">
        <v>0</v>
      </c>
      <c r="P1014" t="n">
        <v>0</v>
      </c>
      <c r="Q1014" t="n">
        <v>1</v>
      </c>
      <c r="R1014" s="2" t="inlineStr">
        <is>
          <t>Fläcknycklar</t>
        </is>
      </c>
      <c r="S1014">
        <f>HYPERLINK("https://klasma.github.io/Logging_STROMSUND/artfynd/A 11124-2022.xlsx")</f>
        <v/>
      </c>
      <c r="T1014">
        <f>HYPERLINK("https://klasma.github.io/Logging_STROMSUND/kartor/A 11124-2022.png")</f>
        <v/>
      </c>
      <c r="V1014">
        <f>HYPERLINK("https://klasma.github.io/Logging_STROMSUND/klagomål/A 11124-2022.docx")</f>
        <v/>
      </c>
      <c r="W1014">
        <f>HYPERLINK("https://klasma.github.io/Logging_STROMSUND/klagomålsmail/A 11124-2022.docx")</f>
        <v/>
      </c>
      <c r="X1014">
        <f>HYPERLINK("https://klasma.github.io/Logging_STROMSUND/tillsyn/A 11124-2022.docx")</f>
        <v/>
      </c>
      <c r="Y1014">
        <f>HYPERLINK("https://klasma.github.io/Logging_STROMSUND/tillsynsmail/A 11124-2022.docx")</f>
        <v/>
      </c>
    </row>
    <row r="1015" ht="15" customHeight="1">
      <c r="A1015" t="inlineStr">
        <is>
          <t>A 12242-2022</t>
        </is>
      </c>
      <c r="B1015" s="1" t="n">
        <v>44637</v>
      </c>
      <c r="C1015" s="1" t="n">
        <v>45182</v>
      </c>
      <c r="D1015" t="inlineStr">
        <is>
          <t>JÄMTLANDS LÄN</t>
        </is>
      </c>
      <c r="E1015" t="inlineStr">
        <is>
          <t>ÅRE</t>
        </is>
      </c>
      <c r="G1015" t="n">
        <v>53.4</v>
      </c>
      <c r="H1015" t="n">
        <v>0</v>
      </c>
      <c r="I1015" t="n">
        <v>0</v>
      </c>
      <c r="J1015" t="n">
        <v>1</v>
      </c>
      <c r="K1015" t="n">
        <v>0</v>
      </c>
      <c r="L1015" t="n">
        <v>0</v>
      </c>
      <c r="M1015" t="n">
        <v>0</v>
      </c>
      <c r="N1015" t="n">
        <v>0</v>
      </c>
      <c r="O1015" t="n">
        <v>1</v>
      </c>
      <c r="P1015" t="n">
        <v>0</v>
      </c>
      <c r="Q1015" t="n">
        <v>1</v>
      </c>
      <c r="R1015" s="2" t="inlineStr">
        <is>
          <t>Granticka</t>
        </is>
      </c>
      <c r="S1015">
        <f>HYPERLINK("https://klasma.github.io/Logging_ARE/artfynd/A 12242-2022.xlsx")</f>
        <v/>
      </c>
      <c r="T1015">
        <f>HYPERLINK("https://klasma.github.io/Logging_ARE/kartor/A 12242-2022.png")</f>
        <v/>
      </c>
      <c r="V1015">
        <f>HYPERLINK("https://klasma.github.io/Logging_ARE/klagomål/A 12242-2022.docx")</f>
        <v/>
      </c>
      <c r="W1015">
        <f>HYPERLINK("https://klasma.github.io/Logging_ARE/klagomålsmail/A 12242-2022.docx")</f>
        <v/>
      </c>
      <c r="X1015">
        <f>HYPERLINK("https://klasma.github.io/Logging_ARE/tillsyn/A 12242-2022.docx")</f>
        <v/>
      </c>
      <c r="Y1015">
        <f>HYPERLINK("https://klasma.github.io/Logging_ARE/tillsynsmail/A 12242-2022.docx")</f>
        <v/>
      </c>
    </row>
    <row r="1016" ht="15" customHeight="1">
      <c r="A1016" t="inlineStr">
        <is>
          <t>A 12386-2022</t>
        </is>
      </c>
      <c r="B1016" s="1" t="n">
        <v>44637</v>
      </c>
      <c r="C1016" s="1" t="n">
        <v>45182</v>
      </c>
      <c r="D1016" t="inlineStr">
        <is>
          <t>JÄMTLANDS LÄN</t>
        </is>
      </c>
      <c r="E1016" t="inlineStr">
        <is>
          <t>STRÖMSUND</t>
        </is>
      </c>
      <c r="G1016" t="n">
        <v>2.1</v>
      </c>
      <c r="H1016" t="n">
        <v>0</v>
      </c>
      <c r="I1016" t="n">
        <v>0</v>
      </c>
      <c r="J1016" t="n">
        <v>1</v>
      </c>
      <c r="K1016" t="n">
        <v>0</v>
      </c>
      <c r="L1016" t="n">
        <v>0</v>
      </c>
      <c r="M1016" t="n">
        <v>0</v>
      </c>
      <c r="N1016" t="n">
        <v>0</v>
      </c>
      <c r="O1016" t="n">
        <v>1</v>
      </c>
      <c r="P1016" t="n">
        <v>0</v>
      </c>
      <c r="Q1016" t="n">
        <v>1</v>
      </c>
      <c r="R1016" s="2" t="inlineStr">
        <is>
          <t>Lunglav</t>
        </is>
      </c>
      <c r="S1016">
        <f>HYPERLINK("https://klasma.github.io/Logging_STROMSUND/artfynd/A 12386-2022.xlsx")</f>
        <v/>
      </c>
      <c r="T1016">
        <f>HYPERLINK("https://klasma.github.io/Logging_STROMSUND/kartor/A 12386-2022.png")</f>
        <v/>
      </c>
      <c r="V1016">
        <f>HYPERLINK("https://klasma.github.io/Logging_STROMSUND/klagomål/A 12386-2022.docx")</f>
        <v/>
      </c>
      <c r="W1016">
        <f>HYPERLINK("https://klasma.github.io/Logging_STROMSUND/klagomålsmail/A 12386-2022.docx")</f>
        <v/>
      </c>
      <c r="X1016">
        <f>HYPERLINK("https://klasma.github.io/Logging_STROMSUND/tillsyn/A 12386-2022.docx")</f>
        <v/>
      </c>
      <c r="Y1016">
        <f>HYPERLINK("https://klasma.github.io/Logging_STROMSUND/tillsynsmail/A 12386-2022.docx")</f>
        <v/>
      </c>
    </row>
    <row r="1017" ht="15" customHeight="1">
      <c r="A1017" t="inlineStr">
        <is>
          <t>A 12950-2022</t>
        </is>
      </c>
      <c r="B1017" s="1" t="n">
        <v>44642</v>
      </c>
      <c r="C1017" s="1" t="n">
        <v>45182</v>
      </c>
      <c r="D1017" t="inlineStr">
        <is>
          <t>JÄMTLANDS LÄN</t>
        </is>
      </c>
      <c r="E1017" t="inlineStr">
        <is>
          <t>STRÖMSUND</t>
        </is>
      </c>
      <c r="F1017" t="inlineStr">
        <is>
          <t>SCA</t>
        </is>
      </c>
      <c r="G1017" t="n">
        <v>6.3</v>
      </c>
      <c r="H1017" t="n">
        <v>0</v>
      </c>
      <c r="I1017" t="n">
        <v>0</v>
      </c>
      <c r="J1017" t="n">
        <v>1</v>
      </c>
      <c r="K1017" t="n">
        <v>0</v>
      </c>
      <c r="L1017" t="n">
        <v>0</v>
      </c>
      <c r="M1017" t="n">
        <v>0</v>
      </c>
      <c r="N1017" t="n">
        <v>0</v>
      </c>
      <c r="O1017" t="n">
        <v>1</v>
      </c>
      <c r="P1017" t="n">
        <v>0</v>
      </c>
      <c r="Q1017" t="n">
        <v>1</v>
      </c>
      <c r="R1017" s="2" t="inlineStr">
        <is>
          <t>Granticka</t>
        </is>
      </c>
      <c r="S1017">
        <f>HYPERLINK("https://klasma.github.io/Logging_STROMSUND/artfynd/A 12950-2022.xlsx")</f>
        <v/>
      </c>
      <c r="T1017">
        <f>HYPERLINK("https://klasma.github.io/Logging_STROMSUND/kartor/A 12950-2022.png")</f>
        <v/>
      </c>
      <c r="V1017">
        <f>HYPERLINK("https://klasma.github.io/Logging_STROMSUND/klagomål/A 12950-2022.docx")</f>
        <v/>
      </c>
      <c r="W1017">
        <f>HYPERLINK("https://klasma.github.io/Logging_STROMSUND/klagomålsmail/A 12950-2022.docx")</f>
        <v/>
      </c>
      <c r="X1017">
        <f>HYPERLINK("https://klasma.github.io/Logging_STROMSUND/tillsyn/A 12950-2022.docx")</f>
        <v/>
      </c>
      <c r="Y1017">
        <f>HYPERLINK("https://klasma.github.io/Logging_STROMSUND/tillsynsmail/A 12950-2022.docx")</f>
        <v/>
      </c>
    </row>
    <row r="1018" ht="15" customHeight="1">
      <c r="A1018" t="inlineStr">
        <is>
          <t>A 13982-2022</t>
        </is>
      </c>
      <c r="B1018" s="1" t="n">
        <v>44650</v>
      </c>
      <c r="C1018" s="1" t="n">
        <v>45182</v>
      </c>
      <c r="D1018" t="inlineStr">
        <is>
          <t>JÄMTLANDS LÄN</t>
        </is>
      </c>
      <c r="E1018" t="inlineStr">
        <is>
          <t>HÄRJEDALEN</t>
        </is>
      </c>
      <c r="F1018" t="inlineStr">
        <is>
          <t>Holmen skog AB</t>
        </is>
      </c>
      <c r="G1018" t="n">
        <v>4.4</v>
      </c>
      <c r="H1018" t="n">
        <v>0</v>
      </c>
      <c r="I1018" t="n">
        <v>0</v>
      </c>
      <c r="J1018" t="n">
        <v>1</v>
      </c>
      <c r="K1018" t="n">
        <v>0</v>
      </c>
      <c r="L1018" t="n">
        <v>0</v>
      </c>
      <c r="M1018" t="n">
        <v>0</v>
      </c>
      <c r="N1018" t="n">
        <v>0</v>
      </c>
      <c r="O1018" t="n">
        <v>1</v>
      </c>
      <c r="P1018" t="n">
        <v>0</v>
      </c>
      <c r="Q1018" t="n">
        <v>1</v>
      </c>
      <c r="R1018" s="2" t="inlineStr">
        <is>
          <t>Garnlav</t>
        </is>
      </c>
      <c r="S1018">
        <f>HYPERLINK("https://klasma.github.io/Logging_HARJEDALEN/artfynd/A 13982-2022.xlsx")</f>
        <v/>
      </c>
      <c r="T1018">
        <f>HYPERLINK("https://klasma.github.io/Logging_HARJEDALEN/kartor/A 13982-2022.png")</f>
        <v/>
      </c>
      <c r="V1018">
        <f>HYPERLINK("https://klasma.github.io/Logging_HARJEDALEN/klagomål/A 13982-2022.docx")</f>
        <v/>
      </c>
      <c r="W1018">
        <f>HYPERLINK("https://klasma.github.io/Logging_HARJEDALEN/klagomålsmail/A 13982-2022.docx")</f>
        <v/>
      </c>
      <c r="X1018">
        <f>HYPERLINK("https://klasma.github.io/Logging_HARJEDALEN/tillsyn/A 13982-2022.docx")</f>
        <v/>
      </c>
      <c r="Y1018">
        <f>HYPERLINK("https://klasma.github.io/Logging_HARJEDALEN/tillsynsmail/A 13982-2022.docx")</f>
        <v/>
      </c>
    </row>
    <row r="1019" ht="15" customHeight="1">
      <c r="A1019" t="inlineStr">
        <is>
          <t>A 14290-2022</t>
        </is>
      </c>
      <c r="B1019" s="1" t="n">
        <v>44651</v>
      </c>
      <c r="C1019" s="1" t="n">
        <v>45182</v>
      </c>
      <c r="D1019" t="inlineStr">
        <is>
          <t>JÄMTLANDS LÄN</t>
        </is>
      </c>
      <c r="E1019" t="inlineStr">
        <is>
          <t>STRÖMSUND</t>
        </is>
      </c>
      <c r="F1019" t="inlineStr">
        <is>
          <t>SCA</t>
        </is>
      </c>
      <c r="G1019" t="n">
        <v>0.3</v>
      </c>
      <c r="H1019" t="n">
        <v>0</v>
      </c>
      <c r="I1019" t="n">
        <v>0</v>
      </c>
      <c r="J1019" t="n">
        <v>1</v>
      </c>
      <c r="K1019" t="n">
        <v>0</v>
      </c>
      <c r="L1019" t="n">
        <v>0</v>
      </c>
      <c r="M1019" t="n">
        <v>0</v>
      </c>
      <c r="N1019" t="n">
        <v>0</v>
      </c>
      <c r="O1019" t="n">
        <v>1</v>
      </c>
      <c r="P1019" t="n">
        <v>0</v>
      </c>
      <c r="Q1019" t="n">
        <v>1</v>
      </c>
      <c r="R1019" s="2" t="inlineStr">
        <is>
          <t>Garnlav</t>
        </is>
      </c>
      <c r="S1019">
        <f>HYPERLINK("https://klasma.github.io/Logging_STROMSUND/artfynd/A 14290-2022.xlsx")</f>
        <v/>
      </c>
      <c r="T1019">
        <f>HYPERLINK("https://klasma.github.io/Logging_STROMSUND/kartor/A 14290-2022.png")</f>
        <v/>
      </c>
      <c r="U1019">
        <f>HYPERLINK("https://klasma.github.io/Logging_STROMSUND/knärot/A 14290-2022.png")</f>
        <v/>
      </c>
      <c r="V1019">
        <f>HYPERLINK("https://klasma.github.io/Logging_STROMSUND/klagomål/A 14290-2022.docx")</f>
        <v/>
      </c>
      <c r="W1019">
        <f>HYPERLINK("https://klasma.github.io/Logging_STROMSUND/klagomålsmail/A 14290-2022.docx")</f>
        <v/>
      </c>
      <c r="X1019">
        <f>HYPERLINK("https://klasma.github.io/Logging_STROMSUND/tillsyn/A 14290-2022.docx")</f>
        <v/>
      </c>
      <c r="Y1019">
        <f>HYPERLINK("https://klasma.github.io/Logging_STROMSUND/tillsynsmail/A 14290-2022.docx")</f>
        <v/>
      </c>
    </row>
    <row r="1020" ht="15" customHeight="1">
      <c r="A1020" t="inlineStr">
        <is>
          <t>A 14291-2022</t>
        </is>
      </c>
      <c r="B1020" s="1" t="n">
        <v>44651</v>
      </c>
      <c r="C1020" s="1" t="n">
        <v>45182</v>
      </c>
      <c r="D1020" t="inlineStr">
        <is>
          <t>JÄMTLANDS LÄN</t>
        </is>
      </c>
      <c r="E1020" t="inlineStr">
        <is>
          <t>STRÖMSUND</t>
        </is>
      </c>
      <c r="F1020" t="inlineStr">
        <is>
          <t>SCA</t>
        </is>
      </c>
      <c r="G1020" t="n">
        <v>0.5</v>
      </c>
      <c r="H1020" t="n">
        <v>0</v>
      </c>
      <c r="I1020" t="n">
        <v>0</v>
      </c>
      <c r="J1020" t="n">
        <v>1</v>
      </c>
      <c r="K1020" t="n">
        <v>0</v>
      </c>
      <c r="L1020" t="n">
        <v>0</v>
      </c>
      <c r="M1020" t="n">
        <v>0</v>
      </c>
      <c r="N1020" t="n">
        <v>0</v>
      </c>
      <c r="O1020" t="n">
        <v>1</v>
      </c>
      <c r="P1020" t="n">
        <v>0</v>
      </c>
      <c r="Q1020" t="n">
        <v>1</v>
      </c>
      <c r="R1020" s="2" t="inlineStr">
        <is>
          <t>Skrovellav</t>
        </is>
      </c>
      <c r="S1020">
        <f>HYPERLINK("https://klasma.github.io/Logging_STROMSUND/artfynd/A 14291-2022.xlsx")</f>
        <v/>
      </c>
      <c r="T1020">
        <f>HYPERLINK("https://klasma.github.io/Logging_STROMSUND/kartor/A 14291-2022.png")</f>
        <v/>
      </c>
      <c r="V1020">
        <f>HYPERLINK("https://klasma.github.io/Logging_STROMSUND/klagomål/A 14291-2022.docx")</f>
        <v/>
      </c>
      <c r="W1020">
        <f>HYPERLINK("https://klasma.github.io/Logging_STROMSUND/klagomålsmail/A 14291-2022.docx")</f>
        <v/>
      </c>
      <c r="X1020">
        <f>HYPERLINK("https://klasma.github.io/Logging_STROMSUND/tillsyn/A 14291-2022.docx")</f>
        <v/>
      </c>
      <c r="Y1020">
        <f>HYPERLINK("https://klasma.github.io/Logging_STROMSUND/tillsynsmail/A 14291-2022.docx")</f>
        <v/>
      </c>
    </row>
    <row r="1021" ht="15" customHeight="1">
      <c r="A1021" t="inlineStr">
        <is>
          <t>A 14628-2022</t>
        </is>
      </c>
      <c r="B1021" s="1" t="n">
        <v>44655</v>
      </c>
      <c r="C1021" s="1" t="n">
        <v>45182</v>
      </c>
      <c r="D1021" t="inlineStr">
        <is>
          <t>JÄMTLANDS LÄN</t>
        </is>
      </c>
      <c r="E1021" t="inlineStr">
        <is>
          <t>BRÄCKE</t>
        </is>
      </c>
      <c r="G1021" t="n">
        <v>4.7</v>
      </c>
      <c r="H1021" t="n">
        <v>0</v>
      </c>
      <c r="I1021" t="n">
        <v>1</v>
      </c>
      <c r="J1021" t="n">
        <v>0</v>
      </c>
      <c r="K1021" t="n">
        <v>0</v>
      </c>
      <c r="L1021" t="n">
        <v>0</v>
      </c>
      <c r="M1021" t="n">
        <v>0</v>
      </c>
      <c r="N1021" t="n">
        <v>0</v>
      </c>
      <c r="O1021" t="n">
        <v>0</v>
      </c>
      <c r="P1021" t="n">
        <v>0</v>
      </c>
      <c r="Q1021" t="n">
        <v>1</v>
      </c>
      <c r="R1021" s="2" t="inlineStr">
        <is>
          <t>Dropptaggsvamp</t>
        </is>
      </c>
      <c r="S1021">
        <f>HYPERLINK("https://klasma.github.io/Logging_BRACKE/artfynd/A 14628-2022.xlsx")</f>
        <v/>
      </c>
      <c r="T1021">
        <f>HYPERLINK("https://klasma.github.io/Logging_BRACKE/kartor/A 14628-2022.png")</f>
        <v/>
      </c>
      <c r="V1021">
        <f>HYPERLINK("https://klasma.github.io/Logging_BRACKE/klagomål/A 14628-2022.docx")</f>
        <v/>
      </c>
      <c r="W1021">
        <f>HYPERLINK("https://klasma.github.io/Logging_BRACKE/klagomålsmail/A 14628-2022.docx")</f>
        <v/>
      </c>
      <c r="X1021">
        <f>HYPERLINK("https://klasma.github.io/Logging_BRACKE/tillsyn/A 14628-2022.docx")</f>
        <v/>
      </c>
      <c r="Y1021">
        <f>HYPERLINK("https://klasma.github.io/Logging_BRACKE/tillsynsmail/A 14628-2022.docx")</f>
        <v/>
      </c>
    </row>
    <row r="1022" ht="15" customHeight="1">
      <c r="A1022" t="inlineStr">
        <is>
          <t>A 14895-2022</t>
        </is>
      </c>
      <c r="B1022" s="1" t="n">
        <v>44656</v>
      </c>
      <c r="C1022" s="1" t="n">
        <v>45182</v>
      </c>
      <c r="D1022" t="inlineStr">
        <is>
          <t>JÄMTLANDS LÄN</t>
        </is>
      </c>
      <c r="E1022" t="inlineStr">
        <is>
          <t>STRÖMSUND</t>
        </is>
      </c>
      <c r="G1022" t="n">
        <v>43.5</v>
      </c>
      <c r="H1022" t="n">
        <v>0</v>
      </c>
      <c r="I1022" t="n">
        <v>0</v>
      </c>
      <c r="J1022" t="n">
        <v>1</v>
      </c>
      <c r="K1022" t="n">
        <v>0</v>
      </c>
      <c r="L1022" t="n">
        <v>0</v>
      </c>
      <c r="M1022" t="n">
        <v>0</v>
      </c>
      <c r="N1022" t="n">
        <v>0</v>
      </c>
      <c r="O1022" t="n">
        <v>1</v>
      </c>
      <c r="P1022" t="n">
        <v>0</v>
      </c>
      <c r="Q1022" t="n">
        <v>1</v>
      </c>
      <c r="R1022" s="2" t="inlineStr">
        <is>
          <t>Lunglav</t>
        </is>
      </c>
      <c r="S1022">
        <f>HYPERLINK("https://klasma.github.io/Logging_STROMSUND/artfynd/A 14895-2022.xlsx")</f>
        <v/>
      </c>
      <c r="T1022">
        <f>HYPERLINK("https://klasma.github.io/Logging_STROMSUND/kartor/A 14895-2022.png")</f>
        <v/>
      </c>
      <c r="V1022">
        <f>HYPERLINK("https://klasma.github.io/Logging_STROMSUND/klagomål/A 14895-2022.docx")</f>
        <v/>
      </c>
      <c r="W1022">
        <f>HYPERLINK("https://klasma.github.io/Logging_STROMSUND/klagomålsmail/A 14895-2022.docx")</f>
        <v/>
      </c>
      <c r="X1022">
        <f>HYPERLINK("https://klasma.github.io/Logging_STROMSUND/tillsyn/A 14895-2022.docx")</f>
        <v/>
      </c>
      <c r="Y1022">
        <f>HYPERLINK("https://klasma.github.io/Logging_STROMSUND/tillsynsmail/A 14895-2022.docx")</f>
        <v/>
      </c>
    </row>
    <row r="1023" ht="15" customHeight="1">
      <c r="A1023" t="inlineStr">
        <is>
          <t>A 15360-2022</t>
        </is>
      </c>
      <c r="B1023" s="1" t="n">
        <v>44659</v>
      </c>
      <c r="C1023" s="1" t="n">
        <v>45182</v>
      </c>
      <c r="D1023" t="inlineStr">
        <is>
          <t>JÄMTLANDS LÄN</t>
        </is>
      </c>
      <c r="E1023" t="inlineStr">
        <is>
          <t>HÄRJEDALEN</t>
        </is>
      </c>
      <c r="G1023" t="n">
        <v>7.7</v>
      </c>
      <c r="H1023" t="n">
        <v>1</v>
      </c>
      <c r="I1023" t="n">
        <v>0</v>
      </c>
      <c r="J1023" t="n">
        <v>0</v>
      </c>
      <c r="K1023" t="n">
        <v>0</v>
      </c>
      <c r="L1023" t="n">
        <v>1</v>
      </c>
      <c r="M1023" t="n">
        <v>0</v>
      </c>
      <c r="N1023" t="n">
        <v>0</v>
      </c>
      <c r="O1023" t="n">
        <v>1</v>
      </c>
      <c r="P1023" t="n">
        <v>1</v>
      </c>
      <c r="Q1023" t="n">
        <v>1</v>
      </c>
      <c r="R1023" s="2" t="inlineStr">
        <is>
          <t>Mosippa</t>
        </is>
      </c>
      <c r="S1023">
        <f>HYPERLINK("https://klasma.github.io/Logging_HARJEDALEN/artfynd/A 15360-2022.xlsx")</f>
        <v/>
      </c>
      <c r="T1023">
        <f>HYPERLINK("https://klasma.github.io/Logging_HARJEDALEN/kartor/A 15360-2022.png")</f>
        <v/>
      </c>
      <c r="V1023">
        <f>HYPERLINK("https://klasma.github.io/Logging_HARJEDALEN/klagomål/A 15360-2022.docx")</f>
        <v/>
      </c>
      <c r="W1023">
        <f>HYPERLINK("https://klasma.github.io/Logging_HARJEDALEN/klagomålsmail/A 15360-2022.docx")</f>
        <v/>
      </c>
      <c r="X1023">
        <f>HYPERLINK("https://klasma.github.io/Logging_HARJEDALEN/tillsyn/A 15360-2022.docx")</f>
        <v/>
      </c>
      <c r="Y1023">
        <f>HYPERLINK("https://klasma.github.io/Logging_HARJEDALEN/tillsynsmail/A 15360-2022.docx")</f>
        <v/>
      </c>
    </row>
    <row r="1024" ht="15" customHeight="1">
      <c r="A1024" t="inlineStr">
        <is>
          <t>A 15366-2022</t>
        </is>
      </c>
      <c r="B1024" s="1" t="n">
        <v>44659</v>
      </c>
      <c r="C1024" s="1" t="n">
        <v>45182</v>
      </c>
      <c r="D1024" t="inlineStr">
        <is>
          <t>JÄMTLANDS LÄN</t>
        </is>
      </c>
      <c r="E1024" t="inlineStr">
        <is>
          <t>BRÄCKE</t>
        </is>
      </c>
      <c r="G1024" t="n">
        <v>3.3</v>
      </c>
      <c r="H1024" t="n">
        <v>1</v>
      </c>
      <c r="I1024" t="n">
        <v>0</v>
      </c>
      <c r="J1024" t="n">
        <v>0</v>
      </c>
      <c r="K1024" t="n">
        <v>0</v>
      </c>
      <c r="L1024" t="n">
        <v>0</v>
      </c>
      <c r="M1024" t="n">
        <v>0</v>
      </c>
      <c r="N1024" t="n">
        <v>0</v>
      </c>
      <c r="O1024" t="n">
        <v>0</v>
      </c>
      <c r="P1024" t="n">
        <v>0</v>
      </c>
      <c r="Q1024" t="n">
        <v>1</v>
      </c>
      <c r="R1024" s="2" t="inlineStr">
        <is>
          <t>Brudsporre</t>
        </is>
      </c>
      <c r="S1024">
        <f>HYPERLINK("https://klasma.github.io/Logging_BRACKE/artfynd/A 15366-2022.xlsx")</f>
        <v/>
      </c>
      <c r="T1024">
        <f>HYPERLINK("https://klasma.github.io/Logging_BRACKE/kartor/A 15366-2022.png")</f>
        <v/>
      </c>
      <c r="V1024">
        <f>HYPERLINK("https://klasma.github.io/Logging_BRACKE/klagomål/A 15366-2022.docx")</f>
        <v/>
      </c>
      <c r="W1024">
        <f>HYPERLINK("https://klasma.github.io/Logging_BRACKE/klagomålsmail/A 15366-2022.docx")</f>
        <v/>
      </c>
      <c r="X1024">
        <f>HYPERLINK("https://klasma.github.io/Logging_BRACKE/tillsyn/A 15366-2022.docx")</f>
        <v/>
      </c>
      <c r="Y1024">
        <f>HYPERLINK("https://klasma.github.io/Logging_BRACKE/tillsynsmail/A 15366-2022.docx")</f>
        <v/>
      </c>
    </row>
    <row r="1025" ht="15" customHeight="1">
      <c r="A1025" t="inlineStr">
        <is>
          <t>A 17692-2022</t>
        </is>
      </c>
      <c r="B1025" s="1" t="n">
        <v>44680</v>
      </c>
      <c r="C1025" s="1" t="n">
        <v>45182</v>
      </c>
      <c r="D1025" t="inlineStr">
        <is>
          <t>JÄMTLANDS LÄN</t>
        </is>
      </c>
      <c r="E1025" t="inlineStr">
        <is>
          <t>ÅRE</t>
        </is>
      </c>
      <c r="G1025" t="n">
        <v>3.1</v>
      </c>
      <c r="H1025" t="n">
        <v>1</v>
      </c>
      <c r="I1025" t="n">
        <v>0</v>
      </c>
      <c r="J1025" t="n">
        <v>1</v>
      </c>
      <c r="K1025" t="n">
        <v>0</v>
      </c>
      <c r="L1025" t="n">
        <v>0</v>
      </c>
      <c r="M1025" t="n">
        <v>0</v>
      </c>
      <c r="N1025" t="n">
        <v>0</v>
      </c>
      <c r="O1025" t="n">
        <v>1</v>
      </c>
      <c r="P1025" t="n">
        <v>0</v>
      </c>
      <c r="Q1025" t="n">
        <v>1</v>
      </c>
      <c r="R1025" s="2" t="inlineStr">
        <is>
          <t>Tretåig hackspett</t>
        </is>
      </c>
      <c r="S1025">
        <f>HYPERLINK("https://klasma.github.io/Logging_ARE/artfynd/A 17692-2022.xlsx")</f>
        <v/>
      </c>
      <c r="T1025">
        <f>HYPERLINK("https://klasma.github.io/Logging_ARE/kartor/A 17692-2022.png")</f>
        <v/>
      </c>
      <c r="V1025">
        <f>HYPERLINK("https://klasma.github.io/Logging_ARE/klagomål/A 17692-2022.docx")</f>
        <v/>
      </c>
      <c r="W1025">
        <f>HYPERLINK("https://klasma.github.io/Logging_ARE/klagomålsmail/A 17692-2022.docx")</f>
        <v/>
      </c>
      <c r="X1025">
        <f>HYPERLINK("https://klasma.github.io/Logging_ARE/tillsyn/A 17692-2022.docx")</f>
        <v/>
      </c>
      <c r="Y1025">
        <f>HYPERLINK("https://klasma.github.io/Logging_ARE/tillsynsmail/A 17692-2022.docx")</f>
        <v/>
      </c>
    </row>
    <row r="1026" ht="15" customHeight="1">
      <c r="A1026" t="inlineStr">
        <is>
          <t>A 18032-2022</t>
        </is>
      </c>
      <c r="B1026" s="1" t="n">
        <v>44683</v>
      </c>
      <c r="C1026" s="1" t="n">
        <v>45182</v>
      </c>
      <c r="D1026" t="inlineStr">
        <is>
          <t>JÄMTLANDS LÄN</t>
        </is>
      </c>
      <c r="E1026" t="inlineStr">
        <is>
          <t>KROKOM</t>
        </is>
      </c>
      <c r="G1026" t="n">
        <v>15.8</v>
      </c>
      <c r="H1026" t="n">
        <v>0</v>
      </c>
      <c r="I1026" t="n">
        <v>0</v>
      </c>
      <c r="J1026" t="n">
        <v>1</v>
      </c>
      <c r="K1026" t="n">
        <v>0</v>
      </c>
      <c r="L1026" t="n">
        <v>0</v>
      </c>
      <c r="M1026" t="n">
        <v>0</v>
      </c>
      <c r="N1026" t="n">
        <v>0</v>
      </c>
      <c r="O1026" t="n">
        <v>1</v>
      </c>
      <c r="P1026" t="n">
        <v>0</v>
      </c>
      <c r="Q1026" t="n">
        <v>1</v>
      </c>
      <c r="R1026" s="2" t="inlineStr">
        <is>
          <t>Brunklöver</t>
        </is>
      </c>
      <c r="S1026">
        <f>HYPERLINK("https://klasma.github.io/Logging_KROKOM/artfynd/A 18032-2022.xlsx")</f>
        <v/>
      </c>
      <c r="T1026">
        <f>HYPERLINK("https://klasma.github.io/Logging_KROKOM/kartor/A 18032-2022.png")</f>
        <v/>
      </c>
      <c r="V1026">
        <f>HYPERLINK("https://klasma.github.io/Logging_KROKOM/klagomål/A 18032-2022.docx")</f>
        <v/>
      </c>
      <c r="W1026">
        <f>HYPERLINK("https://klasma.github.io/Logging_KROKOM/klagomålsmail/A 18032-2022.docx")</f>
        <v/>
      </c>
      <c r="X1026">
        <f>HYPERLINK("https://klasma.github.io/Logging_KROKOM/tillsyn/A 18032-2022.docx")</f>
        <v/>
      </c>
      <c r="Y1026">
        <f>HYPERLINK("https://klasma.github.io/Logging_KROKOM/tillsynsmail/A 18032-2022.docx")</f>
        <v/>
      </c>
    </row>
    <row r="1027" ht="15" customHeight="1">
      <c r="A1027" t="inlineStr">
        <is>
          <t>A 18851-2022</t>
        </is>
      </c>
      <c r="B1027" s="1" t="n">
        <v>44690</v>
      </c>
      <c r="C1027" s="1" t="n">
        <v>45182</v>
      </c>
      <c r="D1027" t="inlineStr">
        <is>
          <t>JÄMTLANDS LÄN</t>
        </is>
      </c>
      <c r="E1027" t="inlineStr">
        <is>
          <t>ÅRE</t>
        </is>
      </c>
      <c r="G1027" t="n">
        <v>10.4</v>
      </c>
      <c r="H1027" t="n">
        <v>0</v>
      </c>
      <c r="I1027" t="n">
        <v>0</v>
      </c>
      <c r="J1027" t="n">
        <v>1</v>
      </c>
      <c r="K1027" t="n">
        <v>0</v>
      </c>
      <c r="L1027" t="n">
        <v>0</v>
      </c>
      <c r="M1027" t="n">
        <v>0</v>
      </c>
      <c r="N1027" t="n">
        <v>0</v>
      </c>
      <c r="O1027" t="n">
        <v>1</v>
      </c>
      <c r="P1027" t="n">
        <v>0</v>
      </c>
      <c r="Q1027" t="n">
        <v>1</v>
      </c>
      <c r="R1027" s="2" t="inlineStr">
        <is>
          <t>Garnlav</t>
        </is>
      </c>
      <c r="S1027">
        <f>HYPERLINK("https://klasma.github.io/Logging_ARE/artfynd/A 18851-2022.xlsx")</f>
        <v/>
      </c>
      <c r="T1027">
        <f>HYPERLINK("https://klasma.github.io/Logging_ARE/kartor/A 18851-2022.png")</f>
        <v/>
      </c>
      <c r="V1027">
        <f>HYPERLINK("https://klasma.github.io/Logging_ARE/klagomål/A 18851-2022.docx")</f>
        <v/>
      </c>
      <c r="W1027">
        <f>HYPERLINK("https://klasma.github.io/Logging_ARE/klagomålsmail/A 18851-2022.docx")</f>
        <v/>
      </c>
      <c r="X1027">
        <f>HYPERLINK("https://klasma.github.io/Logging_ARE/tillsyn/A 18851-2022.docx")</f>
        <v/>
      </c>
      <c r="Y1027">
        <f>HYPERLINK("https://klasma.github.io/Logging_ARE/tillsynsmail/A 18851-2022.docx")</f>
        <v/>
      </c>
    </row>
    <row r="1028" ht="15" customHeight="1">
      <c r="A1028" t="inlineStr">
        <is>
          <t>A 19600-2022</t>
        </is>
      </c>
      <c r="B1028" s="1" t="n">
        <v>44693</v>
      </c>
      <c r="C1028" s="1" t="n">
        <v>45182</v>
      </c>
      <c r="D1028" t="inlineStr">
        <is>
          <t>JÄMTLANDS LÄN</t>
        </is>
      </c>
      <c r="E1028" t="inlineStr">
        <is>
          <t>STRÖMSUND</t>
        </is>
      </c>
      <c r="F1028" t="inlineStr">
        <is>
          <t>SCA</t>
        </is>
      </c>
      <c r="G1028" t="n">
        <v>6.9</v>
      </c>
      <c r="H1028" t="n">
        <v>0</v>
      </c>
      <c r="I1028" t="n">
        <v>0</v>
      </c>
      <c r="J1028" t="n">
        <v>1</v>
      </c>
      <c r="K1028" t="n">
        <v>0</v>
      </c>
      <c r="L1028" t="n">
        <v>0</v>
      </c>
      <c r="M1028" t="n">
        <v>0</v>
      </c>
      <c r="N1028" t="n">
        <v>0</v>
      </c>
      <c r="O1028" t="n">
        <v>1</v>
      </c>
      <c r="P1028" t="n">
        <v>0</v>
      </c>
      <c r="Q1028" t="n">
        <v>1</v>
      </c>
      <c r="R1028" s="2" t="inlineStr">
        <is>
          <t>Garnlav</t>
        </is>
      </c>
      <c r="S1028">
        <f>HYPERLINK("https://klasma.github.io/Logging_STROMSUND/artfynd/A 19600-2022.xlsx")</f>
        <v/>
      </c>
      <c r="T1028">
        <f>HYPERLINK("https://klasma.github.io/Logging_STROMSUND/kartor/A 19600-2022.png")</f>
        <v/>
      </c>
      <c r="V1028">
        <f>HYPERLINK("https://klasma.github.io/Logging_STROMSUND/klagomål/A 19600-2022.docx")</f>
        <v/>
      </c>
      <c r="W1028">
        <f>HYPERLINK("https://klasma.github.io/Logging_STROMSUND/klagomålsmail/A 19600-2022.docx")</f>
        <v/>
      </c>
      <c r="X1028">
        <f>HYPERLINK("https://klasma.github.io/Logging_STROMSUND/tillsyn/A 19600-2022.docx")</f>
        <v/>
      </c>
      <c r="Y1028">
        <f>HYPERLINK("https://klasma.github.io/Logging_STROMSUND/tillsynsmail/A 19600-2022.docx")</f>
        <v/>
      </c>
    </row>
    <row r="1029" ht="15" customHeight="1">
      <c r="A1029" t="inlineStr">
        <is>
          <t>A 19798-2022</t>
        </is>
      </c>
      <c r="B1029" s="1" t="n">
        <v>44694</v>
      </c>
      <c r="C1029" s="1" t="n">
        <v>45182</v>
      </c>
      <c r="D1029" t="inlineStr">
        <is>
          <t>JÄMTLANDS LÄN</t>
        </is>
      </c>
      <c r="E1029" t="inlineStr">
        <is>
          <t>ÖSTERSUND</t>
        </is>
      </c>
      <c r="F1029" t="inlineStr">
        <is>
          <t>SCA</t>
        </is>
      </c>
      <c r="G1029" t="n">
        <v>1</v>
      </c>
      <c r="H1029" t="n">
        <v>1</v>
      </c>
      <c r="I1029" t="n">
        <v>1</v>
      </c>
      <c r="J1029" t="n">
        <v>0</v>
      </c>
      <c r="K1029" t="n">
        <v>0</v>
      </c>
      <c r="L1029" t="n">
        <v>0</v>
      </c>
      <c r="M1029" t="n">
        <v>0</v>
      </c>
      <c r="N1029" t="n">
        <v>0</v>
      </c>
      <c r="O1029" t="n">
        <v>0</v>
      </c>
      <c r="P1029" t="n">
        <v>0</v>
      </c>
      <c r="Q1029" t="n">
        <v>1</v>
      </c>
      <c r="R1029" s="2" t="inlineStr">
        <is>
          <t>Guckusko</t>
        </is>
      </c>
      <c r="S1029">
        <f>HYPERLINK("https://klasma.github.io/Logging_OSTERSUND/artfynd/A 19798-2022.xlsx")</f>
        <v/>
      </c>
      <c r="T1029">
        <f>HYPERLINK("https://klasma.github.io/Logging_OSTERSUND/kartor/A 19798-2022.png")</f>
        <v/>
      </c>
      <c r="V1029">
        <f>HYPERLINK("https://klasma.github.io/Logging_OSTERSUND/klagomål/A 19798-2022.docx")</f>
        <v/>
      </c>
      <c r="W1029">
        <f>HYPERLINK("https://klasma.github.io/Logging_OSTERSUND/klagomålsmail/A 19798-2022.docx")</f>
        <v/>
      </c>
      <c r="X1029">
        <f>HYPERLINK("https://klasma.github.io/Logging_OSTERSUND/tillsyn/A 19798-2022.docx")</f>
        <v/>
      </c>
      <c r="Y1029">
        <f>HYPERLINK("https://klasma.github.io/Logging_OSTERSUND/tillsynsmail/A 19798-2022.docx")</f>
        <v/>
      </c>
    </row>
    <row r="1030" ht="15" customHeight="1">
      <c r="A1030" t="inlineStr">
        <is>
          <t>A 19796-2022</t>
        </is>
      </c>
      <c r="B1030" s="1" t="n">
        <v>44694</v>
      </c>
      <c r="C1030" s="1" t="n">
        <v>45182</v>
      </c>
      <c r="D1030" t="inlineStr">
        <is>
          <t>JÄMTLANDS LÄN</t>
        </is>
      </c>
      <c r="E1030" t="inlineStr">
        <is>
          <t>ÖSTERSUND</t>
        </is>
      </c>
      <c r="F1030" t="inlineStr">
        <is>
          <t>SCA</t>
        </is>
      </c>
      <c r="G1030" t="n">
        <v>4.8</v>
      </c>
      <c r="H1030" t="n">
        <v>0</v>
      </c>
      <c r="I1030" t="n">
        <v>0</v>
      </c>
      <c r="J1030" t="n">
        <v>1</v>
      </c>
      <c r="K1030" t="n">
        <v>0</v>
      </c>
      <c r="L1030" t="n">
        <v>0</v>
      </c>
      <c r="M1030" t="n">
        <v>0</v>
      </c>
      <c r="N1030" t="n">
        <v>0</v>
      </c>
      <c r="O1030" t="n">
        <v>1</v>
      </c>
      <c r="P1030" t="n">
        <v>0</v>
      </c>
      <c r="Q1030" t="n">
        <v>1</v>
      </c>
      <c r="R1030" s="2" t="inlineStr">
        <is>
          <t>Lunglav</t>
        </is>
      </c>
      <c r="S1030">
        <f>HYPERLINK("https://klasma.github.io/Logging_OSTERSUND/artfynd/A 19796-2022.xlsx")</f>
        <v/>
      </c>
      <c r="T1030">
        <f>HYPERLINK("https://klasma.github.io/Logging_OSTERSUND/kartor/A 19796-2022.png")</f>
        <v/>
      </c>
      <c r="V1030">
        <f>HYPERLINK("https://klasma.github.io/Logging_OSTERSUND/klagomål/A 19796-2022.docx")</f>
        <v/>
      </c>
      <c r="W1030">
        <f>HYPERLINK("https://klasma.github.io/Logging_OSTERSUND/klagomålsmail/A 19796-2022.docx")</f>
        <v/>
      </c>
      <c r="X1030">
        <f>HYPERLINK("https://klasma.github.io/Logging_OSTERSUND/tillsyn/A 19796-2022.docx")</f>
        <v/>
      </c>
      <c r="Y1030">
        <f>HYPERLINK("https://klasma.github.io/Logging_OSTERSUND/tillsynsmail/A 19796-2022.docx")</f>
        <v/>
      </c>
    </row>
    <row r="1031" ht="15" customHeight="1">
      <c r="A1031" t="inlineStr">
        <is>
          <t>A 20316-2022</t>
        </is>
      </c>
      <c r="B1031" s="1" t="n">
        <v>44698</v>
      </c>
      <c r="C1031" s="1" t="n">
        <v>45182</v>
      </c>
      <c r="D1031" t="inlineStr">
        <is>
          <t>JÄMTLANDS LÄN</t>
        </is>
      </c>
      <c r="E1031" t="inlineStr">
        <is>
          <t>STRÖMSUND</t>
        </is>
      </c>
      <c r="F1031" t="inlineStr">
        <is>
          <t>SCA</t>
        </is>
      </c>
      <c r="G1031" t="n">
        <v>6.4</v>
      </c>
      <c r="H1031" t="n">
        <v>1</v>
      </c>
      <c r="I1031" t="n">
        <v>0</v>
      </c>
      <c r="J1031" t="n">
        <v>0</v>
      </c>
      <c r="K1031" t="n">
        <v>0</v>
      </c>
      <c r="L1031" t="n">
        <v>0</v>
      </c>
      <c r="M1031" t="n">
        <v>0</v>
      </c>
      <c r="N1031" t="n">
        <v>0</v>
      </c>
      <c r="O1031" t="n">
        <v>0</v>
      </c>
      <c r="P1031" t="n">
        <v>0</v>
      </c>
      <c r="Q1031" t="n">
        <v>1</v>
      </c>
      <c r="R1031" s="2" t="inlineStr">
        <is>
          <t>Fläcknycklar</t>
        </is>
      </c>
      <c r="S1031">
        <f>HYPERLINK("https://klasma.github.io/Logging_STROMSUND/artfynd/A 20316-2022.xlsx")</f>
        <v/>
      </c>
      <c r="T1031">
        <f>HYPERLINK("https://klasma.github.io/Logging_STROMSUND/kartor/A 20316-2022.png")</f>
        <v/>
      </c>
      <c r="V1031">
        <f>HYPERLINK("https://klasma.github.io/Logging_STROMSUND/klagomål/A 20316-2022.docx")</f>
        <v/>
      </c>
      <c r="W1031">
        <f>HYPERLINK("https://klasma.github.io/Logging_STROMSUND/klagomålsmail/A 20316-2022.docx")</f>
        <v/>
      </c>
      <c r="X1031">
        <f>HYPERLINK("https://klasma.github.io/Logging_STROMSUND/tillsyn/A 20316-2022.docx")</f>
        <v/>
      </c>
      <c r="Y1031">
        <f>HYPERLINK("https://klasma.github.io/Logging_STROMSUND/tillsynsmail/A 20316-2022.docx")</f>
        <v/>
      </c>
    </row>
    <row r="1032" ht="15" customHeight="1">
      <c r="A1032" t="inlineStr">
        <is>
          <t>A 21208-2022</t>
        </is>
      </c>
      <c r="B1032" s="1" t="n">
        <v>44704</v>
      </c>
      <c r="C1032" s="1" t="n">
        <v>45182</v>
      </c>
      <c r="D1032" t="inlineStr">
        <is>
          <t>JÄMTLANDS LÄN</t>
        </is>
      </c>
      <c r="E1032" t="inlineStr">
        <is>
          <t>STRÖMSUND</t>
        </is>
      </c>
      <c r="F1032" t="inlineStr">
        <is>
          <t>SCA</t>
        </is>
      </c>
      <c r="G1032" t="n">
        <v>1.5</v>
      </c>
      <c r="H1032" t="n">
        <v>0</v>
      </c>
      <c r="I1032" t="n">
        <v>0</v>
      </c>
      <c r="J1032" t="n">
        <v>1</v>
      </c>
      <c r="K1032" t="n">
        <v>0</v>
      </c>
      <c r="L1032" t="n">
        <v>0</v>
      </c>
      <c r="M1032" t="n">
        <v>0</v>
      </c>
      <c r="N1032" t="n">
        <v>0</v>
      </c>
      <c r="O1032" t="n">
        <v>1</v>
      </c>
      <c r="P1032" t="n">
        <v>0</v>
      </c>
      <c r="Q1032" t="n">
        <v>1</v>
      </c>
      <c r="R1032" s="2" t="inlineStr">
        <is>
          <t>Harticka</t>
        </is>
      </c>
      <c r="S1032">
        <f>HYPERLINK("https://klasma.github.io/Logging_STROMSUND/artfynd/A 21208-2022.xlsx")</f>
        <v/>
      </c>
      <c r="T1032">
        <f>HYPERLINK("https://klasma.github.io/Logging_STROMSUND/kartor/A 21208-2022.png")</f>
        <v/>
      </c>
      <c r="V1032">
        <f>HYPERLINK("https://klasma.github.io/Logging_STROMSUND/klagomål/A 21208-2022.docx")</f>
        <v/>
      </c>
      <c r="W1032">
        <f>HYPERLINK("https://klasma.github.io/Logging_STROMSUND/klagomålsmail/A 21208-2022.docx")</f>
        <v/>
      </c>
      <c r="X1032">
        <f>HYPERLINK("https://klasma.github.io/Logging_STROMSUND/tillsyn/A 21208-2022.docx")</f>
        <v/>
      </c>
      <c r="Y1032">
        <f>HYPERLINK("https://klasma.github.io/Logging_STROMSUND/tillsynsmail/A 21208-2022.docx")</f>
        <v/>
      </c>
    </row>
    <row r="1033" ht="15" customHeight="1">
      <c r="A1033" t="inlineStr">
        <is>
          <t>A 21275-2022</t>
        </is>
      </c>
      <c r="B1033" s="1" t="n">
        <v>44705</v>
      </c>
      <c r="C1033" s="1" t="n">
        <v>45182</v>
      </c>
      <c r="D1033" t="inlineStr">
        <is>
          <t>JÄMTLANDS LÄN</t>
        </is>
      </c>
      <c r="E1033" t="inlineStr">
        <is>
          <t>RAGUNDA</t>
        </is>
      </c>
      <c r="G1033" t="n">
        <v>2.2</v>
      </c>
      <c r="H1033" t="n">
        <v>0</v>
      </c>
      <c r="I1033" t="n">
        <v>1</v>
      </c>
      <c r="J1033" t="n">
        <v>0</v>
      </c>
      <c r="K1033" t="n">
        <v>0</v>
      </c>
      <c r="L1033" t="n">
        <v>0</v>
      </c>
      <c r="M1033" t="n">
        <v>0</v>
      </c>
      <c r="N1033" t="n">
        <v>0</v>
      </c>
      <c r="O1033" t="n">
        <v>0</v>
      </c>
      <c r="P1033" t="n">
        <v>0</v>
      </c>
      <c r="Q1033" t="n">
        <v>1</v>
      </c>
      <c r="R1033" s="2" t="inlineStr">
        <is>
          <t>Kransrams</t>
        </is>
      </c>
      <c r="S1033">
        <f>HYPERLINK("https://klasma.github.io/Logging_RAGUNDA/artfynd/A 21275-2022.xlsx")</f>
        <v/>
      </c>
      <c r="T1033">
        <f>HYPERLINK("https://klasma.github.io/Logging_RAGUNDA/kartor/A 21275-2022.png")</f>
        <v/>
      </c>
      <c r="V1033">
        <f>HYPERLINK("https://klasma.github.io/Logging_RAGUNDA/klagomål/A 21275-2022.docx")</f>
        <v/>
      </c>
      <c r="W1033">
        <f>HYPERLINK("https://klasma.github.io/Logging_RAGUNDA/klagomålsmail/A 21275-2022.docx")</f>
        <v/>
      </c>
      <c r="X1033">
        <f>HYPERLINK("https://klasma.github.io/Logging_RAGUNDA/tillsyn/A 21275-2022.docx")</f>
        <v/>
      </c>
      <c r="Y1033">
        <f>HYPERLINK("https://klasma.github.io/Logging_RAGUNDA/tillsynsmail/A 21275-2022.docx")</f>
        <v/>
      </c>
    </row>
    <row r="1034" ht="15" customHeight="1">
      <c r="A1034" t="inlineStr">
        <is>
          <t>A 23186-2022</t>
        </is>
      </c>
      <c r="B1034" s="1" t="n">
        <v>44719</v>
      </c>
      <c r="C1034" s="1" t="n">
        <v>45182</v>
      </c>
      <c r="D1034" t="inlineStr">
        <is>
          <t>JÄMTLANDS LÄN</t>
        </is>
      </c>
      <c r="E1034" t="inlineStr">
        <is>
          <t>STRÖMSUND</t>
        </is>
      </c>
      <c r="G1034" t="n">
        <v>14.3</v>
      </c>
      <c r="H1034" t="n">
        <v>0</v>
      </c>
      <c r="I1034" t="n">
        <v>0</v>
      </c>
      <c r="J1034" t="n">
        <v>1</v>
      </c>
      <c r="K1034" t="n">
        <v>0</v>
      </c>
      <c r="L1034" t="n">
        <v>0</v>
      </c>
      <c r="M1034" t="n">
        <v>0</v>
      </c>
      <c r="N1034" t="n">
        <v>0</v>
      </c>
      <c r="O1034" t="n">
        <v>1</v>
      </c>
      <c r="P1034" t="n">
        <v>0</v>
      </c>
      <c r="Q1034" t="n">
        <v>1</v>
      </c>
      <c r="R1034" s="2" t="inlineStr">
        <is>
          <t>Lunglav</t>
        </is>
      </c>
      <c r="S1034">
        <f>HYPERLINK("https://klasma.github.io/Logging_STROMSUND/artfynd/A 23186-2022.xlsx")</f>
        <v/>
      </c>
      <c r="T1034">
        <f>HYPERLINK("https://klasma.github.io/Logging_STROMSUND/kartor/A 23186-2022.png")</f>
        <v/>
      </c>
      <c r="V1034">
        <f>HYPERLINK("https://klasma.github.io/Logging_STROMSUND/klagomål/A 23186-2022.docx")</f>
        <v/>
      </c>
      <c r="W1034">
        <f>HYPERLINK("https://klasma.github.io/Logging_STROMSUND/klagomålsmail/A 23186-2022.docx")</f>
        <v/>
      </c>
      <c r="X1034">
        <f>HYPERLINK("https://klasma.github.io/Logging_STROMSUND/tillsyn/A 23186-2022.docx")</f>
        <v/>
      </c>
      <c r="Y1034">
        <f>HYPERLINK("https://klasma.github.io/Logging_STROMSUND/tillsynsmail/A 23186-2022.docx")</f>
        <v/>
      </c>
    </row>
    <row r="1035" ht="15" customHeight="1">
      <c r="A1035" t="inlineStr">
        <is>
          <t>A 23434-2022</t>
        </is>
      </c>
      <c r="B1035" s="1" t="n">
        <v>44720</v>
      </c>
      <c r="C1035" s="1" t="n">
        <v>45182</v>
      </c>
      <c r="D1035" t="inlineStr">
        <is>
          <t>JÄMTLANDS LÄN</t>
        </is>
      </c>
      <c r="E1035" t="inlineStr">
        <is>
          <t>BRÄCKE</t>
        </is>
      </c>
      <c r="G1035" t="n">
        <v>14.1</v>
      </c>
      <c r="H1035" t="n">
        <v>1</v>
      </c>
      <c r="I1035" t="n">
        <v>0</v>
      </c>
      <c r="J1035" t="n">
        <v>0</v>
      </c>
      <c r="K1035" t="n">
        <v>1</v>
      </c>
      <c r="L1035" t="n">
        <v>0</v>
      </c>
      <c r="M1035" t="n">
        <v>0</v>
      </c>
      <c r="N1035" t="n">
        <v>0</v>
      </c>
      <c r="O1035" t="n">
        <v>1</v>
      </c>
      <c r="P1035" t="n">
        <v>1</v>
      </c>
      <c r="Q1035" t="n">
        <v>1</v>
      </c>
      <c r="R1035" s="2" t="inlineStr">
        <is>
          <t>Knärot</t>
        </is>
      </c>
      <c r="S1035">
        <f>HYPERLINK("https://klasma.github.io/Logging_BRACKE/artfynd/A 23434-2022.xlsx")</f>
        <v/>
      </c>
      <c r="T1035">
        <f>HYPERLINK("https://klasma.github.io/Logging_BRACKE/kartor/A 23434-2022.png")</f>
        <v/>
      </c>
      <c r="U1035">
        <f>HYPERLINK("https://klasma.github.io/Logging_BRACKE/knärot/A 23434-2022.png")</f>
        <v/>
      </c>
      <c r="V1035">
        <f>HYPERLINK("https://klasma.github.io/Logging_BRACKE/klagomål/A 23434-2022.docx")</f>
        <v/>
      </c>
      <c r="W1035">
        <f>HYPERLINK("https://klasma.github.io/Logging_BRACKE/klagomålsmail/A 23434-2022.docx")</f>
        <v/>
      </c>
      <c r="X1035">
        <f>HYPERLINK("https://klasma.github.io/Logging_BRACKE/tillsyn/A 23434-2022.docx")</f>
        <v/>
      </c>
      <c r="Y1035">
        <f>HYPERLINK("https://klasma.github.io/Logging_BRACKE/tillsynsmail/A 23434-2022.docx")</f>
        <v/>
      </c>
    </row>
    <row r="1036" ht="15" customHeight="1">
      <c r="A1036" t="inlineStr">
        <is>
          <t>A 24552-2022</t>
        </is>
      </c>
      <c r="B1036" s="1" t="n">
        <v>44726</v>
      </c>
      <c r="C1036" s="1" t="n">
        <v>45182</v>
      </c>
      <c r="D1036" t="inlineStr">
        <is>
          <t>JÄMTLANDS LÄN</t>
        </is>
      </c>
      <c r="E1036" t="inlineStr">
        <is>
          <t>BRÄCKE</t>
        </is>
      </c>
      <c r="G1036" t="n">
        <v>2.6</v>
      </c>
      <c r="H1036" t="n">
        <v>0</v>
      </c>
      <c r="I1036" t="n">
        <v>0</v>
      </c>
      <c r="J1036" t="n">
        <v>1</v>
      </c>
      <c r="K1036" t="n">
        <v>0</v>
      </c>
      <c r="L1036" t="n">
        <v>0</v>
      </c>
      <c r="M1036" t="n">
        <v>0</v>
      </c>
      <c r="N1036" t="n">
        <v>0</v>
      </c>
      <c r="O1036" t="n">
        <v>1</v>
      </c>
      <c r="P1036" t="n">
        <v>0</v>
      </c>
      <c r="Q1036" t="n">
        <v>1</v>
      </c>
      <c r="R1036" s="2" t="inlineStr">
        <is>
          <t>Bredbrämad bastardsvärmare</t>
        </is>
      </c>
      <c r="S1036">
        <f>HYPERLINK("https://klasma.github.io/Logging_BRACKE/artfynd/A 24552-2022.xlsx")</f>
        <v/>
      </c>
      <c r="T1036">
        <f>HYPERLINK("https://klasma.github.io/Logging_BRACKE/kartor/A 24552-2022.png")</f>
        <v/>
      </c>
      <c r="V1036">
        <f>HYPERLINK("https://klasma.github.io/Logging_BRACKE/klagomål/A 24552-2022.docx")</f>
        <v/>
      </c>
      <c r="W1036">
        <f>HYPERLINK("https://klasma.github.io/Logging_BRACKE/klagomålsmail/A 24552-2022.docx")</f>
        <v/>
      </c>
      <c r="X1036">
        <f>HYPERLINK("https://klasma.github.io/Logging_BRACKE/tillsyn/A 24552-2022.docx")</f>
        <v/>
      </c>
      <c r="Y1036">
        <f>HYPERLINK("https://klasma.github.io/Logging_BRACKE/tillsynsmail/A 24552-2022.docx")</f>
        <v/>
      </c>
    </row>
    <row r="1037" ht="15" customHeight="1">
      <c r="A1037" t="inlineStr">
        <is>
          <t>A 24729-2022</t>
        </is>
      </c>
      <c r="B1037" s="1" t="n">
        <v>44727</v>
      </c>
      <c r="C1037" s="1" t="n">
        <v>45182</v>
      </c>
      <c r="D1037" t="inlineStr">
        <is>
          <t>JÄMTLANDS LÄN</t>
        </is>
      </c>
      <c r="E1037" t="inlineStr">
        <is>
          <t>STRÖMSUND</t>
        </is>
      </c>
      <c r="F1037" t="inlineStr">
        <is>
          <t>SCA</t>
        </is>
      </c>
      <c r="G1037" t="n">
        <v>1.3</v>
      </c>
      <c r="H1037" t="n">
        <v>0</v>
      </c>
      <c r="I1037" t="n">
        <v>0</v>
      </c>
      <c r="J1037" t="n">
        <v>1</v>
      </c>
      <c r="K1037" t="n">
        <v>0</v>
      </c>
      <c r="L1037" t="n">
        <v>0</v>
      </c>
      <c r="M1037" t="n">
        <v>0</v>
      </c>
      <c r="N1037" t="n">
        <v>0</v>
      </c>
      <c r="O1037" t="n">
        <v>1</v>
      </c>
      <c r="P1037" t="n">
        <v>0</v>
      </c>
      <c r="Q1037" t="n">
        <v>1</v>
      </c>
      <c r="R1037" s="2" t="inlineStr">
        <is>
          <t>Granticka</t>
        </is>
      </c>
      <c r="S1037">
        <f>HYPERLINK("https://klasma.github.io/Logging_STROMSUND/artfynd/A 24729-2022.xlsx")</f>
        <v/>
      </c>
      <c r="T1037">
        <f>HYPERLINK("https://klasma.github.io/Logging_STROMSUND/kartor/A 24729-2022.png")</f>
        <v/>
      </c>
      <c r="V1037">
        <f>HYPERLINK("https://klasma.github.io/Logging_STROMSUND/klagomål/A 24729-2022.docx")</f>
        <v/>
      </c>
      <c r="W1037">
        <f>HYPERLINK("https://klasma.github.io/Logging_STROMSUND/klagomålsmail/A 24729-2022.docx")</f>
        <v/>
      </c>
      <c r="X1037">
        <f>HYPERLINK("https://klasma.github.io/Logging_STROMSUND/tillsyn/A 24729-2022.docx")</f>
        <v/>
      </c>
      <c r="Y1037">
        <f>HYPERLINK("https://klasma.github.io/Logging_STROMSUND/tillsynsmail/A 24729-2022.docx")</f>
        <v/>
      </c>
    </row>
    <row r="1038" ht="15" customHeight="1">
      <c r="A1038" t="inlineStr">
        <is>
          <t>A 25038-2022</t>
        </is>
      </c>
      <c r="B1038" s="1" t="n">
        <v>44728</v>
      </c>
      <c r="C1038" s="1" t="n">
        <v>45182</v>
      </c>
      <c r="D1038" t="inlineStr">
        <is>
          <t>JÄMTLANDS LÄN</t>
        </is>
      </c>
      <c r="E1038" t="inlineStr">
        <is>
          <t>STRÖMSUND</t>
        </is>
      </c>
      <c r="F1038" t="inlineStr">
        <is>
          <t>SCA</t>
        </is>
      </c>
      <c r="G1038" t="n">
        <v>7.7</v>
      </c>
      <c r="H1038" t="n">
        <v>0</v>
      </c>
      <c r="I1038" t="n">
        <v>0</v>
      </c>
      <c r="J1038" t="n">
        <v>0</v>
      </c>
      <c r="K1038" t="n">
        <v>1</v>
      </c>
      <c r="L1038" t="n">
        <v>0</v>
      </c>
      <c r="M1038" t="n">
        <v>0</v>
      </c>
      <c r="N1038" t="n">
        <v>0</v>
      </c>
      <c r="O1038" t="n">
        <v>1</v>
      </c>
      <c r="P1038" t="n">
        <v>1</v>
      </c>
      <c r="Q1038" t="n">
        <v>1</v>
      </c>
      <c r="R1038" s="2" t="inlineStr">
        <is>
          <t>Gräddporing</t>
        </is>
      </c>
      <c r="S1038">
        <f>HYPERLINK("https://klasma.github.io/Logging_STROMSUND/artfynd/A 25038-2022.xlsx")</f>
        <v/>
      </c>
      <c r="T1038">
        <f>HYPERLINK("https://klasma.github.io/Logging_STROMSUND/kartor/A 25038-2022.png")</f>
        <v/>
      </c>
      <c r="V1038">
        <f>HYPERLINK("https://klasma.github.io/Logging_STROMSUND/klagomål/A 25038-2022.docx")</f>
        <v/>
      </c>
      <c r="W1038">
        <f>HYPERLINK("https://klasma.github.io/Logging_STROMSUND/klagomålsmail/A 25038-2022.docx")</f>
        <v/>
      </c>
      <c r="X1038">
        <f>HYPERLINK("https://klasma.github.io/Logging_STROMSUND/tillsyn/A 25038-2022.docx")</f>
        <v/>
      </c>
      <c r="Y1038">
        <f>HYPERLINK("https://klasma.github.io/Logging_STROMSUND/tillsynsmail/A 25038-2022.docx")</f>
        <v/>
      </c>
    </row>
    <row r="1039" ht="15" customHeight="1">
      <c r="A1039" t="inlineStr">
        <is>
          <t>A 25015-2022</t>
        </is>
      </c>
      <c r="B1039" s="1" t="n">
        <v>44728</v>
      </c>
      <c r="C1039" s="1" t="n">
        <v>45182</v>
      </c>
      <c r="D1039" t="inlineStr">
        <is>
          <t>JÄMTLANDS LÄN</t>
        </is>
      </c>
      <c r="E1039" t="inlineStr">
        <is>
          <t>STRÖMSUND</t>
        </is>
      </c>
      <c r="F1039" t="inlineStr">
        <is>
          <t>SCA</t>
        </is>
      </c>
      <c r="G1039" t="n">
        <v>1.5</v>
      </c>
      <c r="H1039" t="n">
        <v>0</v>
      </c>
      <c r="I1039" t="n">
        <v>0</v>
      </c>
      <c r="J1039" t="n">
        <v>1</v>
      </c>
      <c r="K1039" t="n">
        <v>0</v>
      </c>
      <c r="L1039" t="n">
        <v>0</v>
      </c>
      <c r="M1039" t="n">
        <v>0</v>
      </c>
      <c r="N1039" t="n">
        <v>0</v>
      </c>
      <c r="O1039" t="n">
        <v>1</v>
      </c>
      <c r="P1039" t="n">
        <v>0</v>
      </c>
      <c r="Q1039" t="n">
        <v>1</v>
      </c>
      <c r="R1039" s="2" t="inlineStr">
        <is>
          <t>Ullticka</t>
        </is>
      </c>
      <c r="S1039">
        <f>HYPERLINK("https://klasma.github.io/Logging_STROMSUND/artfynd/A 25015-2022.xlsx")</f>
        <v/>
      </c>
      <c r="T1039">
        <f>HYPERLINK("https://klasma.github.io/Logging_STROMSUND/kartor/A 25015-2022.png")</f>
        <v/>
      </c>
      <c r="V1039">
        <f>HYPERLINK("https://klasma.github.io/Logging_STROMSUND/klagomål/A 25015-2022.docx")</f>
        <v/>
      </c>
      <c r="W1039">
        <f>HYPERLINK("https://klasma.github.io/Logging_STROMSUND/klagomålsmail/A 25015-2022.docx")</f>
        <v/>
      </c>
      <c r="X1039">
        <f>HYPERLINK("https://klasma.github.io/Logging_STROMSUND/tillsyn/A 25015-2022.docx")</f>
        <v/>
      </c>
      <c r="Y1039">
        <f>HYPERLINK("https://klasma.github.io/Logging_STROMSUND/tillsynsmail/A 25015-2022.docx")</f>
        <v/>
      </c>
    </row>
    <row r="1040" ht="15" customHeight="1">
      <c r="A1040" t="inlineStr">
        <is>
          <t>A 25041-2022</t>
        </is>
      </c>
      <c r="B1040" s="1" t="n">
        <v>44728</v>
      </c>
      <c r="C1040" s="1" t="n">
        <v>45182</v>
      </c>
      <c r="D1040" t="inlineStr">
        <is>
          <t>JÄMTLANDS LÄN</t>
        </is>
      </c>
      <c r="E1040" t="inlineStr">
        <is>
          <t>KROKOM</t>
        </is>
      </c>
      <c r="F1040" t="inlineStr">
        <is>
          <t>SCA</t>
        </is>
      </c>
      <c r="G1040" t="n">
        <v>5.5</v>
      </c>
      <c r="H1040" t="n">
        <v>0</v>
      </c>
      <c r="I1040" t="n">
        <v>0</v>
      </c>
      <c r="J1040" t="n">
        <v>1</v>
      </c>
      <c r="K1040" t="n">
        <v>0</v>
      </c>
      <c r="L1040" t="n">
        <v>0</v>
      </c>
      <c r="M1040" t="n">
        <v>0</v>
      </c>
      <c r="N1040" t="n">
        <v>0</v>
      </c>
      <c r="O1040" t="n">
        <v>1</v>
      </c>
      <c r="P1040" t="n">
        <v>0</v>
      </c>
      <c r="Q1040" t="n">
        <v>1</v>
      </c>
      <c r="R1040" s="2" t="inlineStr">
        <is>
          <t>Harticka</t>
        </is>
      </c>
      <c r="S1040">
        <f>HYPERLINK("https://klasma.github.io/Logging_KROKOM/artfynd/A 25041-2022.xlsx")</f>
        <v/>
      </c>
      <c r="T1040">
        <f>HYPERLINK("https://klasma.github.io/Logging_KROKOM/kartor/A 25041-2022.png")</f>
        <v/>
      </c>
      <c r="V1040">
        <f>HYPERLINK("https://klasma.github.io/Logging_KROKOM/klagomål/A 25041-2022.docx")</f>
        <v/>
      </c>
      <c r="W1040">
        <f>HYPERLINK("https://klasma.github.io/Logging_KROKOM/klagomålsmail/A 25041-2022.docx")</f>
        <v/>
      </c>
      <c r="X1040">
        <f>HYPERLINK("https://klasma.github.io/Logging_KROKOM/tillsyn/A 25041-2022.docx")</f>
        <v/>
      </c>
      <c r="Y1040">
        <f>HYPERLINK("https://klasma.github.io/Logging_KROKOM/tillsynsmail/A 25041-2022.docx")</f>
        <v/>
      </c>
    </row>
    <row r="1041" ht="15" customHeight="1">
      <c r="A1041" t="inlineStr">
        <is>
          <t>A 26403-2022</t>
        </is>
      </c>
      <c r="B1041" s="1" t="n">
        <v>44735</v>
      </c>
      <c r="C1041" s="1" t="n">
        <v>45182</v>
      </c>
      <c r="D1041" t="inlineStr">
        <is>
          <t>JÄMTLANDS LÄN</t>
        </is>
      </c>
      <c r="E1041" t="inlineStr">
        <is>
          <t>BERG</t>
        </is>
      </c>
      <c r="G1041" t="n">
        <v>3.4</v>
      </c>
      <c r="H1041" t="n">
        <v>1</v>
      </c>
      <c r="I1041" t="n">
        <v>0</v>
      </c>
      <c r="J1041" t="n">
        <v>0</v>
      </c>
      <c r="K1041" t="n">
        <v>0</v>
      </c>
      <c r="L1041" t="n">
        <v>1</v>
      </c>
      <c r="M1041" t="n">
        <v>0</v>
      </c>
      <c r="N1041" t="n">
        <v>0</v>
      </c>
      <c r="O1041" t="n">
        <v>1</v>
      </c>
      <c r="P1041" t="n">
        <v>1</v>
      </c>
      <c r="Q1041" t="n">
        <v>1</v>
      </c>
      <c r="R1041" s="2" t="inlineStr">
        <is>
          <t>Violett guldvinge</t>
        </is>
      </c>
      <c r="S1041">
        <f>HYPERLINK("https://klasma.github.io/Logging_BERG/artfynd/A 26403-2022.xlsx")</f>
        <v/>
      </c>
      <c r="T1041">
        <f>HYPERLINK("https://klasma.github.io/Logging_BERG/kartor/A 26403-2022.png")</f>
        <v/>
      </c>
      <c r="V1041">
        <f>HYPERLINK("https://klasma.github.io/Logging_BERG/klagomål/A 26403-2022.docx")</f>
        <v/>
      </c>
      <c r="W1041">
        <f>HYPERLINK("https://klasma.github.io/Logging_BERG/klagomålsmail/A 26403-2022.docx")</f>
        <v/>
      </c>
      <c r="X1041">
        <f>HYPERLINK("https://klasma.github.io/Logging_BERG/tillsyn/A 26403-2022.docx")</f>
        <v/>
      </c>
      <c r="Y1041">
        <f>HYPERLINK("https://klasma.github.io/Logging_BERG/tillsynsmail/A 26403-2022.docx")</f>
        <v/>
      </c>
    </row>
    <row r="1042" ht="15" customHeight="1">
      <c r="A1042" t="inlineStr">
        <is>
          <t>A 27286-2022</t>
        </is>
      </c>
      <c r="B1042" s="1" t="n">
        <v>44741</v>
      </c>
      <c r="C1042" s="1" t="n">
        <v>45182</v>
      </c>
      <c r="D1042" t="inlineStr">
        <is>
          <t>JÄMTLANDS LÄN</t>
        </is>
      </c>
      <c r="E1042" t="inlineStr">
        <is>
          <t>RAGUNDA</t>
        </is>
      </c>
      <c r="F1042" t="inlineStr">
        <is>
          <t>SCA</t>
        </is>
      </c>
      <c r="G1042" t="n">
        <v>3.1</v>
      </c>
      <c r="H1042" t="n">
        <v>0</v>
      </c>
      <c r="I1042" t="n">
        <v>0</v>
      </c>
      <c r="J1042" t="n">
        <v>1</v>
      </c>
      <c r="K1042" t="n">
        <v>0</v>
      </c>
      <c r="L1042" t="n">
        <v>0</v>
      </c>
      <c r="M1042" t="n">
        <v>0</v>
      </c>
      <c r="N1042" t="n">
        <v>0</v>
      </c>
      <c r="O1042" t="n">
        <v>1</v>
      </c>
      <c r="P1042" t="n">
        <v>0</v>
      </c>
      <c r="Q1042" t="n">
        <v>1</v>
      </c>
      <c r="R1042" s="2" t="inlineStr">
        <is>
          <t>Harticka</t>
        </is>
      </c>
      <c r="S1042">
        <f>HYPERLINK("https://klasma.github.io/Logging_RAGUNDA/artfynd/A 27286-2022.xlsx")</f>
        <v/>
      </c>
      <c r="T1042">
        <f>HYPERLINK("https://klasma.github.io/Logging_RAGUNDA/kartor/A 27286-2022.png")</f>
        <v/>
      </c>
      <c r="V1042">
        <f>HYPERLINK("https://klasma.github.io/Logging_RAGUNDA/klagomål/A 27286-2022.docx")</f>
        <v/>
      </c>
      <c r="W1042">
        <f>HYPERLINK("https://klasma.github.io/Logging_RAGUNDA/klagomålsmail/A 27286-2022.docx")</f>
        <v/>
      </c>
      <c r="X1042">
        <f>HYPERLINK("https://klasma.github.io/Logging_RAGUNDA/tillsyn/A 27286-2022.docx")</f>
        <v/>
      </c>
      <c r="Y1042">
        <f>HYPERLINK("https://klasma.github.io/Logging_RAGUNDA/tillsynsmail/A 27286-2022.docx")</f>
        <v/>
      </c>
    </row>
    <row r="1043" ht="15" customHeight="1">
      <c r="A1043" t="inlineStr">
        <is>
          <t>A 27273-2022</t>
        </is>
      </c>
      <c r="B1043" s="1" t="n">
        <v>44741</v>
      </c>
      <c r="C1043" s="1" t="n">
        <v>45182</v>
      </c>
      <c r="D1043" t="inlineStr">
        <is>
          <t>JÄMTLANDS LÄN</t>
        </is>
      </c>
      <c r="E1043" t="inlineStr">
        <is>
          <t>RAGUNDA</t>
        </is>
      </c>
      <c r="G1043" t="n">
        <v>1.2</v>
      </c>
      <c r="H1043" t="n">
        <v>0</v>
      </c>
      <c r="I1043" t="n">
        <v>1</v>
      </c>
      <c r="J1043" t="n">
        <v>0</v>
      </c>
      <c r="K1043" t="n">
        <v>0</v>
      </c>
      <c r="L1043" t="n">
        <v>0</v>
      </c>
      <c r="M1043" t="n">
        <v>0</v>
      </c>
      <c r="N1043" t="n">
        <v>0</v>
      </c>
      <c r="O1043" t="n">
        <v>0</v>
      </c>
      <c r="P1043" t="n">
        <v>0</v>
      </c>
      <c r="Q1043" t="n">
        <v>1</v>
      </c>
      <c r="R1043" s="2" t="inlineStr">
        <is>
          <t>Svart trolldruva</t>
        </is>
      </c>
      <c r="S1043">
        <f>HYPERLINK("https://klasma.github.io/Logging_RAGUNDA/artfynd/A 27273-2022.xlsx")</f>
        <v/>
      </c>
      <c r="T1043">
        <f>HYPERLINK("https://klasma.github.io/Logging_RAGUNDA/kartor/A 27273-2022.png")</f>
        <v/>
      </c>
      <c r="V1043">
        <f>HYPERLINK("https://klasma.github.io/Logging_RAGUNDA/klagomål/A 27273-2022.docx")</f>
        <v/>
      </c>
      <c r="W1043">
        <f>HYPERLINK("https://klasma.github.io/Logging_RAGUNDA/klagomålsmail/A 27273-2022.docx")</f>
        <v/>
      </c>
      <c r="X1043">
        <f>HYPERLINK("https://klasma.github.io/Logging_RAGUNDA/tillsyn/A 27273-2022.docx")</f>
        <v/>
      </c>
      <c r="Y1043">
        <f>HYPERLINK("https://klasma.github.io/Logging_RAGUNDA/tillsynsmail/A 27273-2022.docx")</f>
        <v/>
      </c>
    </row>
    <row r="1044" ht="15" customHeight="1">
      <c r="A1044" t="inlineStr">
        <is>
          <t>A 27576-2022</t>
        </is>
      </c>
      <c r="B1044" s="1" t="n">
        <v>44742</v>
      </c>
      <c r="C1044" s="1" t="n">
        <v>45182</v>
      </c>
      <c r="D1044" t="inlineStr">
        <is>
          <t>JÄMTLANDS LÄN</t>
        </is>
      </c>
      <c r="E1044" t="inlineStr">
        <is>
          <t>ÖSTERSUND</t>
        </is>
      </c>
      <c r="F1044" t="inlineStr">
        <is>
          <t>SCA</t>
        </is>
      </c>
      <c r="G1044" t="n">
        <v>0.6</v>
      </c>
      <c r="H1044" t="n">
        <v>0</v>
      </c>
      <c r="I1044" t="n">
        <v>0</v>
      </c>
      <c r="J1044" t="n">
        <v>1</v>
      </c>
      <c r="K1044" t="n">
        <v>0</v>
      </c>
      <c r="L1044" t="n">
        <v>0</v>
      </c>
      <c r="M1044" t="n">
        <v>0</v>
      </c>
      <c r="N1044" t="n">
        <v>0</v>
      </c>
      <c r="O1044" t="n">
        <v>1</v>
      </c>
      <c r="P1044" t="n">
        <v>0</v>
      </c>
      <c r="Q1044" t="n">
        <v>1</v>
      </c>
      <c r="R1044" s="2" t="inlineStr">
        <is>
          <t>Ullticka</t>
        </is>
      </c>
      <c r="S1044">
        <f>HYPERLINK("https://klasma.github.io/Logging_OSTERSUND/artfynd/A 27576-2022.xlsx")</f>
        <v/>
      </c>
      <c r="T1044">
        <f>HYPERLINK("https://klasma.github.io/Logging_OSTERSUND/kartor/A 27576-2022.png")</f>
        <v/>
      </c>
      <c r="U1044">
        <f>HYPERLINK("https://klasma.github.io/Logging_OSTERSUND/knärot/A 27576-2022.png")</f>
        <v/>
      </c>
      <c r="V1044">
        <f>HYPERLINK("https://klasma.github.io/Logging_OSTERSUND/klagomål/A 27576-2022.docx")</f>
        <v/>
      </c>
      <c r="W1044">
        <f>HYPERLINK("https://klasma.github.io/Logging_OSTERSUND/klagomålsmail/A 27576-2022.docx")</f>
        <v/>
      </c>
      <c r="X1044">
        <f>HYPERLINK("https://klasma.github.io/Logging_OSTERSUND/tillsyn/A 27576-2022.docx")</f>
        <v/>
      </c>
      <c r="Y1044">
        <f>HYPERLINK("https://klasma.github.io/Logging_OSTERSUND/tillsynsmail/A 27576-2022.docx")</f>
        <v/>
      </c>
    </row>
    <row r="1045" ht="15" customHeight="1">
      <c r="A1045" t="inlineStr">
        <is>
          <t>A 27587-2022</t>
        </is>
      </c>
      <c r="B1045" s="1" t="n">
        <v>44742</v>
      </c>
      <c r="C1045" s="1" t="n">
        <v>45182</v>
      </c>
      <c r="D1045" t="inlineStr">
        <is>
          <t>JÄMTLANDS LÄN</t>
        </is>
      </c>
      <c r="E1045" t="inlineStr">
        <is>
          <t>BRÄCKE</t>
        </is>
      </c>
      <c r="F1045" t="inlineStr">
        <is>
          <t>SCA</t>
        </is>
      </c>
      <c r="G1045" t="n">
        <v>4.1</v>
      </c>
      <c r="H1045" t="n">
        <v>0</v>
      </c>
      <c r="I1045" t="n">
        <v>0</v>
      </c>
      <c r="J1045" t="n">
        <v>1</v>
      </c>
      <c r="K1045" t="n">
        <v>0</v>
      </c>
      <c r="L1045" t="n">
        <v>0</v>
      </c>
      <c r="M1045" t="n">
        <v>0</v>
      </c>
      <c r="N1045" t="n">
        <v>0</v>
      </c>
      <c r="O1045" t="n">
        <v>1</v>
      </c>
      <c r="P1045" t="n">
        <v>0</v>
      </c>
      <c r="Q1045" t="n">
        <v>1</v>
      </c>
      <c r="R1045" s="2" t="inlineStr">
        <is>
          <t>Lunglav</t>
        </is>
      </c>
      <c r="S1045">
        <f>HYPERLINK("https://klasma.github.io/Logging_BRACKE/artfynd/A 27587-2022.xlsx")</f>
        <v/>
      </c>
      <c r="T1045">
        <f>HYPERLINK("https://klasma.github.io/Logging_BRACKE/kartor/A 27587-2022.png")</f>
        <v/>
      </c>
      <c r="V1045">
        <f>HYPERLINK("https://klasma.github.io/Logging_BRACKE/klagomål/A 27587-2022.docx")</f>
        <v/>
      </c>
      <c r="W1045">
        <f>HYPERLINK("https://klasma.github.io/Logging_BRACKE/klagomålsmail/A 27587-2022.docx")</f>
        <v/>
      </c>
      <c r="X1045">
        <f>HYPERLINK("https://klasma.github.io/Logging_BRACKE/tillsyn/A 27587-2022.docx")</f>
        <v/>
      </c>
      <c r="Y1045">
        <f>HYPERLINK("https://klasma.github.io/Logging_BRACKE/tillsynsmail/A 27587-2022.docx")</f>
        <v/>
      </c>
    </row>
    <row r="1046" ht="15" customHeight="1">
      <c r="A1046" t="inlineStr">
        <is>
          <t>A 27578-2022</t>
        </is>
      </c>
      <c r="B1046" s="1" t="n">
        <v>44742</v>
      </c>
      <c r="C1046" s="1" t="n">
        <v>45182</v>
      </c>
      <c r="D1046" t="inlineStr">
        <is>
          <t>JÄMTLANDS LÄN</t>
        </is>
      </c>
      <c r="E1046" t="inlineStr">
        <is>
          <t>ÖSTERSUND</t>
        </is>
      </c>
      <c r="F1046" t="inlineStr">
        <is>
          <t>SCA</t>
        </is>
      </c>
      <c r="G1046" t="n">
        <v>2</v>
      </c>
      <c r="H1046" t="n">
        <v>1</v>
      </c>
      <c r="I1046" t="n">
        <v>0</v>
      </c>
      <c r="J1046" t="n">
        <v>0</v>
      </c>
      <c r="K1046" t="n">
        <v>0</v>
      </c>
      <c r="L1046" t="n">
        <v>0</v>
      </c>
      <c r="M1046" t="n">
        <v>0</v>
      </c>
      <c r="N1046" t="n">
        <v>0</v>
      </c>
      <c r="O1046" t="n">
        <v>0</v>
      </c>
      <c r="P1046" t="n">
        <v>0</v>
      </c>
      <c r="Q1046" t="n">
        <v>1</v>
      </c>
      <c r="R1046" s="2" t="inlineStr">
        <is>
          <t>Blåsippa</t>
        </is>
      </c>
      <c r="S1046">
        <f>HYPERLINK("https://klasma.github.io/Logging_OSTERSUND/artfynd/A 27578-2022.xlsx")</f>
        <v/>
      </c>
      <c r="T1046">
        <f>HYPERLINK("https://klasma.github.io/Logging_OSTERSUND/kartor/A 27578-2022.png")</f>
        <v/>
      </c>
      <c r="V1046">
        <f>HYPERLINK("https://klasma.github.io/Logging_OSTERSUND/klagomål/A 27578-2022.docx")</f>
        <v/>
      </c>
      <c r="W1046">
        <f>HYPERLINK("https://klasma.github.io/Logging_OSTERSUND/klagomålsmail/A 27578-2022.docx")</f>
        <v/>
      </c>
      <c r="X1046">
        <f>HYPERLINK("https://klasma.github.io/Logging_OSTERSUND/tillsyn/A 27578-2022.docx")</f>
        <v/>
      </c>
      <c r="Y1046">
        <f>HYPERLINK("https://klasma.github.io/Logging_OSTERSUND/tillsynsmail/A 27578-2022.docx")</f>
        <v/>
      </c>
    </row>
    <row r="1047" ht="15" customHeight="1">
      <c r="A1047" t="inlineStr">
        <is>
          <t>A 27602-2022</t>
        </is>
      </c>
      <c r="B1047" s="1" t="n">
        <v>44742</v>
      </c>
      <c r="C1047" s="1" t="n">
        <v>45182</v>
      </c>
      <c r="D1047" t="inlineStr">
        <is>
          <t>JÄMTLANDS LÄN</t>
        </is>
      </c>
      <c r="E1047" t="inlineStr">
        <is>
          <t>STRÖMSUND</t>
        </is>
      </c>
      <c r="F1047" t="inlineStr">
        <is>
          <t>SCA</t>
        </is>
      </c>
      <c r="G1047" t="n">
        <v>2.1</v>
      </c>
      <c r="H1047" t="n">
        <v>0</v>
      </c>
      <c r="I1047" t="n">
        <v>0</v>
      </c>
      <c r="J1047" t="n">
        <v>1</v>
      </c>
      <c r="K1047" t="n">
        <v>0</v>
      </c>
      <c r="L1047" t="n">
        <v>0</v>
      </c>
      <c r="M1047" t="n">
        <v>0</v>
      </c>
      <c r="N1047" t="n">
        <v>0</v>
      </c>
      <c r="O1047" t="n">
        <v>1</v>
      </c>
      <c r="P1047" t="n">
        <v>0</v>
      </c>
      <c r="Q1047" t="n">
        <v>1</v>
      </c>
      <c r="R1047" s="2" t="inlineStr">
        <is>
          <t>Brunklöver</t>
        </is>
      </c>
      <c r="S1047">
        <f>HYPERLINK("https://klasma.github.io/Logging_STROMSUND/artfynd/A 27602-2022.xlsx")</f>
        <v/>
      </c>
      <c r="T1047">
        <f>HYPERLINK("https://klasma.github.io/Logging_STROMSUND/kartor/A 27602-2022.png")</f>
        <v/>
      </c>
      <c r="V1047">
        <f>HYPERLINK("https://klasma.github.io/Logging_STROMSUND/klagomål/A 27602-2022.docx")</f>
        <v/>
      </c>
      <c r="W1047">
        <f>HYPERLINK("https://klasma.github.io/Logging_STROMSUND/klagomålsmail/A 27602-2022.docx")</f>
        <v/>
      </c>
      <c r="X1047">
        <f>HYPERLINK("https://klasma.github.io/Logging_STROMSUND/tillsyn/A 27602-2022.docx")</f>
        <v/>
      </c>
      <c r="Y1047">
        <f>HYPERLINK("https://klasma.github.io/Logging_STROMSUND/tillsynsmail/A 27602-2022.docx")</f>
        <v/>
      </c>
    </row>
    <row r="1048" ht="15" customHeight="1">
      <c r="A1048" t="inlineStr">
        <is>
          <t>A 27579-2022</t>
        </is>
      </c>
      <c r="B1048" s="1" t="n">
        <v>44742</v>
      </c>
      <c r="C1048" s="1" t="n">
        <v>45182</v>
      </c>
      <c r="D1048" t="inlineStr">
        <is>
          <t>JÄMTLANDS LÄN</t>
        </is>
      </c>
      <c r="E1048" t="inlineStr">
        <is>
          <t>KROKOM</t>
        </is>
      </c>
      <c r="F1048" t="inlineStr">
        <is>
          <t>SCA</t>
        </is>
      </c>
      <c r="G1048" t="n">
        <v>1.5</v>
      </c>
      <c r="H1048" t="n">
        <v>0</v>
      </c>
      <c r="I1048" t="n">
        <v>0</v>
      </c>
      <c r="J1048" t="n">
        <v>1</v>
      </c>
      <c r="K1048" t="n">
        <v>0</v>
      </c>
      <c r="L1048" t="n">
        <v>0</v>
      </c>
      <c r="M1048" t="n">
        <v>0</v>
      </c>
      <c r="N1048" t="n">
        <v>0</v>
      </c>
      <c r="O1048" t="n">
        <v>1</v>
      </c>
      <c r="P1048" t="n">
        <v>0</v>
      </c>
      <c r="Q1048" t="n">
        <v>1</v>
      </c>
      <c r="R1048" s="2" t="inlineStr">
        <is>
          <t>Lunglav</t>
        </is>
      </c>
      <c r="S1048">
        <f>HYPERLINK("https://klasma.github.io/Logging_KROKOM/artfynd/A 27579-2022.xlsx")</f>
        <v/>
      </c>
      <c r="T1048">
        <f>HYPERLINK("https://klasma.github.io/Logging_KROKOM/kartor/A 27579-2022.png")</f>
        <v/>
      </c>
      <c r="V1048">
        <f>HYPERLINK("https://klasma.github.io/Logging_KROKOM/klagomål/A 27579-2022.docx")</f>
        <v/>
      </c>
      <c r="W1048">
        <f>HYPERLINK("https://klasma.github.io/Logging_KROKOM/klagomålsmail/A 27579-2022.docx")</f>
        <v/>
      </c>
      <c r="X1048">
        <f>HYPERLINK("https://klasma.github.io/Logging_KROKOM/tillsyn/A 27579-2022.docx")</f>
        <v/>
      </c>
      <c r="Y1048">
        <f>HYPERLINK("https://klasma.github.io/Logging_KROKOM/tillsynsmail/A 27579-2022.docx")</f>
        <v/>
      </c>
    </row>
    <row r="1049" ht="15" customHeight="1">
      <c r="A1049" t="inlineStr">
        <is>
          <t>A 27945-2022</t>
        </is>
      </c>
      <c r="B1049" s="1" t="n">
        <v>44743</v>
      </c>
      <c r="C1049" s="1" t="n">
        <v>45182</v>
      </c>
      <c r="D1049" t="inlineStr">
        <is>
          <t>JÄMTLANDS LÄN</t>
        </is>
      </c>
      <c r="E1049" t="inlineStr">
        <is>
          <t>STRÖMSUND</t>
        </is>
      </c>
      <c r="F1049" t="inlineStr">
        <is>
          <t>SCA</t>
        </is>
      </c>
      <c r="G1049" t="n">
        <v>8.800000000000001</v>
      </c>
      <c r="H1049" t="n">
        <v>1</v>
      </c>
      <c r="I1049" t="n">
        <v>0</v>
      </c>
      <c r="J1049" t="n">
        <v>0</v>
      </c>
      <c r="K1049" t="n">
        <v>0</v>
      </c>
      <c r="L1049" t="n">
        <v>0</v>
      </c>
      <c r="M1049" t="n">
        <v>0</v>
      </c>
      <c r="N1049" t="n">
        <v>0</v>
      </c>
      <c r="O1049" t="n">
        <v>0</v>
      </c>
      <c r="P1049" t="n">
        <v>0</v>
      </c>
      <c r="Q1049" t="n">
        <v>1</v>
      </c>
      <c r="R1049" s="2" t="inlineStr">
        <is>
          <t>Fläcknycklar</t>
        </is>
      </c>
      <c r="S1049">
        <f>HYPERLINK("https://klasma.github.io/Logging_STROMSUND/artfynd/A 27945-2022.xlsx")</f>
        <v/>
      </c>
      <c r="T1049">
        <f>HYPERLINK("https://klasma.github.io/Logging_STROMSUND/kartor/A 27945-2022.png")</f>
        <v/>
      </c>
      <c r="V1049">
        <f>HYPERLINK("https://klasma.github.io/Logging_STROMSUND/klagomål/A 27945-2022.docx")</f>
        <v/>
      </c>
      <c r="W1049">
        <f>HYPERLINK("https://klasma.github.io/Logging_STROMSUND/klagomålsmail/A 27945-2022.docx")</f>
        <v/>
      </c>
      <c r="X1049">
        <f>HYPERLINK("https://klasma.github.io/Logging_STROMSUND/tillsyn/A 27945-2022.docx")</f>
        <v/>
      </c>
      <c r="Y1049">
        <f>HYPERLINK("https://klasma.github.io/Logging_STROMSUND/tillsynsmail/A 27945-2022.docx")</f>
        <v/>
      </c>
    </row>
    <row r="1050" ht="15" customHeight="1">
      <c r="A1050" t="inlineStr">
        <is>
          <t>A 28490-2022</t>
        </is>
      </c>
      <c r="B1050" s="1" t="n">
        <v>44747</v>
      </c>
      <c r="C1050" s="1" t="n">
        <v>45182</v>
      </c>
      <c r="D1050" t="inlineStr">
        <is>
          <t>JÄMTLANDS LÄN</t>
        </is>
      </c>
      <c r="E1050" t="inlineStr">
        <is>
          <t>KROKOM</t>
        </is>
      </c>
      <c r="F1050" t="inlineStr">
        <is>
          <t>SCA</t>
        </is>
      </c>
      <c r="G1050" t="n">
        <v>57.9</v>
      </c>
      <c r="H1050" t="n">
        <v>0</v>
      </c>
      <c r="I1050" t="n">
        <v>0</v>
      </c>
      <c r="J1050" t="n">
        <v>1</v>
      </c>
      <c r="K1050" t="n">
        <v>0</v>
      </c>
      <c r="L1050" t="n">
        <v>0</v>
      </c>
      <c r="M1050" t="n">
        <v>0</v>
      </c>
      <c r="N1050" t="n">
        <v>0</v>
      </c>
      <c r="O1050" t="n">
        <v>1</v>
      </c>
      <c r="P1050" t="n">
        <v>0</v>
      </c>
      <c r="Q1050" t="n">
        <v>1</v>
      </c>
      <c r="R1050" s="2" t="inlineStr">
        <is>
          <t>Kolflarnlav</t>
        </is>
      </c>
      <c r="S1050">
        <f>HYPERLINK("https://klasma.github.io/Logging_KROKOM/artfynd/A 28490-2022.xlsx")</f>
        <v/>
      </c>
      <c r="T1050">
        <f>HYPERLINK("https://klasma.github.io/Logging_KROKOM/kartor/A 28490-2022.png")</f>
        <v/>
      </c>
      <c r="V1050">
        <f>HYPERLINK("https://klasma.github.io/Logging_KROKOM/klagomål/A 28490-2022.docx")</f>
        <v/>
      </c>
      <c r="W1050">
        <f>HYPERLINK("https://klasma.github.io/Logging_KROKOM/klagomålsmail/A 28490-2022.docx")</f>
        <v/>
      </c>
      <c r="X1050">
        <f>HYPERLINK("https://klasma.github.io/Logging_KROKOM/tillsyn/A 28490-2022.docx")</f>
        <v/>
      </c>
      <c r="Y1050">
        <f>HYPERLINK("https://klasma.github.io/Logging_KROKOM/tillsynsmail/A 28490-2022.docx")</f>
        <v/>
      </c>
    </row>
    <row r="1051" ht="15" customHeight="1">
      <c r="A1051" t="inlineStr">
        <is>
          <t>A 29827-2022</t>
        </is>
      </c>
      <c r="B1051" s="1" t="n">
        <v>44755</v>
      </c>
      <c r="C1051" s="1" t="n">
        <v>45182</v>
      </c>
      <c r="D1051" t="inlineStr">
        <is>
          <t>JÄMTLANDS LÄN</t>
        </is>
      </c>
      <c r="E1051" t="inlineStr">
        <is>
          <t>ÖSTERSUND</t>
        </is>
      </c>
      <c r="F1051" t="inlineStr">
        <is>
          <t>SCA</t>
        </is>
      </c>
      <c r="G1051" t="n">
        <v>23.9</v>
      </c>
      <c r="H1051" t="n">
        <v>1</v>
      </c>
      <c r="I1051" t="n">
        <v>0</v>
      </c>
      <c r="J1051" t="n">
        <v>1</v>
      </c>
      <c r="K1051" t="n">
        <v>0</v>
      </c>
      <c r="L1051" t="n">
        <v>0</v>
      </c>
      <c r="M1051" t="n">
        <v>0</v>
      </c>
      <c r="N1051" t="n">
        <v>0</v>
      </c>
      <c r="O1051" t="n">
        <v>1</v>
      </c>
      <c r="P1051" t="n">
        <v>0</v>
      </c>
      <c r="Q1051" t="n">
        <v>1</v>
      </c>
      <c r="R1051" s="2" t="inlineStr">
        <is>
          <t>Tretåig hackspett</t>
        </is>
      </c>
      <c r="S1051">
        <f>HYPERLINK("https://klasma.github.io/Logging_OSTERSUND/artfynd/A 29827-2022.xlsx")</f>
        <v/>
      </c>
      <c r="T1051">
        <f>HYPERLINK("https://klasma.github.io/Logging_OSTERSUND/kartor/A 29827-2022.png")</f>
        <v/>
      </c>
      <c r="V1051">
        <f>HYPERLINK("https://klasma.github.io/Logging_OSTERSUND/klagomål/A 29827-2022.docx")</f>
        <v/>
      </c>
      <c r="W1051">
        <f>HYPERLINK("https://klasma.github.io/Logging_OSTERSUND/klagomålsmail/A 29827-2022.docx")</f>
        <v/>
      </c>
      <c r="X1051">
        <f>HYPERLINK("https://klasma.github.io/Logging_OSTERSUND/tillsyn/A 29827-2022.docx")</f>
        <v/>
      </c>
      <c r="Y1051">
        <f>HYPERLINK("https://klasma.github.io/Logging_OSTERSUND/tillsynsmail/A 29827-2022.docx")</f>
        <v/>
      </c>
    </row>
    <row r="1052" ht="15" customHeight="1">
      <c r="A1052" t="inlineStr">
        <is>
          <t>A 30233-2022</t>
        </is>
      </c>
      <c r="B1052" s="1" t="n">
        <v>44757</v>
      </c>
      <c r="C1052" s="1" t="n">
        <v>45182</v>
      </c>
      <c r="D1052" t="inlineStr">
        <is>
          <t>JÄMTLANDS LÄN</t>
        </is>
      </c>
      <c r="E1052" t="inlineStr">
        <is>
          <t>STRÖMSUND</t>
        </is>
      </c>
      <c r="F1052" t="inlineStr">
        <is>
          <t>SCA</t>
        </is>
      </c>
      <c r="G1052" t="n">
        <v>10.1</v>
      </c>
      <c r="H1052" t="n">
        <v>1</v>
      </c>
      <c r="I1052" t="n">
        <v>1</v>
      </c>
      <c r="J1052" t="n">
        <v>0</v>
      </c>
      <c r="K1052" t="n">
        <v>0</v>
      </c>
      <c r="L1052" t="n">
        <v>0</v>
      </c>
      <c r="M1052" t="n">
        <v>0</v>
      </c>
      <c r="N1052" t="n">
        <v>0</v>
      </c>
      <c r="O1052" t="n">
        <v>0</v>
      </c>
      <c r="P1052" t="n">
        <v>0</v>
      </c>
      <c r="Q1052" t="n">
        <v>1</v>
      </c>
      <c r="R1052" s="2" t="inlineStr">
        <is>
          <t>Guckusko</t>
        </is>
      </c>
      <c r="S1052">
        <f>HYPERLINK("https://klasma.github.io/Logging_STROMSUND/artfynd/A 30233-2022.xlsx")</f>
        <v/>
      </c>
      <c r="T1052">
        <f>HYPERLINK("https://klasma.github.io/Logging_STROMSUND/kartor/A 30233-2022.png")</f>
        <v/>
      </c>
      <c r="V1052">
        <f>HYPERLINK("https://klasma.github.io/Logging_STROMSUND/klagomål/A 30233-2022.docx")</f>
        <v/>
      </c>
      <c r="W1052">
        <f>HYPERLINK("https://klasma.github.io/Logging_STROMSUND/klagomålsmail/A 30233-2022.docx")</f>
        <v/>
      </c>
      <c r="X1052">
        <f>HYPERLINK("https://klasma.github.io/Logging_STROMSUND/tillsyn/A 30233-2022.docx")</f>
        <v/>
      </c>
      <c r="Y1052">
        <f>HYPERLINK("https://klasma.github.io/Logging_STROMSUND/tillsynsmail/A 30233-2022.docx")</f>
        <v/>
      </c>
    </row>
    <row r="1053" ht="15" customHeight="1">
      <c r="A1053" t="inlineStr">
        <is>
          <t>A 32686-2022</t>
        </is>
      </c>
      <c r="B1053" s="1" t="n">
        <v>44776</v>
      </c>
      <c r="C1053" s="1" t="n">
        <v>45182</v>
      </c>
      <c r="D1053" t="inlineStr">
        <is>
          <t>JÄMTLANDS LÄN</t>
        </is>
      </c>
      <c r="E1053" t="inlineStr">
        <is>
          <t>BERG</t>
        </is>
      </c>
      <c r="G1053" t="n">
        <v>4.8</v>
      </c>
      <c r="H1053" t="n">
        <v>1</v>
      </c>
      <c r="I1053" t="n">
        <v>0</v>
      </c>
      <c r="J1053" t="n">
        <v>0</v>
      </c>
      <c r="K1053" t="n">
        <v>1</v>
      </c>
      <c r="L1053" t="n">
        <v>0</v>
      </c>
      <c r="M1053" t="n">
        <v>0</v>
      </c>
      <c r="N1053" t="n">
        <v>0</v>
      </c>
      <c r="O1053" t="n">
        <v>1</v>
      </c>
      <c r="P1053" t="n">
        <v>1</v>
      </c>
      <c r="Q1053" t="n">
        <v>1</v>
      </c>
      <c r="R1053" s="2" t="inlineStr">
        <is>
          <t>Knärot</t>
        </is>
      </c>
      <c r="S1053">
        <f>HYPERLINK("https://klasma.github.io/Logging_BERG/artfynd/A 32686-2022.xlsx")</f>
        <v/>
      </c>
      <c r="T1053">
        <f>HYPERLINK("https://klasma.github.io/Logging_BERG/kartor/A 32686-2022.png")</f>
        <v/>
      </c>
      <c r="U1053">
        <f>HYPERLINK("https://klasma.github.io/Logging_BERG/knärot/A 32686-2022.png")</f>
        <v/>
      </c>
      <c r="V1053">
        <f>HYPERLINK("https://klasma.github.io/Logging_BERG/klagomål/A 32686-2022.docx")</f>
        <v/>
      </c>
      <c r="W1053">
        <f>HYPERLINK("https://klasma.github.io/Logging_BERG/klagomålsmail/A 32686-2022.docx")</f>
        <v/>
      </c>
      <c r="X1053">
        <f>HYPERLINK("https://klasma.github.io/Logging_BERG/tillsyn/A 32686-2022.docx")</f>
        <v/>
      </c>
      <c r="Y1053">
        <f>HYPERLINK("https://klasma.github.io/Logging_BERG/tillsynsmail/A 32686-2022.docx")</f>
        <v/>
      </c>
    </row>
    <row r="1054" ht="15" customHeight="1">
      <c r="A1054" t="inlineStr">
        <is>
          <t>A 32216-2022</t>
        </is>
      </c>
      <c r="B1054" s="1" t="n">
        <v>44781</v>
      </c>
      <c r="C1054" s="1" t="n">
        <v>45182</v>
      </c>
      <c r="D1054" t="inlineStr">
        <is>
          <t>JÄMTLANDS LÄN</t>
        </is>
      </c>
      <c r="E1054" t="inlineStr">
        <is>
          <t>ÅRE</t>
        </is>
      </c>
      <c r="G1054" t="n">
        <v>27.3</v>
      </c>
      <c r="H1054" t="n">
        <v>1</v>
      </c>
      <c r="I1054" t="n">
        <v>0</v>
      </c>
      <c r="J1054" t="n">
        <v>1</v>
      </c>
      <c r="K1054" t="n">
        <v>0</v>
      </c>
      <c r="L1054" t="n">
        <v>0</v>
      </c>
      <c r="M1054" t="n">
        <v>0</v>
      </c>
      <c r="N1054" t="n">
        <v>0</v>
      </c>
      <c r="O1054" t="n">
        <v>1</v>
      </c>
      <c r="P1054" t="n">
        <v>0</v>
      </c>
      <c r="Q1054" t="n">
        <v>1</v>
      </c>
      <c r="R1054" s="2" t="inlineStr">
        <is>
          <t>Tretåig hackspett</t>
        </is>
      </c>
      <c r="S1054">
        <f>HYPERLINK("https://klasma.github.io/Logging_ARE/artfynd/A 32216-2022.xlsx")</f>
        <v/>
      </c>
      <c r="T1054">
        <f>HYPERLINK("https://klasma.github.io/Logging_ARE/kartor/A 32216-2022.png")</f>
        <v/>
      </c>
      <c r="V1054">
        <f>HYPERLINK("https://klasma.github.io/Logging_ARE/klagomål/A 32216-2022.docx")</f>
        <v/>
      </c>
      <c r="W1054">
        <f>HYPERLINK("https://klasma.github.io/Logging_ARE/klagomålsmail/A 32216-2022.docx")</f>
        <v/>
      </c>
      <c r="X1054">
        <f>HYPERLINK("https://klasma.github.io/Logging_ARE/tillsyn/A 32216-2022.docx")</f>
        <v/>
      </c>
      <c r="Y1054">
        <f>HYPERLINK("https://klasma.github.io/Logging_ARE/tillsynsmail/A 32216-2022.docx")</f>
        <v/>
      </c>
    </row>
    <row r="1055" ht="15" customHeight="1">
      <c r="A1055" t="inlineStr">
        <is>
          <t>A 32351-2022</t>
        </is>
      </c>
      <c r="B1055" s="1" t="n">
        <v>44781</v>
      </c>
      <c r="C1055" s="1" t="n">
        <v>45182</v>
      </c>
      <c r="D1055" t="inlineStr">
        <is>
          <t>JÄMTLANDS LÄN</t>
        </is>
      </c>
      <c r="E1055" t="inlineStr">
        <is>
          <t>STRÖMSUND</t>
        </is>
      </c>
      <c r="F1055" t="inlineStr">
        <is>
          <t>SCA</t>
        </is>
      </c>
      <c r="G1055" t="n">
        <v>13.2</v>
      </c>
      <c r="H1055" t="n">
        <v>0</v>
      </c>
      <c r="I1055" t="n">
        <v>0</v>
      </c>
      <c r="J1055" t="n">
        <v>1</v>
      </c>
      <c r="K1055" t="n">
        <v>0</v>
      </c>
      <c r="L1055" t="n">
        <v>0</v>
      </c>
      <c r="M1055" t="n">
        <v>0</v>
      </c>
      <c r="N1055" t="n">
        <v>0</v>
      </c>
      <c r="O1055" t="n">
        <v>1</v>
      </c>
      <c r="P1055" t="n">
        <v>0</v>
      </c>
      <c r="Q1055" t="n">
        <v>1</v>
      </c>
      <c r="R1055" s="2" t="inlineStr">
        <is>
          <t>Harticka</t>
        </is>
      </c>
      <c r="S1055">
        <f>HYPERLINK("https://klasma.github.io/Logging_STROMSUND/artfynd/A 32351-2022.xlsx")</f>
        <v/>
      </c>
      <c r="T1055">
        <f>HYPERLINK("https://klasma.github.io/Logging_STROMSUND/kartor/A 32351-2022.png")</f>
        <v/>
      </c>
      <c r="V1055">
        <f>HYPERLINK("https://klasma.github.io/Logging_STROMSUND/klagomål/A 32351-2022.docx")</f>
        <v/>
      </c>
      <c r="W1055">
        <f>HYPERLINK("https://klasma.github.io/Logging_STROMSUND/klagomålsmail/A 32351-2022.docx")</f>
        <v/>
      </c>
      <c r="X1055">
        <f>HYPERLINK("https://klasma.github.io/Logging_STROMSUND/tillsyn/A 32351-2022.docx")</f>
        <v/>
      </c>
      <c r="Y1055">
        <f>HYPERLINK("https://klasma.github.io/Logging_STROMSUND/tillsynsmail/A 32351-2022.docx")</f>
        <v/>
      </c>
    </row>
    <row r="1056" ht="15" customHeight="1">
      <c r="A1056" t="inlineStr">
        <is>
          <t>A 32965-2022</t>
        </is>
      </c>
      <c r="B1056" s="1" t="n">
        <v>44784</v>
      </c>
      <c r="C1056" s="1" t="n">
        <v>45182</v>
      </c>
      <c r="D1056" t="inlineStr">
        <is>
          <t>JÄMTLANDS LÄN</t>
        </is>
      </c>
      <c r="E1056" t="inlineStr">
        <is>
          <t>STRÖMSUND</t>
        </is>
      </c>
      <c r="G1056" t="n">
        <v>5.8</v>
      </c>
      <c r="H1056" t="n">
        <v>0</v>
      </c>
      <c r="I1056" t="n">
        <v>0</v>
      </c>
      <c r="J1056" t="n">
        <v>1</v>
      </c>
      <c r="K1056" t="n">
        <v>0</v>
      </c>
      <c r="L1056" t="n">
        <v>0</v>
      </c>
      <c r="M1056" t="n">
        <v>0</v>
      </c>
      <c r="N1056" t="n">
        <v>0</v>
      </c>
      <c r="O1056" t="n">
        <v>1</v>
      </c>
      <c r="P1056" t="n">
        <v>0</v>
      </c>
      <c r="Q1056" t="n">
        <v>1</v>
      </c>
      <c r="R1056" s="2" t="inlineStr">
        <is>
          <t>Vitgrynig nållav</t>
        </is>
      </c>
      <c r="S1056">
        <f>HYPERLINK("https://klasma.github.io/Logging_STROMSUND/artfynd/A 32965-2022.xlsx")</f>
        <v/>
      </c>
      <c r="T1056">
        <f>HYPERLINK("https://klasma.github.io/Logging_STROMSUND/kartor/A 32965-2022.png")</f>
        <v/>
      </c>
      <c r="V1056">
        <f>HYPERLINK("https://klasma.github.io/Logging_STROMSUND/klagomål/A 32965-2022.docx")</f>
        <v/>
      </c>
      <c r="W1056">
        <f>HYPERLINK("https://klasma.github.io/Logging_STROMSUND/klagomålsmail/A 32965-2022.docx")</f>
        <v/>
      </c>
      <c r="X1056">
        <f>HYPERLINK("https://klasma.github.io/Logging_STROMSUND/tillsyn/A 32965-2022.docx")</f>
        <v/>
      </c>
      <c r="Y1056">
        <f>HYPERLINK("https://klasma.github.io/Logging_STROMSUND/tillsynsmail/A 32965-2022.docx")</f>
        <v/>
      </c>
    </row>
    <row r="1057" ht="15" customHeight="1">
      <c r="A1057" t="inlineStr">
        <is>
          <t>A 33267-2022</t>
        </is>
      </c>
      <c r="B1057" s="1" t="n">
        <v>44785</v>
      </c>
      <c r="C1057" s="1" t="n">
        <v>45182</v>
      </c>
      <c r="D1057" t="inlineStr">
        <is>
          <t>JÄMTLANDS LÄN</t>
        </is>
      </c>
      <c r="E1057" t="inlineStr">
        <is>
          <t>ÖSTERSUND</t>
        </is>
      </c>
      <c r="G1057" t="n">
        <v>0.9</v>
      </c>
      <c r="H1057" t="n">
        <v>1</v>
      </c>
      <c r="I1057" t="n">
        <v>0</v>
      </c>
      <c r="J1057" t="n">
        <v>1</v>
      </c>
      <c r="K1057" t="n">
        <v>0</v>
      </c>
      <c r="L1057" t="n">
        <v>0</v>
      </c>
      <c r="M1057" t="n">
        <v>0</v>
      </c>
      <c r="N1057" t="n">
        <v>0</v>
      </c>
      <c r="O1057" t="n">
        <v>1</v>
      </c>
      <c r="P1057" t="n">
        <v>0</v>
      </c>
      <c r="Q1057" t="n">
        <v>1</v>
      </c>
      <c r="R1057" s="2" t="inlineStr">
        <is>
          <t>Talltita</t>
        </is>
      </c>
      <c r="S1057">
        <f>HYPERLINK("https://klasma.github.io/Logging_OSTERSUND/artfynd/A 33267-2022.xlsx")</f>
        <v/>
      </c>
      <c r="T1057">
        <f>HYPERLINK("https://klasma.github.io/Logging_OSTERSUND/kartor/A 33267-2022.png")</f>
        <v/>
      </c>
      <c r="V1057">
        <f>HYPERLINK("https://klasma.github.io/Logging_OSTERSUND/klagomål/A 33267-2022.docx")</f>
        <v/>
      </c>
      <c r="W1057">
        <f>HYPERLINK("https://klasma.github.io/Logging_OSTERSUND/klagomålsmail/A 33267-2022.docx")</f>
        <v/>
      </c>
      <c r="X1057">
        <f>HYPERLINK("https://klasma.github.io/Logging_OSTERSUND/tillsyn/A 33267-2022.docx")</f>
        <v/>
      </c>
      <c r="Y1057">
        <f>HYPERLINK("https://klasma.github.io/Logging_OSTERSUND/tillsynsmail/A 33267-2022.docx")</f>
        <v/>
      </c>
    </row>
    <row r="1058" ht="15" customHeight="1">
      <c r="A1058" t="inlineStr">
        <is>
          <t>A 33316-2022</t>
        </is>
      </c>
      <c r="B1058" s="1" t="n">
        <v>44788</v>
      </c>
      <c r="C1058" s="1" t="n">
        <v>45182</v>
      </c>
      <c r="D1058" t="inlineStr">
        <is>
          <t>JÄMTLANDS LÄN</t>
        </is>
      </c>
      <c r="E1058" t="inlineStr">
        <is>
          <t>KROKOM</t>
        </is>
      </c>
      <c r="G1058" t="n">
        <v>10.4</v>
      </c>
      <c r="H1058" t="n">
        <v>1</v>
      </c>
      <c r="I1058" t="n">
        <v>0</v>
      </c>
      <c r="J1058" t="n">
        <v>1</v>
      </c>
      <c r="K1058" t="n">
        <v>0</v>
      </c>
      <c r="L1058" t="n">
        <v>0</v>
      </c>
      <c r="M1058" t="n">
        <v>0</v>
      </c>
      <c r="N1058" t="n">
        <v>0</v>
      </c>
      <c r="O1058" t="n">
        <v>1</v>
      </c>
      <c r="P1058" t="n">
        <v>0</v>
      </c>
      <c r="Q1058" t="n">
        <v>1</v>
      </c>
      <c r="R1058" s="2" t="inlineStr">
        <is>
          <t>Tretåig hackspett</t>
        </is>
      </c>
      <c r="S1058">
        <f>HYPERLINK("https://klasma.github.io/Logging_KROKOM/artfynd/A 33316-2022.xlsx")</f>
        <v/>
      </c>
      <c r="T1058">
        <f>HYPERLINK("https://klasma.github.io/Logging_KROKOM/kartor/A 33316-2022.png")</f>
        <v/>
      </c>
      <c r="V1058">
        <f>HYPERLINK("https://klasma.github.io/Logging_KROKOM/klagomål/A 33316-2022.docx")</f>
        <v/>
      </c>
      <c r="W1058">
        <f>HYPERLINK("https://klasma.github.io/Logging_KROKOM/klagomålsmail/A 33316-2022.docx")</f>
        <v/>
      </c>
      <c r="X1058">
        <f>HYPERLINK("https://klasma.github.io/Logging_KROKOM/tillsyn/A 33316-2022.docx")</f>
        <v/>
      </c>
      <c r="Y1058">
        <f>HYPERLINK("https://klasma.github.io/Logging_KROKOM/tillsynsmail/A 33316-2022.docx")</f>
        <v/>
      </c>
    </row>
    <row r="1059" ht="15" customHeight="1">
      <c r="A1059" t="inlineStr">
        <is>
          <t>A 34009-2022</t>
        </is>
      </c>
      <c r="B1059" s="1" t="n">
        <v>44790</v>
      </c>
      <c r="C1059" s="1" t="n">
        <v>45182</v>
      </c>
      <c r="D1059" t="inlineStr">
        <is>
          <t>JÄMTLANDS LÄN</t>
        </is>
      </c>
      <c r="E1059" t="inlineStr">
        <is>
          <t>STRÖMSUND</t>
        </is>
      </c>
      <c r="F1059" t="inlineStr">
        <is>
          <t>SCA</t>
        </is>
      </c>
      <c r="G1059" t="n">
        <v>8.5</v>
      </c>
      <c r="H1059" t="n">
        <v>0</v>
      </c>
      <c r="I1059" t="n">
        <v>0</v>
      </c>
      <c r="J1059" t="n">
        <v>0</v>
      </c>
      <c r="K1059" t="n">
        <v>1</v>
      </c>
      <c r="L1059" t="n">
        <v>0</v>
      </c>
      <c r="M1059" t="n">
        <v>0</v>
      </c>
      <c r="N1059" t="n">
        <v>0</v>
      </c>
      <c r="O1059" t="n">
        <v>1</v>
      </c>
      <c r="P1059" t="n">
        <v>1</v>
      </c>
      <c r="Q1059" t="n">
        <v>1</v>
      </c>
      <c r="R1059" s="2" t="inlineStr">
        <is>
          <t>Rynkskinn</t>
        </is>
      </c>
      <c r="S1059">
        <f>HYPERLINK("https://klasma.github.io/Logging_STROMSUND/artfynd/A 34009-2022.xlsx")</f>
        <v/>
      </c>
      <c r="T1059">
        <f>HYPERLINK("https://klasma.github.io/Logging_STROMSUND/kartor/A 34009-2022.png")</f>
        <v/>
      </c>
      <c r="V1059">
        <f>HYPERLINK("https://klasma.github.io/Logging_STROMSUND/klagomål/A 34009-2022.docx")</f>
        <v/>
      </c>
      <c r="W1059">
        <f>HYPERLINK("https://klasma.github.io/Logging_STROMSUND/klagomålsmail/A 34009-2022.docx")</f>
        <v/>
      </c>
      <c r="X1059">
        <f>HYPERLINK("https://klasma.github.io/Logging_STROMSUND/tillsyn/A 34009-2022.docx")</f>
        <v/>
      </c>
      <c r="Y1059">
        <f>HYPERLINK("https://klasma.github.io/Logging_STROMSUND/tillsynsmail/A 34009-2022.docx")</f>
        <v/>
      </c>
    </row>
    <row r="1060" ht="15" customHeight="1">
      <c r="A1060" t="inlineStr">
        <is>
          <t>A 34274-2022</t>
        </is>
      </c>
      <c r="B1060" s="1" t="n">
        <v>44791</v>
      </c>
      <c r="C1060" s="1" t="n">
        <v>45182</v>
      </c>
      <c r="D1060" t="inlineStr">
        <is>
          <t>JÄMTLANDS LÄN</t>
        </is>
      </c>
      <c r="E1060" t="inlineStr">
        <is>
          <t>BERG</t>
        </is>
      </c>
      <c r="F1060" t="inlineStr">
        <is>
          <t>SCA</t>
        </is>
      </c>
      <c r="G1060" t="n">
        <v>6.1</v>
      </c>
      <c r="H1060" t="n">
        <v>0</v>
      </c>
      <c r="I1060" t="n">
        <v>0</v>
      </c>
      <c r="J1060" t="n">
        <v>1</v>
      </c>
      <c r="K1060" t="n">
        <v>0</v>
      </c>
      <c r="L1060" t="n">
        <v>0</v>
      </c>
      <c r="M1060" t="n">
        <v>0</v>
      </c>
      <c r="N1060" t="n">
        <v>0</v>
      </c>
      <c r="O1060" t="n">
        <v>1</v>
      </c>
      <c r="P1060" t="n">
        <v>0</v>
      </c>
      <c r="Q1060" t="n">
        <v>1</v>
      </c>
      <c r="R1060" s="2" t="inlineStr">
        <is>
          <t>Rosenticka</t>
        </is>
      </c>
      <c r="S1060">
        <f>HYPERLINK("https://klasma.github.io/Logging_BERG/artfynd/A 34274-2022.xlsx")</f>
        <v/>
      </c>
      <c r="T1060">
        <f>HYPERLINK("https://klasma.github.io/Logging_BERG/kartor/A 34274-2022.png")</f>
        <v/>
      </c>
      <c r="V1060">
        <f>HYPERLINK("https://klasma.github.io/Logging_BERG/klagomål/A 34274-2022.docx")</f>
        <v/>
      </c>
      <c r="W1060">
        <f>HYPERLINK("https://klasma.github.io/Logging_BERG/klagomålsmail/A 34274-2022.docx")</f>
        <v/>
      </c>
      <c r="X1060">
        <f>HYPERLINK("https://klasma.github.io/Logging_BERG/tillsyn/A 34274-2022.docx")</f>
        <v/>
      </c>
      <c r="Y1060">
        <f>HYPERLINK("https://klasma.github.io/Logging_BERG/tillsynsmail/A 34274-2022.docx")</f>
        <v/>
      </c>
    </row>
    <row r="1061" ht="15" customHeight="1">
      <c r="A1061" t="inlineStr">
        <is>
          <t>A 35023-2022</t>
        </is>
      </c>
      <c r="B1061" s="1" t="n">
        <v>44796</v>
      </c>
      <c r="C1061" s="1" t="n">
        <v>45182</v>
      </c>
      <c r="D1061" t="inlineStr">
        <is>
          <t>JÄMTLANDS LÄN</t>
        </is>
      </c>
      <c r="E1061" t="inlineStr">
        <is>
          <t>BRÄCKE</t>
        </is>
      </c>
      <c r="F1061" t="inlineStr">
        <is>
          <t>SCA</t>
        </is>
      </c>
      <c r="G1061" t="n">
        <v>4.8</v>
      </c>
      <c r="H1061" t="n">
        <v>0</v>
      </c>
      <c r="I1061" t="n">
        <v>0</v>
      </c>
      <c r="J1061" t="n">
        <v>1</v>
      </c>
      <c r="K1061" t="n">
        <v>0</v>
      </c>
      <c r="L1061" t="n">
        <v>0</v>
      </c>
      <c r="M1061" t="n">
        <v>0</v>
      </c>
      <c r="N1061" t="n">
        <v>0</v>
      </c>
      <c r="O1061" t="n">
        <v>1</v>
      </c>
      <c r="P1061" t="n">
        <v>0</v>
      </c>
      <c r="Q1061" t="n">
        <v>1</v>
      </c>
      <c r="R1061" s="2" t="inlineStr">
        <is>
          <t>Dvärgbägarlav</t>
        </is>
      </c>
      <c r="S1061">
        <f>HYPERLINK("https://klasma.github.io/Logging_BRACKE/artfynd/A 35023-2022.xlsx")</f>
        <v/>
      </c>
      <c r="T1061">
        <f>HYPERLINK("https://klasma.github.io/Logging_BRACKE/kartor/A 35023-2022.png")</f>
        <v/>
      </c>
      <c r="V1061">
        <f>HYPERLINK("https://klasma.github.io/Logging_BRACKE/klagomål/A 35023-2022.docx")</f>
        <v/>
      </c>
      <c r="W1061">
        <f>HYPERLINK("https://klasma.github.io/Logging_BRACKE/klagomålsmail/A 35023-2022.docx")</f>
        <v/>
      </c>
      <c r="X1061">
        <f>HYPERLINK("https://klasma.github.io/Logging_BRACKE/tillsyn/A 35023-2022.docx")</f>
        <v/>
      </c>
      <c r="Y1061">
        <f>HYPERLINK("https://klasma.github.io/Logging_BRACKE/tillsynsmail/A 35023-2022.docx")</f>
        <v/>
      </c>
    </row>
    <row r="1062" ht="15" customHeight="1">
      <c r="A1062" t="inlineStr">
        <is>
          <t>A 35246-2022</t>
        </is>
      </c>
      <c r="B1062" s="1" t="n">
        <v>44797</v>
      </c>
      <c r="C1062" s="1" t="n">
        <v>45182</v>
      </c>
      <c r="D1062" t="inlineStr">
        <is>
          <t>JÄMTLANDS LÄN</t>
        </is>
      </c>
      <c r="E1062" t="inlineStr">
        <is>
          <t>KROKOM</t>
        </is>
      </c>
      <c r="G1062" t="n">
        <v>29.4</v>
      </c>
      <c r="H1062" t="n">
        <v>1</v>
      </c>
      <c r="I1062" t="n">
        <v>0</v>
      </c>
      <c r="J1062" t="n">
        <v>1</v>
      </c>
      <c r="K1062" t="n">
        <v>0</v>
      </c>
      <c r="L1062" t="n">
        <v>0</v>
      </c>
      <c r="M1062" t="n">
        <v>0</v>
      </c>
      <c r="N1062" t="n">
        <v>0</v>
      </c>
      <c r="O1062" t="n">
        <v>1</v>
      </c>
      <c r="P1062" t="n">
        <v>0</v>
      </c>
      <c r="Q1062" t="n">
        <v>1</v>
      </c>
      <c r="R1062" s="2" t="inlineStr">
        <is>
          <t>Tretåig hackspett</t>
        </is>
      </c>
      <c r="S1062">
        <f>HYPERLINK("https://klasma.github.io/Logging_KROKOM/artfynd/A 35246-2022.xlsx")</f>
        <v/>
      </c>
      <c r="T1062">
        <f>HYPERLINK("https://klasma.github.io/Logging_KROKOM/kartor/A 35246-2022.png")</f>
        <v/>
      </c>
      <c r="V1062">
        <f>HYPERLINK("https://klasma.github.io/Logging_KROKOM/klagomål/A 35246-2022.docx")</f>
        <v/>
      </c>
      <c r="W1062">
        <f>HYPERLINK("https://klasma.github.io/Logging_KROKOM/klagomålsmail/A 35246-2022.docx")</f>
        <v/>
      </c>
      <c r="X1062">
        <f>HYPERLINK("https://klasma.github.io/Logging_KROKOM/tillsyn/A 35246-2022.docx")</f>
        <v/>
      </c>
      <c r="Y1062">
        <f>HYPERLINK("https://klasma.github.io/Logging_KROKOM/tillsynsmail/A 35246-2022.docx")</f>
        <v/>
      </c>
    </row>
    <row r="1063" ht="15" customHeight="1">
      <c r="A1063" t="inlineStr">
        <is>
          <t>A 39696-2022</t>
        </is>
      </c>
      <c r="B1063" s="1" t="n">
        <v>44818</v>
      </c>
      <c r="C1063" s="1" t="n">
        <v>45182</v>
      </c>
      <c r="D1063" t="inlineStr">
        <is>
          <t>JÄMTLANDS LÄN</t>
        </is>
      </c>
      <c r="E1063" t="inlineStr">
        <is>
          <t>STRÖMSUND</t>
        </is>
      </c>
      <c r="F1063" t="inlineStr">
        <is>
          <t>SCA</t>
        </is>
      </c>
      <c r="G1063" t="n">
        <v>4.6</v>
      </c>
      <c r="H1063" t="n">
        <v>0</v>
      </c>
      <c r="I1063" t="n">
        <v>0</v>
      </c>
      <c r="J1063" t="n">
        <v>0</v>
      </c>
      <c r="K1063" t="n">
        <v>1</v>
      </c>
      <c r="L1063" t="n">
        <v>0</v>
      </c>
      <c r="M1063" t="n">
        <v>0</v>
      </c>
      <c r="N1063" t="n">
        <v>0</v>
      </c>
      <c r="O1063" t="n">
        <v>1</v>
      </c>
      <c r="P1063" t="n">
        <v>1</v>
      </c>
      <c r="Q1063" t="n">
        <v>1</v>
      </c>
      <c r="R1063" s="2" t="inlineStr">
        <is>
          <t>Gräddporing</t>
        </is>
      </c>
      <c r="S1063">
        <f>HYPERLINK("https://klasma.github.io/Logging_STROMSUND/artfynd/A 39696-2022.xlsx")</f>
        <v/>
      </c>
      <c r="T1063">
        <f>HYPERLINK("https://klasma.github.io/Logging_STROMSUND/kartor/A 39696-2022.png")</f>
        <v/>
      </c>
      <c r="V1063">
        <f>HYPERLINK("https://klasma.github.io/Logging_STROMSUND/klagomål/A 39696-2022.docx")</f>
        <v/>
      </c>
      <c r="W1063">
        <f>HYPERLINK("https://klasma.github.io/Logging_STROMSUND/klagomålsmail/A 39696-2022.docx")</f>
        <v/>
      </c>
      <c r="X1063">
        <f>HYPERLINK("https://klasma.github.io/Logging_STROMSUND/tillsyn/A 39696-2022.docx")</f>
        <v/>
      </c>
      <c r="Y1063">
        <f>HYPERLINK("https://klasma.github.io/Logging_STROMSUND/tillsynsmail/A 39696-2022.docx")</f>
        <v/>
      </c>
    </row>
    <row r="1064" ht="15" customHeight="1">
      <c r="A1064" t="inlineStr">
        <is>
          <t>A 41317-2022</t>
        </is>
      </c>
      <c r="B1064" s="1" t="n">
        <v>44826</v>
      </c>
      <c r="C1064" s="1" t="n">
        <v>45182</v>
      </c>
      <c r="D1064" t="inlineStr">
        <is>
          <t>JÄMTLANDS LÄN</t>
        </is>
      </c>
      <c r="E1064" t="inlineStr">
        <is>
          <t>BERG</t>
        </is>
      </c>
      <c r="G1064" t="n">
        <v>0.5</v>
      </c>
      <c r="H1064" t="n">
        <v>1</v>
      </c>
      <c r="I1064" t="n">
        <v>0</v>
      </c>
      <c r="J1064" t="n">
        <v>0</v>
      </c>
      <c r="K1064" t="n">
        <v>0</v>
      </c>
      <c r="L1064" t="n">
        <v>0</v>
      </c>
      <c r="M1064" t="n">
        <v>0</v>
      </c>
      <c r="N1064" t="n">
        <v>0</v>
      </c>
      <c r="O1064" t="n">
        <v>0</v>
      </c>
      <c r="P1064" t="n">
        <v>0</v>
      </c>
      <c r="Q1064" t="n">
        <v>1</v>
      </c>
      <c r="R1064" s="2" t="inlineStr">
        <is>
          <t>Fläcknycklar</t>
        </is>
      </c>
      <c r="S1064">
        <f>HYPERLINK("https://klasma.github.io/Logging_BERG/artfynd/A 41317-2022.xlsx")</f>
        <v/>
      </c>
      <c r="T1064">
        <f>HYPERLINK("https://klasma.github.io/Logging_BERG/kartor/A 41317-2022.png")</f>
        <v/>
      </c>
      <c r="V1064">
        <f>HYPERLINK("https://klasma.github.io/Logging_BERG/klagomål/A 41317-2022.docx")</f>
        <v/>
      </c>
      <c r="W1064">
        <f>HYPERLINK("https://klasma.github.io/Logging_BERG/klagomålsmail/A 41317-2022.docx")</f>
        <v/>
      </c>
      <c r="X1064">
        <f>HYPERLINK("https://klasma.github.io/Logging_BERG/tillsyn/A 41317-2022.docx")</f>
        <v/>
      </c>
      <c r="Y1064">
        <f>HYPERLINK("https://klasma.github.io/Logging_BERG/tillsynsmail/A 41317-2022.docx")</f>
        <v/>
      </c>
    </row>
    <row r="1065" ht="15" customHeight="1">
      <c r="A1065" t="inlineStr">
        <is>
          <t>A 41811-2022</t>
        </is>
      </c>
      <c r="B1065" s="1" t="n">
        <v>44827</v>
      </c>
      <c r="C1065" s="1" t="n">
        <v>45182</v>
      </c>
      <c r="D1065" t="inlineStr">
        <is>
          <t>JÄMTLANDS LÄN</t>
        </is>
      </c>
      <c r="E1065" t="inlineStr">
        <is>
          <t>STRÖMSUND</t>
        </is>
      </c>
      <c r="F1065" t="inlineStr">
        <is>
          <t>SCA</t>
        </is>
      </c>
      <c r="G1065" t="n">
        <v>7.6</v>
      </c>
      <c r="H1065" t="n">
        <v>1</v>
      </c>
      <c r="I1065" t="n">
        <v>0</v>
      </c>
      <c r="J1065" t="n">
        <v>0</v>
      </c>
      <c r="K1065" t="n">
        <v>1</v>
      </c>
      <c r="L1065" t="n">
        <v>0</v>
      </c>
      <c r="M1065" t="n">
        <v>0</v>
      </c>
      <c r="N1065" t="n">
        <v>0</v>
      </c>
      <c r="O1065" t="n">
        <v>1</v>
      </c>
      <c r="P1065" t="n">
        <v>1</v>
      </c>
      <c r="Q1065" t="n">
        <v>1</v>
      </c>
      <c r="R1065" s="2" t="inlineStr">
        <is>
          <t>Knärot</t>
        </is>
      </c>
      <c r="S1065">
        <f>HYPERLINK("https://klasma.github.io/Logging_STROMSUND/artfynd/A 41811-2022.xlsx")</f>
        <v/>
      </c>
      <c r="T1065">
        <f>HYPERLINK("https://klasma.github.io/Logging_STROMSUND/kartor/A 41811-2022.png")</f>
        <v/>
      </c>
      <c r="U1065">
        <f>HYPERLINK("https://klasma.github.io/Logging_STROMSUND/knärot/A 41811-2022.png")</f>
        <v/>
      </c>
      <c r="V1065">
        <f>HYPERLINK("https://klasma.github.io/Logging_STROMSUND/klagomål/A 41811-2022.docx")</f>
        <v/>
      </c>
      <c r="W1065">
        <f>HYPERLINK("https://klasma.github.io/Logging_STROMSUND/klagomålsmail/A 41811-2022.docx")</f>
        <v/>
      </c>
      <c r="X1065">
        <f>HYPERLINK("https://klasma.github.io/Logging_STROMSUND/tillsyn/A 41811-2022.docx")</f>
        <v/>
      </c>
      <c r="Y1065">
        <f>HYPERLINK("https://klasma.github.io/Logging_STROMSUND/tillsynsmail/A 41811-2022.docx")</f>
        <v/>
      </c>
    </row>
    <row r="1066" ht="15" customHeight="1">
      <c r="A1066" t="inlineStr">
        <is>
          <t>A 42307-2022</t>
        </is>
      </c>
      <c r="B1066" s="1" t="n">
        <v>44830</v>
      </c>
      <c r="C1066" s="1" t="n">
        <v>45182</v>
      </c>
      <c r="D1066" t="inlineStr">
        <is>
          <t>JÄMTLANDS LÄN</t>
        </is>
      </c>
      <c r="E1066" t="inlineStr">
        <is>
          <t>RAGUNDA</t>
        </is>
      </c>
      <c r="F1066" t="inlineStr">
        <is>
          <t>SCA</t>
        </is>
      </c>
      <c r="G1066" t="n">
        <v>2.6</v>
      </c>
      <c r="H1066" t="n">
        <v>0</v>
      </c>
      <c r="I1066" t="n">
        <v>0</v>
      </c>
      <c r="J1066" t="n">
        <v>0</v>
      </c>
      <c r="K1066" t="n">
        <v>1</v>
      </c>
      <c r="L1066" t="n">
        <v>0</v>
      </c>
      <c r="M1066" t="n">
        <v>0</v>
      </c>
      <c r="N1066" t="n">
        <v>0</v>
      </c>
      <c r="O1066" t="n">
        <v>1</v>
      </c>
      <c r="P1066" t="n">
        <v>1</v>
      </c>
      <c r="Q1066" t="n">
        <v>1</v>
      </c>
      <c r="R1066" s="2" t="inlineStr">
        <is>
          <t>Smalskaftslav</t>
        </is>
      </c>
      <c r="S1066">
        <f>HYPERLINK("https://klasma.github.io/Logging_RAGUNDA/artfynd/A 42307-2022.xlsx")</f>
        <v/>
      </c>
      <c r="T1066">
        <f>HYPERLINK("https://klasma.github.io/Logging_RAGUNDA/kartor/A 42307-2022.png")</f>
        <v/>
      </c>
      <c r="V1066">
        <f>HYPERLINK("https://klasma.github.io/Logging_RAGUNDA/klagomål/A 42307-2022.docx")</f>
        <v/>
      </c>
      <c r="W1066">
        <f>HYPERLINK("https://klasma.github.io/Logging_RAGUNDA/klagomålsmail/A 42307-2022.docx")</f>
        <v/>
      </c>
      <c r="X1066">
        <f>HYPERLINK("https://klasma.github.io/Logging_RAGUNDA/tillsyn/A 42307-2022.docx")</f>
        <v/>
      </c>
      <c r="Y1066">
        <f>HYPERLINK("https://klasma.github.io/Logging_RAGUNDA/tillsynsmail/A 42307-2022.docx")</f>
        <v/>
      </c>
    </row>
    <row r="1067" ht="15" customHeight="1">
      <c r="A1067" t="inlineStr">
        <is>
          <t>A 42214-2022</t>
        </is>
      </c>
      <c r="B1067" s="1" t="n">
        <v>44830</v>
      </c>
      <c r="C1067" s="1" t="n">
        <v>45182</v>
      </c>
      <c r="D1067" t="inlineStr">
        <is>
          <t>JÄMTLANDS LÄN</t>
        </is>
      </c>
      <c r="E1067" t="inlineStr">
        <is>
          <t>HÄRJEDALEN</t>
        </is>
      </c>
      <c r="F1067" t="inlineStr">
        <is>
          <t>Sveaskog</t>
        </is>
      </c>
      <c r="G1067" t="n">
        <v>8.800000000000001</v>
      </c>
      <c r="H1067" t="n">
        <v>0</v>
      </c>
      <c r="I1067" t="n">
        <v>0</v>
      </c>
      <c r="J1067" t="n">
        <v>0</v>
      </c>
      <c r="K1067" t="n">
        <v>1</v>
      </c>
      <c r="L1067" t="n">
        <v>0</v>
      </c>
      <c r="M1067" t="n">
        <v>0</v>
      </c>
      <c r="N1067" t="n">
        <v>0</v>
      </c>
      <c r="O1067" t="n">
        <v>1</v>
      </c>
      <c r="P1067" t="n">
        <v>1</v>
      </c>
      <c r="Q1067" t="n">
        <v>1</v>
      </c>
      <c r="R1067" s="2" t="inlineStr">
        <is>
          <t>Rynkskinn</t>
        </is>
      </c>
      <c r="S1067">
        <f>HYPERLINK("https://klasma.github.io/Logging_HARJEDALEN/artfynd/A 42214-2022.xlsx")</f>
        <v/>
      </c>
      <c r="T1067">
        <f>HYPERLINK("https://klasma.github.io/Logging_HARJEDALEN/kartor/A 42214-2022.png")</f>
        <v/>
      </c>
      <c r="V1067">
        <f>HYPERLINK("https://klasma.github.io/Logging_HARJEDALEN/klagomål/A 42214-2022.docx")</f>
        <v/>
      </c>
      <c r="W1067">
        <f>HYPERLINK("https://klasma.github.io/Logging_HARJEDALEN/klagomålsmail/A 42214-2022.docx")</f>
        <v/>
      </c>
      <c r="X1067">
        <f>HYPERLINK("https://klasma.github.io/Logging_HARJEDALEN/tillsyn/A 42214-2022.docx")</f>
        <v/>
      </c>
      <c r="Y1067">
        <f>HYPERLINK("https://klasma.github.io/Logging_HARJEDALEN/tillsynsmail/A 42214-2022.docx")</f>
        <v/>
      </c>
    </row>
    <row r="1068" ht="15" customHeight="1">
      <c r="A1068" t="inlineStr">
        <is>
          <t>A 42899-2022</t>
        </is>
      </c>
      <c r="B1068" s="1" t="n">
        <v>44832</v>
      </c>
      <c r="C1068" s="1" t="n">
        <v>45182</v>
      </c>
      <c r="D1068" t="inlineStr">
        <is>
          <t>JÄMTLANDS LÄN</t>
        </is>
      </c>
      <c r="E1068" t="inlineStr">
        <is>
          <t>RAGUNDA</t>
        </is>
      </c>
      <c r="F1068" t="inlineStr">
        <is>
          <t>SCA</t>
        </is>
      </c>
      <c r="G1068" t="n">
        <v>2.3</v>
      </c>
      <c r="H1068" t="n">
        <v>0</v>
      </c>
      <c r="I1068" t="n">
        <v>0</v>
      </c>
      <c r="J1068" t="n">
        <v>1</v>
      </c>
      <c r="K1068" t="n">
        <v>0</v>
      </c>
      <c r="L1068" t="n">
        <v>0</v>
      </c>
      <c r="M1068" t="n">
        <v>0</v>
      </c>
      <c r="N1068" t="n">
        <v>0</v>
      </c>
      <c r="O1068" t="n">
        <v>1</v>
      </c>
      <c r="P1068" t="n">
        <v>0</v>
      </c>
      <c r="Q1068" t="n">
        <v>1</v>
      </c>
      <c r="R1068" s="2" t="inlineStr">
        <is>
          <t>Ullticka</t>
        </is>
      </c>
      <c r="S1068">
        <f>HYPERLINK("https://klasma.github.io/Logging_RAGUNDA/artfynd/A 42899-2022.xlsx")</f>
        <v/>
      </c>
      <c r="T1068">
        <f>HYPERLINK("https://klasma.github.io/Logging_RAGUNDA/kartor/A 42899-2022.png")</f>
        <v/>
      </c>
      <c r="V1068">
        <f>HYPERLINK("https://klasma.github.io/Logging_RAGUNDA/klagomål/A 42899-2022.docx")</f>
        <v/>
      </c>
      <c r="W1068">
        <f>HYPERLINK("https://klasma.github.io/Logging_RAGUNDA/klagomålsmail/A 42899-2022.docx")</f>
        <v/>
      </c>
      <c r="X1068">
        <f>HYPERLINK("https://klasma.github.io/Logging_RAGUNDA/tillsyn/A 42899-2022.docx")</f>
        <v/>
      </c>
      <c r="Y1068">
        <f>HYPERLINK("https://klasma.github.io/Logging_RAGUNDA/tillsynsmail/A 42899-2022.docx")</f>
        <v/>
      </c>
    </row>
    <row r="1069" ht="15" customHeight="1">
      <c r="A1069" t="inlineStr">
        <is>
          <t>A 43166-2022</t>
        </is>
      </c>
      <c r="B1069" s="1" t="n">
        <v>44833</v>
      </c>
      <c r="C1069" s="1" t="n">
        <v>45182</v>
      </c>
      <c r="D1069" t="inlineStr">
        <is>
          <t>JÄMTLANDS LÄN</t>
        </is>
      </c>
      <c r="E1069" t="inlineStr">
        <is>
          <t>BERG</t>
        </is>
      </c>
      <c r="F1069" t="inlineStr">
        <is>
          <t>SCA</t>
        </is>
      </c>
      <c r="G1069" t="n">
        <v>22.3</v>
      </c>
      <c r="H1069" t="n">
        <v>0</v>
      </c>
      <c r="I1069" t="n">
        <v>0</v>
      </c>
      <c r="J1069" t="n">
        <v>1</v>
      </c>
      <c r="K1069" t="n">
        <v>0</v>
      </c>
      <c r="L1069" t="n">
        <v>0</v>
      </c>
      <c r="M1069" t="n">
        <v>0</v>
      </c>
      <c r="N1069" t="n">
        <v>0</v>
      </c>
      <c r="O1069" t="n">
        <v>1</v>
      </c>
      <c r="P1069" t="n">
        <v>0</v>
      </c>
      <c r="Q1069" t="n">
        <v>1</v>
      </c>
      <c r="R1069" s="2" t="inlineStr">
        <is>
          <t>Skrovellav</t>
        </is>
      </c>
      <c r="S1069">
        <f>HYPERLINK("https://klasma.github.io/Logging_BERG/artfynd/A 43166-2022.xlsx")</f>
        <v/>
      </c>
      <c r="T1069">
        <f>HYPERLINK("https://klasma.github.io/Logging_BERG/kartor/A 43166-2022.png")</f>
        <v/>
      </c>
      <c r="V1069">
        <f>HYPERLINK("https://klasma.github.io/Logging_BERG/klagomål/A 43166-2022.docx")</f>
        <v/>
      </c>
      <c r="W1069">
        <f>HYPERLINK("https://klasma.github.io/Logging_BERG/klagomålsmail/A 43166-2022.docx")</f>
        <v/>
      </c>
      <c r="X1069">
        <f>HYPERLINK("https://klasma.github.io/Logging_BERG/tillsyn/A 43166-2022.docx")</f>
        <v/>
      </c>
      <c r="Y1069">
        <f>HYPERLINK("https://klasma.github.io/Logging_BERG/tillsynsmail/A 43166-2022.docx")</f>
        <v/>
      </c>
    </row>
    <row r="1070" ht="15" customHeight="1">
      <c r="A1070" t="inlineStr">
        <is>
          <t>A 43132-2022</t>
        </is>
      </c>
      <c r="B1070" s="1" t="n">
        <v>44833</v>
      </c>
      <c r="C1070" s="1" t="n">
        <v>45182</v>
      </c>
      <c r="D1070" t="inlineStr">
        <is>
          <t>JÄMTLANDS LÄN</t>
        </is>
      </c>
      <c r="E1070" t="inlineStr">
        <is>
          <t>BERG</t>
        </is>
      </c>
      <c r="F1070" t="inlineStr">
        <is>
          <t>SCA</t>
        </is>
      </c>
      <c r="G1070" t="n">
        <v>11.5</v>
      </c>
      <c r="H1070" t="n">
        <v>0</v>
      </c>
      <c r="I1070" t="n">
        <v>0</v>
      </c>
      <c r="J1070" t="n">
        <v>0</v>
      </c>
      <c r="K1070" t="n">
        <v>1</v>
      </c>
      <c r="L1070" t="n">
        <v>0</v>
      </c>
      <c r="M1070" t="n">
        <v>0</v>
      </c>
      <c r="N1070" t="n">
        <v>0</v>
      </c>
      <c r="O1070" t="n">
        <v>1</v>
      </c>
      <c r="P1070" t="n">
        <v>1</v>
      </c>
      <c r="Q1070" t="n">
        <v>1</v>
      </c>
      <c r="R1070" s="2" t="inlineStr">
        <is>
          <t>Gräddporing</t>
        </is>
      </c>
      <c r="S1070">
        <f>HYPERLINK("https://klasma.github.io/Logging_BERG/artfynd/A 43132-2022.xlsx")</f>
        <v/>
      </c>
      <c r="T1070">
        <f>HYPERLINK("https://klasma.github.io/Logging_BERG/kartor/A 43132-2022.png")</f>
        <v/>
      </c>
      <c r="V1070">
        <f>HYPERLINK("https://klasma.github.io/Logging_BERG/klagomål/A 43132-2022.docx")</f>
        <v/>
      </c>
      <c r="W1070">
        <f>HYPERLINK("https://klasma.github.io/Logging_BERG/klagomålsmail/A 43132-2022.docx")</f>
        <v/>
      </c>
      <c r="X1070">
        <f>HYPERLINK("https://klasma.github.io/Logging_BERG/tillsyn/A 43132-2022.docx")</f>
        <v/>
      </c>
      <c r="Y1070">
        <f>HYPERLINK("https://klasma.github.io/Logging_BERG/tillsynsmail/A 43132-2022.docx")</f>
        <v/>
      </c>
    </row>
    <row r="1071" ht="15" customHeight="1">
      <c r="A1071" t="inlineStr">
        <is>
          <t>A 43672-2022</t>
        </is>
      </c>
      <c r="B1071" s="1" t="n">
        <v>44837</v>
      </c>
      <c r="C1071" s="1" t="n">
        <v>45182</v>
      </c>
      <c r="D1071" t="inlineStr">
        <is>
          <t>JÄMTLANDS LÄN</t>
        </is>
      </c>
      <c r="E1071" t="inlineStr">
        <is>
          <t>HÄRJEDALEN</t>
        </is>
      </c>
      <c r="G1071" t="n">
        <v>8.5</v>
      </c>
      <c r="H1071" t="n">
        <v>1</v>
      </c>
      <c r="I1071" t="n">
        <v>1</v>
      </c>
      <c r="J1071" t="n">
        <v>0</v>
      </c>
      <c r="K1071" t="n">
        <v>0</v>
      </c>
      <c r="L1071" t="n">
        <v>0</v>
      </c>
      <c r="M1071" t="n">
        <v>0</v>
      </c>
      <c r="N1071" t="n">
        <v>0</v>
      </c>
      <c r="O1071" t="n">
        <v>0</v>
      </c>
      <c r="P1071" t="n">
        <v>0</v>
      </c>
      <c r="Q1071" t="n">
        <v>1</v>
      </c>
      <c r="R1071" s="2" t="inlineStr">
        <is>
          <t>Spindelblomster</t>
        </is>
      </c>
      <c r="S1071">
        <f>HYPERLINK("https://klasma.github.io/Logging_HARJEDALEN/artfynd/A 43672-2022.xlsx")</f>
        <v/>
      </c>
      <c r="T1071">
        <f>HYPERLINK("https://klasma.github.io/Logging_HARJEDALEN/kartor/A 43672-2022.png")</f>
        <v/>
      </c>
      <c r="V1071">
        <f>HYPERLINK("https://klasma.github.io/Logging_HARJEDALEN/klagomål/A 43672-2022.docx")</f>
        <v/>
      </c>
      <c r="W1071">
        <f>HYPERLINK("https://klasma.github.io/Logging_HARJEDALEN/klagomålsmail/A 43672-2022.docx")</f>
        <v/>
      </c>
      <c r="X1071">
        <f>HYPERLINK("https://klasma.github.io/Logging_HARJEDALEN/tillsyn/A 43672-2022.docx")</f>
        <v/>
      </c>
      <c r="Y1071">
        <f>HYPERLINK("https://klasma.github.io/Logging_HARJEDALEN/tillsynsmail/A 43672-2022.docx")</f>
        <v/>
      </c>
    </row>
    <row r="1072" ht="15" customHeight="1">
      <c r="A1072" t="inlineStr">
        <is>
          <t>A 44745-2022</t>
        </is>
      </c>
      <c r="B1072" s="1" t="n">
        <v>44840</v>
      </c>
      <c r="C1072" s="1" t="n">
        <v>45182</v>
      </c>
      <c r="D1072" t="inlineStr">
        <is>
          <t>JÄMTLANDS LÄN</t>
        </is>
      </c>
      <c r="E1072" t="inlineStr">
        <is>
          <t>STRÖMSUND</t>
        </is>
      </c>
      <c r="F1072" t="inlineStr">
        <is>
          <t>SCA</t>
        </is>
      </c>
      <c r="G1072" t="n">
        <v>1.6</v>
      </c>
      <c r="H1072" t="n">
        <v>0</v>
      </c>
      <c r="I1072" t="n">
        <v>1</v>
      </c>
      <c r="J1072" t="n">
        <v>0</v>
      </c>
      <c r="K1072" t="n">
        <v>0</v>
      </c>
      <c r="L1072" t="n">
        <v>0</v>
      </c>
      <c r="M1072" t="n">
        <v>0</v>
      </c>
      <c r="N1072" t="n">
        <v>0</v>
      </c>
      <c r="O1072" t="n">
        <v>0</v>
      </c>
      <c r="P1072" t="n">
        <v>0</v>
      </c>
      <c r="Q1072" t="n">
        <v>1</v>
      </c>
      <c r="R1072" s="2" t="inlineStr">
        <is>
          <t>Skogshakmossa</t>
        </is>
      </c>
      <c r="S1072">
        <f>HYPERLINK("https://klasma.github.io/Logging_STROMSUND/artfynd/A 44745-2022.xlsx")</f>
        <v/>
      </c>
      <c r="T1072">
        <f>HYPERLINK("https://klasma.github.io/Logging_STROMSUND/kartor/A 44745-2022.png")</f>
        <v/>
      </c>
      <c r="V1072">
        <f>HYPERLINK("https://klasma.github.io/Logging_STROMSUND/klagomål/A 44745-2022.docx")</f>
        <v/>
      </c>
      <c r="W1072">
        <f>HYPERLINK("https://klasma.github.io/Logging_STROMSUND/klagomålsmail/A 44745-2022.docx")</f>
        <v/>
      </c>
      <c r="X1072">
        <f>HYPERLINK("https://klasma.github.io/Logging_STROMSUND/tillsyn/A 44745-2022.docx")</f>
        <v/>
      </c>
      <c r="Y1072">
        <f>HYPERLINK("https://klasma.github.io/Logging_STROMSUND/tillsynsmail/A 44745-2022.docx")</f>
        <v/>
      </c>
    </row>
    <row r="1073" ht="15" customHeight="1">
      <c r="A1073" t="inlineStr">
        <is>
          <t>A 45420-2022</t>
        </is>
      </c>
      <c r="B1073" s="1" t="n">
        <v>44844</v>
      </c>
      <c r="C1073" s="1" t="n">
        <v>45182</v>
      </c>
      <c r="D1073" t="inlineStr">
        <is>
          <t>JÄMTLANDS LÄN</t>
        </is>
      </c>
      <c r="E1073" t="inlineStr">
        <is>
          <t>BRÄCKE</t>
        </is>
      </c>
      <c r="F1073" t="inlineStr">
        <is>
          <t>SCA</t>
        </is>
      </c>
      <c r="G1073" t="n">
        <v>1.6</v>
      </c>
      <c r="H1073" t="n">
        <v>0</v>
      </c>
      <c r="I1073" t="n">
        <v>0</v>
      </c>
      <c r="J1073" t="n">
        <v>1</v>
      </c>
      <c r="K1073" t="n">
        <v>0</v>
      </c>
      <c r="L1073" t="n">
        <v>0</v>
      </c>
      <c r="M1073" t="n">
        <v>0</v>
      </c>
      <c r="N1073" t="n">
        <v>0</v>
      </c>
      <c r="O1073" t="n">
        <v>1</v>
      </c>
      <c r="P1073" t="n">
        <v>0</v>
      </c>
      <c r="Q1073" t="n">
        <v>1</v>
      </c>
      <c r="R1073" s="2" t="inlineStr">
        <is>
          <t>Vitgrynig nållav</t>
        </is>
      </c>
      <c r="S1073">
        <f>HYPERLINK("https://klasma.github.io/Logging_BRACKE/artfynd/A 45420-2022.xlsx")</f>
        <v/>
      </c>
      <c r="T1073">
        <f>HYPERLINK("https://klasma.github.io/Logging_BRACKE/kartor/A 45420-2022.png")</f>
        <v/>
      </c>
      <c r="V1073">
        <f>HYPERLINK("https://klasma.github.io/Logging_BRACKE/klagomål/A 45420-2022.docx")</f>
        <v/>
      </c>
      <c r="W1073">
        <f>HYPERLINK("https://klasma.github.io/Logging_BRACKE/klagomålsmail/A 45420-2022.docx")</f>
        <v/>
      </c>
      <c r="X1073">
        <f>HYPERLINK("https://klasma.github.io/Logging_BRACKE/tillsyn/A 45420-2022.docx")</f>
        <v/>
      </c>
      <c r="Y1073">
        <f>HYPERLINK("https://klasma.github.io/Logging_BRACKE/tillsynsmail/A 45420-2022.docx")</f>
        <v/>
      </c>
    </row>
    <row r="1074" ht="15" customHeight="1">
      <c r="A1074" t="inlineStr">
        <is>
          <t>A 45441-2022</t>
        </is>
      </c>
      <c r="B1074" s="1" t="n">
        <v>44844</v>
      </c>
      <c r="C1074" s="1" t="n">
        <v>45182</v>
      </c>
      <c r="D1074" t="inlineStr">
        <is>
          <t>JÄMTLANDS LÄN</t>
        </is>
      </c>
      <c r="E1074" t="inlineStr">
        <is>
          <t>ÖSTERSUND</t>
        </is>
      </c>
      <c r="F1074" t="inlineStr">
        <is>
          <t>SCA</t>
        </is>
      </c>
      <c r="G1074" t="n">
        <v>1.8</v>
      </c>
      <c r="H1074" t="n">
        <v>0</v>
      </c>
      <c r="I1074" t="n">
        <v>1</v>
      </c>
      <c r="J1074" t="n">
        <v>0</v>
      </c>
      <c r="K1074" t="n">
        <v>0</v>
      </c>
      <c r="L1074" t="n">
        <v>0</v>
      </c>
      <c r="M1074" t="n">
        <v>0</v>
      </c>
      <c r="N1074" t="n">
        <v>0</v>
      </c>
      <c r="O1074" t="n">
        <v>0</v>
      </c>
      <c r="P1074" t="n">
        <v>0</v>
      </c>
      <c r="Q1074" t="n">
        <v>1</v>
      </c>
      <c r="R1074" s="2" t="inlineStr">
        <is>
          <t>Korallblylav</t>
        </is>
      </c>
      <c r="S1074">
        <f>HYPERLINK("https://klasma.github.io/Logging_OSTERSUND/artfynd/A 45441-2022.xlsx")</f>
        <v/>
      </c>
      <c r="T1074">
        <f>HYPERLINK("https://klasma.github.io/Logging_OSTERSUND/kartor/A 45441-2022.png")</f>
        <v/>
      </c>
      <c r="V1074">
        <f>HYPERLINK("https://klasma.github.io/Logging_OSTERSUND/klagomål/A 45441-2022.docx")</f>
        <v/>
      </c>
      <c r="W1074">
        <f>HYPERLINK("https://klasma.github.io/Logging_OSTERSUND/klagomålsmail/A 45441-2022.docx")</f>
        <v/>
      </c>
      <c r="X1074">
        <f>HYPERLINK("https://klasma.github.io/Logging_OSTERSUND/tillsyn/A 45441-2022.docx")</f>
        <v/>
      </c>
      <c r="Y1074">
        <f>HYPERLINK("https://klasma.github.io/Logging_OSTERSUND/tillsynsmail/A 45441-2022.docx")</f>
        <v/>
      </c>
    </row>
    <row r="1075" ht="15" customHeight="1">
      <c r="A1075" t="inlineStr">
        <is>
          <t>A 46343-2022</t>
        </is>
      </c>
      <c r="B1075" s="1" t="n">
        <v>44847</v>
      </c>
      <c r="C1075" s="1" t="n">
        <v>45182</v>
      </c>
      <c r="D1075" t="inlineStr">
        <is>
          <t>JÄMTLANDS LÄN</t>
        </is>
      </c>
      <c r="E1075" t="inlineStr">
        <is>
          <t>STRÖMSUND</t>
        </is>
      </c>
      <c r="F1075" t="inlineStr">
        <is>
          <t>SCA</t>
        </is>
      </c>
      <c r="G1075" t="n">
        <v>0.8</v>
      </c>
      <c r="H1075" t="n">
        <v>0</v>
      </c>
      <c r="I1075" t="n">
        <v>0</v>
      </c>
      <c r="J1075" t="n">
        <v>1</v>
      </c>
      <c r="K1075" t="n">
        <v>0</v>
      </c>
      <c r="L1075" t="n">
        <v>0</v>
      </c>
      <c r="M1075" t="n">
        <v>0</v>
      </c>
      <c r="N1075" t="n">
        <v>0</v>
      </c>
      <c r="O1075" t="n">
        <v>1</v>
      </c>
      <c r="P1075" t="n">
        <v>0</v>
      </c>
      <c r="Q1075" t="n">
        <v>1</v>
      </c>
      <c r="R1075" s="2" t="inlineStr">
        <is>
          <t>Lunglav</t>
        </is>
      </c>
      <c r="S1075">
        <f>HYPERLINK("https://klasma.github.io/Logging_STROMSUND/artfynd/A 46343-2022.xlsx")</f>
        <v/>
      </c>
      <c r="T1075">
        <f>HYPERLINK("https://klasma.github.io/Logging_STROMSUND/kartor/A 46343-2022.png")</f>
        <v/>
      </c>
      <c r="V1075">
        <f>HYPERLINK("https://klasma.github.io/Logging_STROMSUND/klagomål/A 46343-2022.docx")</f>
        <v/>
      </c>
      <c r="W1075">
        <f>HYPERLINK("https://klasma.github.io/Logging_STROMSUND/klagomålsmail/A 46343-2022.docx")</f>
        <v/>
      </c>
      <c r="X1075">
        <f>HYPERLINK("https://klasma.github.io/Logging_STROMSUND/tillsyn/A 46343-2022.docx")</f>
        <v/>
      </c>
      <c r="Y1075">
        <f>HYPERLINK("https://klasma.github.io/Logging_STROMSUND/tillsynsmail/A 46343-2022.docx")</f>
        <v/>
      </c>
    </row>
    <row r="1076" ht="15" customHeight="1">
      <c r="A1076" t="inlineStr">
        <is>
          <t>A 48063-2022</t>
        </is>
      </c>
      <c r="B1076" s="1" t="n">
        <v>44855</v>
      </c>
      <c r="C1076" s="1" t="n">
        <v>45182</v>
      </c>
      <c r="D1076" t="inlineStr">
        <is>
          <t>JÄMTLANDS LÄN</t>
        </is>
      </c>
      <c r="E1076" t="inlineStr">
        <is>
          <t>RAGUNDA</t>
        </is>
      </c>
      <c r="F1076" t="inlineStr">
        <is>
          <t>SCA</t>
        </is>
      </c>
      <c r="G1076" t="n">
        <v>3.3</v>
      </c>
      <c r="H1076" t="n">
        <v>0</v>
      </c>
      <c r="I1076" t="n">
        <v>1</v>
      </c>
      <c r="J1076" t="n">
        <v>0</v>
      </c>
      <c r="K1076" t="n">
        <v>0</v>
      </c>
      <c r="L1076" t="n">
        <v>0</v>
      </c>
      <c r="M1076" t="n">
        <v>0</v>
      </c>
      <c r="N1076" t="n">
        <v>0</v>
      </c>
      <c r="O1076" t="n">
        <v>0</v>
      </c>
      <c r="P1076" t="n">
        <v>0</v>
      </c>
      <c r="Q1076" t="n">
        <v>1</v>
      </c>
      <c r="R1076" s="2" t="inlineStr">
        <is>
          <t>Källmossa</t>
        </is>
      </c>
      <c r="S1076">
        <f>HYPERLINK("https://klasma.github.io/Logging_RAGUNDA/artfynd/A 48063-2022.xlsx")</f>
        <v/>
      </c>
      <c r="T1076">
        <f>HYPERLINK("https://klasma.github.io/Logging_RAGUNDA/kartor/A 48063-2022.png")</f>
        <v/>
      </c>
      <c r="V1076">
        <f>HYPERLINK("https://klasma.github.io/Logging_RAGUNDA/klagomål/A 48063-2022.docx")</f>
        <v/>
      </c>
      <c r="W1076">
        <f>HYPERLINK("https://klasma.github.io/Logging_RAGUNDA/klagomålsmail/A 48063-2022.docx")</f>
        <v/>
      </c>
      <c r="X1076">
        <f>HYPERLINK("https://klasma.github.io/Logging_RAGUNDA/tillsyn/A 48063-2022.docx")</f>
        <v/>
      </c>
      <c r="Y1076">
        <f>HYPERLINK("https://klasma.github.io/Logging_RAGUNDA/tillsynsmail/A 48063-2022.docx")</f>
        <v/>
      </c>
    </row>
    <row r="1077" ht="15" customHeight="1">
      <c r="A1077" t="inlineStr">
        <is>
          <t>A 48544-2022</t>
        </is>
      </c>
      <c r="B1077" s="1" t="n">
        <v>44858</v>
      </c>
      <c r="C1077" s="1" t="n">
        <v>45182</v>
      </c>
      <c r="D1077" t="inlineStr">
        <is>
          <t>JÄMTLANDS LÄN</t>
        </is>
      </c>
      <c r="E1077" t="inlineStr">
        <is>
          <t>STRÖMSUND</t>
        </is>
      </c>
      <c r="F1077" t="inlineStr">
        <is>
          <t>SCA</t>
        </is>
      </c>
      <c r="G1077" t="n">
        <v>2.6</v>
      </c>
      <c r="H1077" t="n">
        <v>1</v>
      </c>
      <c r="I1077" t="n">
        <v>0</v>
      </c>
      <c r="J1077" t="n">
        <v>0</v>
      </c>
      <c r="K1077" t="n">
        <v>1</v>
      </c>
      <c r="L1077" t="n">
        <v>0</v>
      </c>
      <c r="M1077" t="n">
        <v>0</v>
      </c>
      <c r="N1077" t="n">
        <v>0</v>
      </c>
      <c r="O1077" t="n">
        <v>1</v>
      </c>
      <c r="P1077" t="n">
        <v>1</v>
      </c>
      <c r="Q1077" t="n">
        <v>1</v>
      </c>
      <c r="R1077" s="2" t="inlineStr">
        <is>
          <t>Doftticka</t>
        </is>
      </c>
      <c r="S1077">
        <f>HYPERLINK("https://klasma.github.io/Logging_STROMSUND/artfynd/A 48544-2022.xlsx")</f>
        <v/>
      </c>
      <c r="T1077">
        <f>HYPERLINK("https://klasma.github.io/Logging_STROMSUND/kartor/A 48544-2022.png")</f>
        <v/>
      </c>
      <c r="V1077">
        <f>HYPERLINK("https://klasma.github.io/Logging_STROMSUND/klagomål/A 48544-2022.docx")</f>
        <v/>
      </c>
      <c r="W1077">
        <f>HYPERLINK("https://klasma.github.io/Logging_STROMSUND/klagomålsmail/A 48544-2022.docx")</f>
        <v/>
      </c>
      <c r="X1077">
        <f>HYPERLINK("https://klasma.github.io/Logging_STROMSUND/tillsyn/A 48544-2022.docx")</f>
        <v/>
      </c>
      <c r="Y1077">
        <f>HYPERLINK("https://klasma.github.io/Logging_STROMSUND/tillsynsmail/A 48544-2022.docx")</f>
        <v/>
      </c>
    </row>
    <row r="1078" ht="15" customHeight="1">
      <c r="A1078" t="inlineStr">
        <is>
          <t>A 48896-2022</t>
        </is>
      </c>
      <c r="B1078" s="1" t="n">
        <v>44859</v>
      </c>
      <c r="C1078" s="1" t="n">
        <v>45182</v>
      </c>
      <c r="D1078" t="inlineStr">
        <is>
          <t>JÄMTLANDS LÄN</t>
        </is>
      </c>
      <c r="E1078" t="inlineStr">
        <is>
          <t>STRÖMSUND</t>
        </is>
      </c>
      <c r="F1078" t="inlineStr">
        <is>
          <t>SCA</t>
        </is>
      </c>
      <c r="G1078" t="n">
        <v>3.3</v>
      </c>
      <c r="H1078" t="n">
        <v>1</v>
      </c>
      <c r="I1078" t="n">
        <v>1</v>
      </c>
      <c r="J1078" t="n">
        <v>0</v>
      </c>
      <c r="K1078" t="n">
        <v>0</v>
      </c>
      <c r="L1078" t="n">
        <v>0</v>
      </c>
      <c r="M1078" t="n">
        <v>0</v>
      </c>
      <c r="N1078" t="n">
        <v>0</v>
      </c>
      <c r="O1078" t="n">
        <v>0</v>
      </c>
      <c r="P1078" t="n">
        <v>0</v>
      </c>
      <c r="Q1078" t="n">
        <v>1</v>
      </c>
      <c r="R1078" s="2" t="inlineStr">
        <is>
          <t>Guckusko</t>
        </is>
      </c>
      <c r="S1078">
        <f>HYPERLINK("https://klasma.github.io/Logging_STROMSUND/artfynd/A 48896-2022.xlsx")</f>
        <v/>
      </c>
      <c r="T1078">
        <f>HYPERLINK("https://klasma.github.io/Logging_STROMSUND/kartor/A 48896-2022.png")</f>
        <v/>
      </c>
      <c r="V1078">
        <f>HYPERLINK("https://klasma.github.io/Logging_STROMSUND/klagomål/A 48896-2022.docx")</f>
        <v/>
      </c>
      <c r="W1078">
        <f>HYPERLINK("https://klasma.github.io/Logging_STROMSUND/klagomålsmail/A 48896-2022.docx")</f>
        <v/>
      </c>
      <c r="X1078">
        <f>HYPERLINK("https://klasma.github.io/Logging_STROMSUND/tillsyn/A 48896-2022.docx")</f>
        <v/>
      </c>
      <c r="Y1078">
        <f>HYPERLINK("https://klasma.github.io/Logging_STROMSUND/tillsynsmail/A 48896-2022.docx")</f>
        <v/>
      </c>
    </row>
    <row r="1079" ht="15" customHeight="1">
      <c r="A1079" t="inlineStr">
        <is>
          <t>A 49091-2022</t>
        </is>
      </c>
      <c r="B1079" s="1" t="n">
        <v>44860</v>
      </c>
      <c r="C1079" s="1" t="n">
        <v>45182</v>
      </c>
      <c r="D1079" t="inlineStr">
        <is>
          <t>JÄMTLANDS LÄN</t>
        </is>
      </c>
      <c r="E1079" t="inlineStr">
        <is>
          <t>RAGUNDA</t>
        </is>
      </c>
      <c r="G1079" t="n">
        <v>3.5</v>
      </c>
      <c r="H1079" t="n">
        <v>1</v>
      </c>
      <c r="I1079" t="n">
        <v>0</v>
      </c>
      <c r="J1079" t="n">
        <v>0</v>
      </c>
      <c r="K1079" t="n">
        <v>1</v>
      </c>
      <c r="L1079" t="n">
        <v>0</v>
      </c>
      <c r="M1079" t="n">
        <v>0</v>
      </c>
      <c r="N1079" t="n">
        <v>0</v>
      </c>
      <c r="O1079" t="n">
        <v>1</v>
      </c>
      <c r="P1079" t="n">
        <v>1</v>
      </c>
      <c r="Q1079" t="n">
        <v>1</v>
      </c>
      <c r="R1079" s="2" t="inlineStr">
        <is>
          <t>Doftticka</t>
        </is>
      </c>
      <c r="S1079">
        <f>HYPERLINK("https://klasma.github.io/Logging_RAGUNDA/artfynd/A 49091-2022.xlsx")</f>
        <v/>
      </c>
      <c r="T1079">
        <f>HYPERLINK("https://klasma.github.io/Logging_RAGUNDA/kartor/A 49091-2022.png")</f>
        <v/>
      </c>
      <c r="V1079">
        <f>HYPERLINK("https://klasma.github.io/Logging_RAGUNDA/klagomål/A 49091-2022.docx")</f>
        <v/>
      </c>
      <c r="W1079">
        <f>HYPERLINK("https://klasma.github.io/Logging_RAGUNDA/klagomålsmail/A 49091-2022.docx")</f>
        <v/>
      </c>
      <c r="X1079">
        <f>HYPERLINK("https://klasma.github.io/Logging_RAGUNDA/tillsyn/A 49091-2022.docx")</f>
        <v/>
      </c>
      <c r="Y1079">
        <f>HYPERLINK("https://klasma.github.io/Logging_RAGUNDA/tillsynsmail/A 49091-2022.docx")</f>
        <v/>
      </c>
    </row>
    <row r="1080" ht="15" customHeight="1">
      <c r="A1080" t="inlineStr">
        <is>
          <t>A 49532-2022</t>
        </is>
      </c>
      <c r="B1080" s="1" t="n">
        <v>44861</v>
      </c>
      <c r="C1080" s="1" t="n">
        <v>45182</v>
      </c>
      <c r="D1080" t="inlineStr">
        <is>
          <t>JÄMTLANDS LÄN</t>
        </is>
      </c>
      <c r="E1080" t="inlineStr">
        <is>
          <t>BERG</t>
        </is>
      </c>
      <c r="F1080" t="inlineStr">
        <is>
          <t>SCA</t>
        </is>
      </c>
      <c r="G1080" t="n">
        <v>12.7</v>
      </c>
      <c r="H1080" t="n">
        <v>0</v>
      </c>
      <c r="I1080" t="n">
        <v>0</v>
      </c>
      <c r="J1080" t="n">
        <v>1</v>
      </c>
      <c r="K1080" t="n">
        <v>0</v>
      </c>
      <c r="L1080" t="n">
        <v>0</v>
      </c>
      <c r="M1080" t="n">
        <v>0</v>
      </c>
      <c r="N1080" t="n">
        <v>0</v>
      </c>
      <c r="O1080" t="n">
        <v>1</v>
      </c>
      <c r="P1080" t="n">
        <v>0</v>
      </c>
      <c r="Q1080" t="n">
        <v>1</v>
      </c>
      <c r="R1080" s="2" t="inlineStr">
        <is>
          <t>Dvärgbägarlav</t>
        </is>
      </c>
      <c r="S1080">
        <f>HYPERLINK("https://klasma.github.io/Logging_BERG/artfynd/A 49532-2022.xlsx")</f>
        <v/>
      </c>
      <c r="T1080">
        <f>HYPERLINK("https://klasma.github.io/Logging_BERG/kartor/A 49532-2022.png")</f>
        <v/>
      </c>
      <c r="V1080">
        <f>HYPERLINK("https://klasma.github.io/Logging_BERG/klagomål/A 49532-2022.docx")</f>
        <v/>
      </c>
      <c r="W1080">
        <f>HYPERLINK("https://klasma.github.io/Logging_BERG/klagomålsmail/A 49532-2022.docx")</f>
        <v/>
      </c>
      <c r="X1080">
        <f>HYPERLINK("https://klasma.github.io/Logging_BERG/tillsyn/A 49532-2022.docx")</f>
        <v/>
      </c>
      <c r="Y1080">
        <f>HYPERLINK("https://klasma.github.io/Logging_BERG/tillsynsmail/A 49532-2022.docx")</f>
        <v/>
      </c>
    </row>
    <row r="1081" ht="15" customHeight="1">
      <c r="A1081" t="inlineStr">
        <is>
          <t>A 49863-2022</t>
        </is>
      </c>
      <c r="B1081" s="1" t="n">
        <v>44862</v>
      </c>
      <c r="C1081" s="1" t="n">
        <v>45182</v>
      </c>
      <c r="D1081" t="inlineStr">
        <is>
          <t>JÄMTLANDS LÄN</t>
        </is>
      </c>
      <c r="E1081" t="inlineStr">
        <is>
          <t>BRÄCKE</t>
        </is>
      </c>
      <c r="F1081" t="inlineStr">
        <is>
          <t>SCA</t>
        </is>
      </c>
      <c r="G1081" t="n">
        <v>3.9</v>
      </c>
      <c r="H1081" t="n">
        <v>1</v>
      </c>
      <c r="I1081" t="n">
        <v>1</v>
      </c>
      <c r="J1081" t="n">
        <v>0</v>
      </c>
      <c r="K1081" t="n">
        <v>0</v>
      </c>
      <c r="L1081" t="n">
        <v>0</v>
      </c>
      <c r="M1081" t="n">
        <v>0</v>
      </c>
      <c r="N1081" t="n">
        <v>0</v>
      </c>
      <c r="O1081" t="n">
        <v>0</v>
      </c>
      <c r="P1081" t="n">
        <v>0</v>
      </c>
      <c r="Q1081" t="n">
        <v>1</v>
      </c>
      <c r="R1081" s="2" t="inlineStr">
        <is>
          <t>Spindelblomster</t>
        </is>
      </c>
      <c r="S1081">
        <f>HYPERLINK("https://klasma.github.io/Logging_BRACKE/artfynd/A 49863-2022.xlsx")</f>
        <v/>
      </c>
      <c r="T1081">
        <f>HYPERLINK("https://klasma.github.io/Logging_BRACKE/kartor/A 49863-2022.png")</f>
        <v/>
      </c>
      <c r="V1081">
        <f>HYPERLINK("https://klasma.github.io/Logging_BRACKE/klagomål/A 49863-2022.docx")</f>
        <v/>
      </c>
      <c r="W1081">
        <f>HYPERLINK("https://klasma.github.io/Logging_BRACKE/klagomålsmail/A 49863-2022.docx")</f>
        <v/>
      </c>
      <c r="X1081">
        <f>HYPERLINK("https://klasma.github.io/Logging_BRACKE/tillsyn/A 49863-2022.docx")</f>
        <v/>
      </c>
      <c r="Y1081">
        <f>HYPERLINK("https://klasma.github.io/Logging_BRACKE/tillsynsmail/A 49863-2022.docx")</f>
        <v/>
      </c>
    </row>
    <row r="1082" ht="15" customHeight="1">
      <c r="A1082" t="inlineStr">
        <is>
          <t>A 50683-2022</t>
        </is>
      </c>
      <c r="B1082" s="1" t="n">
        <v>44866</v>
      </c>
      <c r="C1082" s="1" t="n">
        <v>45182</v>
      </c>
      <c r="D1082" t="inlineStr">
        <is>
          <t>JÄMTLANDS LÄN</t>
        </is>
      </c>
      <c r="E1082" t="inlineStr">
        <is>
          <t>STRÖMSUND</t>
        </is>
      </c>
      <c r="F1082" t="inlineStr">
        <is>
          <t>SCA</t>
        </is>
      </c>
      <c r="G1082" t="n">
        <v>4.8</v>
      </c>
      <c r="H1082" t="n">
        <v>0</v>
      </c>
      <c r="I1082" t="n">
        <v>0</v>
      </c>
      <c r="J1082" t="n">
        <v>1</v>
      </c>
      <c r="K1082" t="n">
        <v>0</v>
      </c>
      <c r="L1082" t="n">
        <v>0</v>
      </c>
      <c r="M1082" t="n">
        <v>0</v>
      </c>
      <c r="N1082" t="n">
        <v>0</v>
      </c>
      <c r="O1082" t="n">
        <v>1</v>
      </c>
      <c r="P1082" t="n">
        <v>0</v>
      </c>
      <c r="Q1082" t="n">
        <v>1</v>
      </c>
      <c r="R1082" s="2" t="inlineStr">
        <is>
          <t>Gammelgransskål</t>
        </is>
      </c>
      <c r="S1082">
        <f>HYPERLINK("https://klasma.github.io/Logging_STROMSUND/artfynd/A 50683-2022.xlsx")</f>
        <v/>
      </c>
      <c r="T1082">
        <f>HYPERLINK("https://klasma.github.io/Logging_STROMSUND/kartor/A 50683-2022.png")</f>
        <v/>
      </c>
      <c r="V1082">
        <f>HYPERLINK("https://klasma.github.io/Logging_STROMSUND/klagomål/A 50683-2022.docx")</f>
        <v/>
      </c>
      <c r="W1082">
        <f>HYPERLINK("https://klasma.github.io/Logging_STROMSUND/klagomålsmail/A 50683-2022.docx")</f>
        <v/>
      </c>
      <c r="X1082">
        <f>HYPERLINK("https://klasma.github.io/Logging_STROMSUND/tillsyn/A 50683-2022.docx")</f>
        <v/>
      </c>
      <c r="Y1082">
        <f>HYPERLINK("https://klasma.github.io/Logging_STROMSUND/tillsynsmail/A 50683-2022.docx")</f>
        <v/>
      </c>
    </row>
    <row r="1083" ht="15" customHeight="1">
      <c r="A1083" t="inlineStr">
        <is>
          <t>A 51309-2022</t>
        </is>
      </c>
      <c r="B1083" s="1" t="n">
        <v>44868</v>
      </c>
      <c r="C1083" s="1" t="n">
        <v>45182</v>
      </c>
      <c r="D1083" t="inlineStr">
        <is>
          <t>JÄMTLANDS LÄN</t>
        </is>
      </c>
      <c r="E1083" t="inlineStr">
        <is>
          <t>STRÖMSUND</t>
        </is>
      </c>
      <c r="F1083" t="inlineStr">
        <is>
          <t>SCA</t>
        </is>
      </c>
      <c r="G1083" t="n">
        <v>5.1</v>
      </c>
      <c r="H1083" t="n">
        <v>0</v>
      </c>
      <c r="I1083" t="n">
        <v>0</v>
      </c>
      <c r="J1083" t="n">
        <v>1</v>
      </c>
      <c r="K1083" t="n">
        <v>0</v>
      </c>
      <c r="L1083" t="n">
        <v>0</v>
      </c>
      <c r="M1083" t="n">
        <v>0</v>
      </c>
      <c r="N1083" t="n">
        <v>0</v>
      </c>
      <c r="O1083" t="n">
        <v>1</v>
      </c>
      <c r="P1083" t="n">
        <v>0</v>
      </c>
      <c r="Q1083" t="n">
        <v>1</v>
      </c>
      <c r="R1083" s="2" t="inlineStr">
        <is>
          <t>Skrovellav</t>
        </is>
      </c>
      <c r="S1083">
        <f>HYPERLINK("https://klasma.github.io/Logging_STROMSUND/artfynd/A 51309-2022.xlsx")</f>
        <v/>
      </c>
      <c r="T1083">
        <f>HYPERLINK("https://klasma.github.io/Logging_STROMSUND/kartor/A 51309-2022.png")</f>
        <v/>
      </c>
      <c r="V1083">
        <f>HYPERLINK("https://klasma.github.io/Logging_STROMSUND/klagomål/A 51309-2022.docx")</f>
        <v/>
      </c>
      <c r="W1083">
        <f>HYPERLINK("https://klasma.github.io/Logging_STROMSUND/klagomålsmail/A 51309-2022.docx")</f>
        <v/>
      </c>
      <c r="X1083">
        <f>HYPERLINK("https://klasma.github.io/Logging_STROMSUND/tillsyn/A 51309-2022.docx")</f>
        <v/>
      </c>
      <c r="Y1083">
        <f>HYPERLINK("https://klasma.github.io/Logging_STROMSUND/tillsynsmail/A 51309-2022.docx")</f>
        <v/>
      </c>
    </row>
    <row r="1084" ht="15" customHeight="1">
      <c r="A1084" t="inlineStr">
        <is>
          <t>A 52018-2022</t>
        </is>
      </c>
      <c r="B1084" s="1" t="n">
        <v>44872</v>
      </c>
      <c r="C1084" s="1" t="n">
        <v>45182</v>
      </c>
      <c r="D1084" t="inlineStr">
        <is>
          <t>JÄMTLANDS LÄN</t>
        </is>
      </c>
      <c r="E1084" t="inlineStr">
        <is>
          <t>BRÄCKE</t>
        </is>
      </c>
      <c r="F1084" t="inlineStr">
        <is>
          <t>SCA</t>
        </is>
      </c>
      <c r="G1084" t="n">
        <v>1.3</v>
      </c>
      <c r="H1084" t="n">
        <v>0</v>
      </c>
      <c r="I1084" t="n">
        <v>0</v>
      </c>
      <c r="J1084" t="n">
        <v>1</v>
      </c>
      <c r="K1084" t="n">
        <v>0</v>
      </c>
      <c r="L1084" t="n">
        <v>0</v>
      </c>
      <c r="M1084" t="n">
        <v>0</v>
      </c>
      <c r="N1084" t="n">
        <v>0</v>
      </c>
      <c r="O1084" t="n">
        <v>1</v>
      </c>
      <c r="P1084" t="n">
        <v>0</v>
      </c>
      <c r="Q1084" t="n">
        <v>1</v>
      </c>
      <c r="R1084" s="2" t="inlineStr">
        <is>
          <t>Lunglav</t>
        </is>
      </c>
      <c r="S1084">
        <f>HYPERLINK("https://klasma.github.io/Logging_BRACKE/artfynd/A 52018-2022.xlsx")</f>
        <v/>
      </c>
      <c r="T1084">
        <f>HYPERLINK("https://klasma.github.io/Logging_BRACKE/kartor/A 52018-2022.png")</f>
        <v/>
      </c>
      <c r="V1084">
        <f>HYPERLINK("https://klasma.github.io/Logging_BRACKE/klagomål/A 52018-2022.docx")</f>
        <v/>
      </c>
      <c r="W1084">
        <f>HYPERLINK("https://klasma.github.io/Logging_BRACKE/klagomålsmail/A 52018-2022.docx")</f>
        <v/>
      </c>
      <c r="X1084">
        <f>HYPERLINK("https://klasma.github.io/Logging_BRACKE/tillsyn/A 52018-2022.docx")</f>
        <v/>
      </c>
      <c r="Y1084">
        <f>HYPERLINK("https://klasma.github.io/Logging_BRACKE/tillsynsmail/A 52018-2022.docx")</f>
        <v/>
      </c>
    </row>
    <row r="1085" ht="15" customHeight="1">
      <c r="A1085" t="inlineStr">
        <is>
          <t>A 52328-2022</t>
        </is>
      </c>
      <c r="B1085" s="1" t="n">
        <v>44873</v>
      </c>
      <c r="C1085" s="1" t="n">
        <v>45182</v>
      </c>
      <c r="D1085" t="inlineStr">
        <is>
          <t>JÄMTLANDS LÄN</t>
        </is>
      </c>
      <c r="E1085" t="inlineStr">
        <is>
          <t>HÄRJEDALEN</t>
        </is>
      </c>
      <c r="G1085" t="n">
        <v>30.5</v>
      </c>
      <c r="H1085" t="n">
        <v>0</v>
      </c>
      <c r="I1085" t="n">
        <v>0</v>
      </c>
      <c r="J1085" t="n">
        <v>1</v>
      </c>
      <c r="K1085" t="n">
        <v>0</v>
      </c>
      <c r="L1085" t="n">
        <v>0</v>
      </c>
      <c r="M1085" t="n">
        <v>0</v>
      </c>
      <c r="N1085" t="n">
        <v>0</v>
      </c>
      <c r="O1085" t="n">
        <v>1</v>
      </c>
      <c r="P1085" t="n">
        <v>0</v>
      </c>
      <c r="Q1085" t="n">
        <v>1</v>
      </c>
      <c r="R1085" s="2" t="inlineStr">
        <is>
          <t>Stjärntagging</t>
        </is>
      </c>
      <c r="S1085">
        <f>HYPERLINK("https://klasma.github.io/Logging_HARJEDALEN/artfynd/A 52328-2022.xlsx")</f>
        <v/>
      </c>
      <c r="T1085">
        <f>HYPERLINK("https://klasma.github.io/Logging_HARJEDALEN/kartor/A 52328-2022.png")</f>
        <v/>
      </c>
      <c r="V1085">
        <f>HYPERLINK("https://klasma.github.io/Logging_HARJEDALEN/klagomål/A 52328-2022.docx")</f>
        <v/>
      </c>
      <c r="W1085">
        <f>HYPERLINK("https://klasma.github.io/Logging_HARJEDALEN/klagomålsmail/A 52328-2022.docx")</f>
        <v/>
      </c>
      <c r="X1085">
        <f>HYPERLINK("https://klasma.github.io/Logging_HARJEDALEN/tillsyn/A 52328-2022.docx")</f>
        <v/>
      </c>
      <c r="Y1085">
        <f>HYPERLINK("https://klasma.github.io/Logging_HARJEDALEN/tillsynsmail/A 52328-2022.docx")</f>
        <v/>
      </c>
    </row>
    <row r="1086" ht="15" customHeight="1">
      <c r="A1086" t="inlineStr">
        <is>
          <t>A 53014-2022</t>
        </is>
      </c>
      <c r="B1086" s="1" t="n">
        <v>44875</v>
      </c>
      <c r="C1086" s="1" t="n">
        <v>45182</v>
      </c>
      <c r="D1086" t="inlineStr">
        <is>
          <t>JÄMTLANDS LÄN</t>
        </is>
      </c>
      <c r="E1086" t="inlineStr">
        <is>
          <t>BERG</t>
        </is>
      </c>
      <c r="F1086" t="inlineStr">
        <is>
          <t>SCA</t>
        </is>
      </c>
      <c r="G1086" t="n">
        <v>13</v>
      </c>
      <c r="H1086" t="n">
        <v>0</v>
      </c>
      <c r="I1086" t="n">
        <v>0</v>
      </c>
      <c r="J1086" t="n">
        <v>0</v>
      </c>
      <c r="K1086" t="n">
        <v>1</v>
      </c>
      <c r="L1086" t="n">
        <v>0</v>
      </c>
      <c r="M1086" t="n">
        <v>0</v>
      </c>
      <c r="N1086" t="n">
        <v>0</v>
      </c>
      <c r="O1086" t="n">
        <v>1</v>
      </c>
      <c r="P1086" t="n">
        <v>1</v>
      </c>
      <c r="Q1086" t="n">
        <v>1</v>
      </c>
      <c r="R1086" s="2" t="inlineStr">
        <is>
          <t>Gräddporing</t>
        </is>
      </c>
      <c r="S1086">
        <f>HYPERLINK("https://klasma.github.io/Logging_BERG/artfynd/A 53014-2022.xlsx")</f>
        <v/>
      </c>
      <c r="T1086">
        <f>HYPERLINK("https://klasma.github.io/Logging_BERG/kartor/A 53014-2022.png")</f>
        <v/>
      </c>
      <c r="V1086">
        <f>HYPERLINK("https://klasma.github.io/Logging_BERG/klagomål/A 53014-2022.docx")</f>
        <v/>
      </c>
      <c r="W1086">
        <f>HYPERLINK("https://klasma.github.io/Logging_BERG/klagomålsmail/A 53014-2022.docx")</f>
        <v/>
      </c>
      <c r="X1086">
        <f>HYPERLINK("https://klasma.github.io/Logging_BERG/tillsyn/A 53014-2022.docx")</f>
        <v/>
      </c>
      <c r="Y1086">
        <f>HYPERLINK("https://klasma.github.io/Logging_BERG/tillsynsmail/A 53014-2022.docx")</f>
        <v/>
      </c>
    </row>
    <row r="1087" ht="15" customHeight="1">
      <c r="A1087" t="inlineStr">
        <is>
          <t>A 53280-2022</t>
        </is>
      </c>
      <c r="B1087" s="1" t="n">
        <v>44876</v>
      </c>
      <c r="C1087" s="1" t="n">
        <v>45182</v>
      </c>
      <c r="D1087" t="inlineStr">
        <is>
          <t>JÄMTLANDS LÄN</t>
        </is>
      </c>
      <c r="E1087" t="inlineStr">
        <is>
          <t>BRÄCKE</t>
        </is>
      </c>
      <c r="F1087" t="inlineStr">
        <is>
          <t>SCA</t>
        </is>
      </c>
      <c r="G1087" t="n">
        <v>2</v>
      </c>
      <c r="H1087" t="n">
        <v>0</v>
      </c>
      <c r="I1087" t="n">
        <v>1</v>
      </c>
      <c r="J1087" t="n">
        <v>0</v>
      </c>
      <c r="K1087" t="n">
        <v>0</v>
      </c>
      <c r="L1087" t="n">
        <v>0</v>
      </c>
      <c r="M1087" t="n">
        <v>0</v>
      </c>
      <c r="N1087" t="n">
        <v>0</v>
      </c>
      <c r="O1087" t="n">
        <v>0</v>
      </c>
      <c r="P1087" t="n">
        <v>0</v>
      </c>
      <c r="Q1087" t="n">
        <v>1</v>
      </c>
      <c r="R1087" s="2" t="inlineStr">
        <is>
          <t>Stuplav</t>
        </is>
      </c>
      <c r="S1087">
        <f>HYPERLINK("https://klasma.github.io/Logging_BRACKE/artfynd/A 53280-2022.xlsx")</f>
        <v/>
      </c>
      <c r="T1087">
        <f>HYPERLINK("https://klasma.github.io/Logging_BRACKE/kartor/A 53280-2022.png")</f>
        <v/>
      </c>
      <c r="V1087">
        <f>HYPERLINK("https://klasma.github.io/Logging_BRACKE/klagomål/A 53280-2022.docx")</f>
        <v/>
      </c>
      <c r="W1087">
        <f>HYPERLINK("https://klasma.github.io/Logging_BRACKE/klagomålsmail/A 53280-2022.docx")</f>
        <v/>
      </c>
      <c r="X1087">
        <f>HYPERLINK("https://klasma.github.io/Logging_BRACKE/tillsyn/A 53280-2022.docx")</f>
        <v/>
      </c>
      <c r="Y1087">
        <f>HYPERLINK("https://klasma.github.io/Logging_BRACKE/tillsynsmail/A 53280-2022.docx")</f>
        <v/>
      </c>
    </row>
    <row r="1088" ht="15" customHeight="1">
      <c r="A1088" t="inlineStr">
        <is>
          <t>A 56084-2022</t>
        </is>
      </c>
      <c r="B1088" s="1" t="n">
        <v>44886</v>
      </c>
      <c r="C1088" s="1" t="n">
        <v>45182</v>
      </c>
      <c r="D1088" t="inlineStr">
        <is>
          <t>JÄMTLANDS LÄN</t>
        </is>
      </c>
      <c r="E1088" t="inlineStr">
        <is>
          <t>HÄRJEDALEN</t>
        </is>
      </c>
      <c r="F1088" t="inlineStr">
        <is>
          <t>Övriga statliga verk och myndigheter</t>
        </is>
      </c>
      <c r="G1088" t="n">
        <v>18.6</v>
      </c>
      <c r="H1088" t="n">
        <v>0</v>
      </c>
      <c r="I1088" t="n">
        <v>0</v>
      </c>
      <c r="J1088" t="n">
        <v>1</v>
      </c>
      <c r="K1088" t="n">
        <v>0</v>
      </c>
      <c r="L1088" t="n">
        <v>0</v>
      </c>
      <c r="M1088" t="n">
        <v>0</v>
      </c>
      <c r="N1088" t="n">
        <v>0</v>
      </c>
      <c r="O1088" t="n">
        <v>1</v>
      </c>
      <c r="P1088" t="n">
        <v>0</v>
      </c>
      <c r="Q1088" t="n">
        <v>1</v>
      </c>
      <c r="R1088" s="2" t="inlineStr">
        <is>
          <t>Dvärgbägarlav</t>
        </is>
      </c>
      <c r="S1088">
        <f>HYPERLINK("https://klasma.github.io/Logging_HARJEDALEN/artfynd/A 56084-2022.xlsx")</f>
        <v/>
      </c>
      <c r="T1088">
        <f>HYPERLINK("https://klasma.github.io/Logging_HARJEDALEN/kartor/A 56084-2022.png")</f>
        <v/>
      </c>
      <c r="V1088">
        <f>HYPERLINK("https://klasma.github.io/Logging_HARJEDALEN/klagomål/A 56084-2022.docx")</f>
        <v/>
      </c>
      <c r="W1088">
        <f>HYPERLINK("https://klasma.github.io/Logging_HARJEDALEN/klagomålsmail/A 56084-2022.docx")</f>
        <v/>
      </c>
      <c r="X1088">
        <f>HYPERLINK("https://klasma.github.io/Logging_HARJEDALEN/tillsyn/A 56084-2022.docx")</f>
        <v/>
      </c>
      <c r="Y1088">
        <f>HYPERLINK("https://klasma.github.io/Logging_HARJEDALEN/tillsynsmail/A 56084-2022.docx")</f>
        <v/>
      </c>
    </row>
    <row r="1089" ht="15" customHeight="1">
      <c r="A1089" t="inlineStr">
        <is>
          <t>A 55530-2022</t>
        </is>
      </c>
      <c r="B1089" s="1" t="n">
        <v>44887</v>
      </c>
      <c r="C1089" s="1" t="n">
        <v>45182</v>
      </c>
      <c r="D1089" t="inlineStr">
        <is>
          <t>JÄMTLANDS LÄN</t>
        </is>
      </c>
      <c r="E1089" t="inlineStr">
        <is>
          <t>STRÖMSUND</t>
        </is>
      </c>
      <c r="F1089" t="inlineStr">
        <is>
          <t>SCA</t>
        </is>
      </c>
      <c r="G1089" t="n">
        <v>5.5</v>
      </c>
      <c r="H1089" t="n">
        <v>0</v>
      </c>
      <c r="I1089" t="n">
        <v>0</v>
      </c>
      <c r="J1089" t="n">
        <v>1</v>
      </c>
      <c r="K1089" t="n">
        <v>0</v>
      </c>
      <c r="L1089" t="n">
        <v>0</v>
      </c>
      <c r="M1089" t="n">
        <v>0</v>
      </c>
      <c r="N1089" t="n">
        <v>0</v>
      </c>
      <c r="O1089" t="n">
        <v>1</v>
      </c>
      <c r="P1089" t="n">
        <v>0</v>
      </c>
      <c r="Q1089" t="n">
        <v>1</v>
      </c>
      <c r="R1089" s="2" t="inlineStr">
        <is>
          <t>Lunglav</t>
        </is>
      </c>
      <c r="S1089">
        <f>HYPERLINK("https://klasma.github.io/Logging_STROMSUND/artfynd/A 55530-2022.xlsx")</f>
        <v/>
      </c>
      <c r="T1089">
        <f>HYPERLINK("https://klasma.github.io/Logging_STROMSUND/kartor/A 55530-2022.png")</f>
        <v/>
      </c>
      <c r="V1089">
        <f>HYPERLINK("https://klasma.github.io/Logging_STROMSUND/klagomål/A 55530-2022.docx")</f>
        <v/>
      </c>
      <c r="W1089">
        <f>HYPERLINK("https://klasma.github.io/Logging_STROMSUND/klagomålsmail/A 55530-2022.docx")</f>
        <v/>
      </c>
      <c r="X1089">
        <f>HYPERLINK("https://klasma.github.io/Logging_STROMSUND/tillsyn/A 55530-2022.docx")</f>
        <v/>
      </c>
      <c r="Y1089">
        <f>HYPERLINK("https://klasma.github.io/Logging_STROMSUND/tillsynsmail/A 55530-2022.docx")</f>
        <v/>
      </c>
    </row>
    <row r="1090" ht="15" customHeight="1">
      <c r="A1090" t="inlineStr">
        <is>
          <t>A 55805-2022</t>
        </is>
      </c>
      <c r="B1090" s="1" t="n">
        <v>44888</v>
      </c>
      <c r="C1090" s="1" t="n">
        <v>45182</v>
      </c>
      <c r="D1090" t="inlineStr">
        <is>
          <t>JÄMTLANDS LÄN</t>
        </is>
      </c>
      <c r="E1090" t="inlineStr">
        <is>
          <t>ÅRE</t>
        </is>
      </c>
      <c r="F1090" t="inlineStr">
        <is>
          <t>Övriga Aktiebolag</t>
        </is>
      </c>
      <c r="G1090" t="n">
        <v>17.7</v>
      </c>
      <c r="H1090" t="n">
        <v>1</v>
      </c>
      <c r="I1090" t="n">
        <v>0</v>
      </c>
      <c r="J1090" t="n">
        <v>1</v>
      </c>
      <c r="K1090" t="n">
        <v>0</v>
      </c>
      <c r="L1090" t="n">
        <v>0</v>
      </c>
      <c r="M1090" t="n">
        <v>0</v>
      </c>
      <c r="N1090" t="n">
        <v>0</v>
      </c>
      <c r="O1090" t="n">
        <v>1</v>
      </c>
      <c r="P1090" t="n">
        <v>0</v>
      </c>
      <c r="Q1090" t="n">
        <v>1</v>
      </c>
      <c r="R1090" s="2" t="inlineStr">
        <is>
          <t>Tretåig hackspett</t>
        </is>
      </c>
      <c r="S1090">
        <f>HYPERLINK("https://klasma.github.io/Logging_ARE/artfynd/A 55805-2022.xlsx")</f>
        <v/>
      </c>
      <c r="T1090">
        <f>HYPERLINK("https://klasma.github.io/Logging_ARE/kartor/A 55805-2022.png")</f>
        <v/>
      </c>
      <c r="V1090">
        <f>HYPERLINK("https://klasma.github.io/Logging_ARE/klagomål/A 55805-2022.docx")</f>
        <v/>
      </c>
      <c r="W1090">
        <f>HYPERLINK("https://klasma.github.io/Logging_ARE/klagomålsmail/A 55805-2022.docx")</f>
        <v/>
      </c>
      <c r="X1090">
        <f>HYPERLINK("https://klasma.github.io/Logging_ARE/tillsyn/A 55805-2022.docx")</f>
        <v/>
      </c>
      <c r="Y1090">
        <f>HYPERLINK("https://klasma.github.io/Logging_ARE/tillsynsmail/A 55805-2022.docx")</f>
        <v/>
      </c>
    </row>
    <row r="1091" ht="15" customHeight="1">
      <c r="A1091" t="inlineStr">
        <is>
          <t>A 56195-2022</t>
        </is>
      </c>
      <c r="B1091" s="1" t="n">
        <v>44889</v>
      </c>
      <c r="C1091" s="1" t="n">
        <v>45182</v>
      </c>
      <c r="D1091" t="inlineStr">
        <is>
          <t>JÄMTLANDS LÄN</t>
        </is>
      </c>
      <c r="E1091" t="inlineStr">
        <is>
          <t>STRÖMSUND</t>
        </is>
      </c>
      <c r="F1091" t="inlineStr">
        <is>
          <t>SCA</t>
        </is>
      </c>
      <c r="G1091" t="n">
        <v>11.7</v>
      </c>
      <c r="H1091" t="n">
        <v>0</v>
      </c>
      <c r="I1091" t="n">
        <v>0</v>
      </c>
      <c r="J1091" t="n">
        <v>1</v>
      </c>
      <c r="K1091" t="n">
        <v>0</v>
      </c>
      <c r="L1091" t="n">
        <v>0</v>
      </c>
      <c r="M1091" t="n">
        <v>0</v>
      </c>
      <c r="N1091" t="n">
        <v>0</v>
      </c>
      <c r="O1091" t="n">
        <v>1</v>
      </c>
      <c r="P1091" t="n">
        <v>0</v>
      </c>
      <c r="Q1091" t="n">
        <v>1</v>
      </c>
      <c r="R1091" s="2" t="inlineStr">
        <is>
          <t>Skrovellav</t>
        </is>
      </c>
      <c r="S1091">
        <f>HYPERLINK("https://klasma.github.io/Logging_STROMSUND/artfynd/A 56195-2022.xlsx")</f>
        <v/>
      </c>
      <c r="T1091">
        <f>HYPERLINK("https://klasma.github.io/Logging_STROMSUND/kartor/A 56195-2022.png")</f>
        <v/>
      </c>
      <c r="V1091">
        <f>HYPERLINK("https://klasma.github.io/Logging_STROMSUND/klagomål/A 56195-2022.docx")</f>
        <v/>
      </c>
      <c r="W1091">
        <f>HYPERLINK("https://klasma.github.io/Logging_STROMSUND/klagomålsmail/A 56195-2022.docx")</f>
        <v/>
      </c>
      <c r="X1091">
        <f>HYPERLINK("https://klasma.github.io/Logging_STROMSUND/tillsyn/A 56195-2022.docx")</f>
        <v/>
      </c>
      <c r="Y1091">
        <f>HYPERLINK("https://klasma.github.io/Logging_STROMSUND/tillsynsmail/A 56195-2022.docx")</f>
        <v/>
      </c>
    </row>
    <row r="1092" ht="15" customHeight="1">
      <c r="A1092" t="inlineStr">
        <is>
          <t>A 56245-2022</t>
        </is>
      </c>
      <c r="B1092" s="1" t="n">
        <v>44890</v>
      </c>
      <c r="C1092" s="1" t="n">
        <v>45182</v>
      </c>
      <c r="D1092" t="inlineStr">
        <is>
          <t>JÄMTLANDS LÄN</t>
        </is>
      </c>
      <c r="E1092" t="inlineStr">
        <is>
          <t>ÖSTERSUND</t>
        </is>
      </c>
      <c r="F1092" t="inlineStr">
        <is>
          <t>Övriga Aktiebolag</t>
        </is>
      </c>
      <c r="G1092" t="n">
        <v>10.6</v>
      </c>
      <c r="H1092" t="n">
        <v>0</v>
      </c>
      <c r="I1092" t="n">
        <v>0</v>
      </c>
      <c r="J1092" t="n">
        <v>1</v>
      </c>
      <c r="K1092" t="n">
        <v>0</v>
      </c>
      <c r="L1092" t="n">
        <v>0</v>
      </c>
      <c r="M1092" t="n">
        <v>0</v>
      </c>
      <c r="N1092" t="n">
        <v>0</v>
      </c>
      <c r="O1092" t="n">
        <v>1</v>
      </c>
      <c r="P1092" t="n">
        <v>0</v>
      </c>
      <c r="Q1092" t="n">
        <v>1</v>
      </c>
      <c r="R1092" s="2" t="inlineStr">
        <is>
          <t>Garnlav</t>
        </is>
      </c>
      <c r="S1092">
        <f>HYPERLINK("https://klasma.github.io/Logging_OSTERSUND/artfynd/A 56245-2022.xlsx")</f>
        <v/>
      </c>
      <c r="T1092">
        <f>HYPERLINK("https://klasma.github.io/Logging_OSTERSUND/kartor/A 56245-2022.png")</f>
        <v/>
      </c>
      <c r="V1092">
        <f>HYPERLINK("https://klasma.github.io/Logging_OSTERSUND/klagomål/A 56245-2022.docx")</f>
        <v/>
      </c>
      <c r="W1092">
        <f>HYPERLINK("https://klasma.github.io/Logging_OSTERSUND/klagomålsmail/A 56245-2022.docx")</f>
        <v/>
      </c>
      <c r="X1092">
        <f>HYPERLINK("https://klasma.github.io/Logging_OSTERSUND/tillsyn/A 56245-2022.docx")</f>
        <v/>
      </c>
      <c r="Y1092">
        <f>HYPERLINK("https://klasma.github.io/Logging_OSTERSUND/tillsynsmail/A 56245-2022.docx")</f>
        <v/>
      </c>
    </row>
    <row r="1093" ht="15" customHeight="1">
      <c r="A1093" t="inlineStr">
        <is>
          <t>A 56603-2022</t>
        </is>
      </c>
      <c r="B1093" s="1" t="n">
        <v>44893</v>
      </c>
      <c r="C1093" s="1" t="n">
        <v>45182</v>
      </c>
      <c r="D1093" t="inlineStr">
        <is>
          <t>JÄMTLANDS LÄN</t>
        </is>
      </c>
      <c r="E1093" t="inlineStr">
        <is>
          <t>ÅRE</t>
        </is>
      </c>
      <c r="F1093" t="inlineStr">
        <is>
          <t>Övriga Aktiebolag</t>
        </is>
      </c>
      <c r="G1093" t="n">
        <v>14.3</v>
      </c>
      <c r="H1093" t="n">
        <v>1</v>
      </c>
      <c r="I1093" t="n">
        <v>0</v>
      </c>
      <c r="J1093" t="n">
        <v>1</v>
      </c>
      <c r="K1093" t="n">
        <v>0</v>
      </c>
      <c r="L1093" t="n">
        <v>0</v>
      </c>
      <c r="M1093" t="n">
        <v>0</v>
      </c>
      <c r="N1093" t="n">
        <v>0</v>
      </c>
      <c r="O1093" t="n">
        <v>1</v>
      </c>
      <c r="P1093" t="n">
        <v>0</v>
      </c>
      <c r="Q1093" t="n">
        <v>1</v>
      </c>
      <c r="R1093" s="2" t="inlineStr">
        <is>
          <t>Talltita</t>
        </is>
      </c>
      <c r="S1093">
        <f>HYPERLINK("https://klasma.github.io/Logging_ARE/artfynd/A 56603-2022.xlsx")</f>
        <v/>
      </c>
      <c r="T1093">
        <f>HYPERLINK("https://klasma.github.io/Logging_ARE/kartor/A 56603-2022.png")</f>
        <v/>
      </c>
      <c r="V1093">
        <f>HYPERLINK("https://klasma.github.io/Logging_ARE/klagomål/A 56603-2022.docx")</f>
        <v/>
      </c>
      <c r="W1093">
        <f>HYPERLINK("https://klasma.github.io/Logging_ARE/klagomålsmail/A 56603-2022.docx")</f>
        <v/>
      </c>
      <c r="X1093">
        <f>HYPERLINK("https://klasma.github.io/Logging_ARE/tillsyn/A 56603-2022.docx")</f>
        <v/>
      </c>
      <c r="Y1093">
        <f>HYPERLINK("https://klasma.github.io/Logging_ARE/tillsynsmail/A 56603-2022.docx")</f>
        <v/>
      </c>
    </row>
    <row r="1094" ht="15" customHeight="1">
      <c r="A1094" t="inlineStr">
        <is>
          <t>A 56735-2022</t>
        </is>
      </c>
      <c r="B1094" s="1" t="n">
        <v>44893</v>
      </c>
      <c r="C1094" s="1" t="n">
        <v>45182</v>
      </c>
      <c r="D1094" t="inlineStr">
        <is>
          <t>JÄMTLANDS LÄN</t>
        </is>
      </c>
      <c r="E1094" t="inlineStr">
        <is>
          <t>STRÖMSUND</t>
        </is>
      </c>
      <c r="F1094" t="inlineStr">
        <is>
          <t>SCA</t>
        </is>
      </c>
      <c r="G1094" t="n">
        <v>1.4</v>
      </c>
      <c r="H1094" t="n">
        <v>0</v>
      </c>
      <c r="I1094" t="n">
        <v>0</v>
      </c>
      <c r="J1094" t="n">
        <v>1</v>
      </c>
      <c r="K1094" t="n">
        <v>0</v>
      </c>
      <c r="L1094" t="n">
        <v>0</v>
      </c>
      <c r="M1094" t="n">
        <v>0</v>
      </c>
      <c r="N1094" t="n">
        <v>0</v>
      </c>
      <c r="O1094" t="n">
        <v>1</v>
      </c>
      <c r="P1094" t="n">
        <v>0</v>
      </c>
      <c r="Q1094" t="n">
        <v>1</v>
      </c>
      <c r="R1094" s="2" t="inlineStr">
        <is>
          <t>Granticka</t>
        </is>
      </c>
      <c r="S1094">
        <f>HYPERLINK("https://klasma.github.io/Logging_STROMSUND/artfynd/A 56735-2022.xlsx")</f>
        <v/>
      </c>
      <c r="T1094">
        <f>HYPERLINK("https://klasma.github.io/Logging_STROMSUND/kartor/A 56735-2022.png")</f>
        <v/>
      </c>
      <c r="V1094">
        <f>HYPERLINK("https://klasma.github.io/Logging_STROMSUND/klagomål/A 56735-2022.docx")</f>
        <v/>
      </c>
      <c r="W1094">
        <f>HYPERLINK("https://klasma.github.io/Logging_STROMSUND/klagomålsmail/A 56735-2022.docx")</f>
        <v/>
      </c>
      <c r="X1094">
        <f>HYPERLINK("https://klasma.github.io/Logging_STROMSUND/tillsyn/A 56735-2022.docx")</f>
        <v/>
      </c>
      <c r="Y1094">
        <f>HYPERLINK("https://klasma.github.io/Logging_STROMSUND/tillsynsmail/A 56735-2022.docx")</f>
        <v/>
      </c>
    </row>
    <row r="1095" ht="15" customHeight="1">
      <c r="A1095" t="inlineStr">
        <is>
          <t>A 56883-2022</t>
        </is>
      </c>
      <c r="B1095" s="1" t="n">
        <v>44894</v>
      </c>
      <c r="C1095" s="1" t="n">
        <v>45182</v>
      </c>
      <c r="D1095" t="inlineStr">
        <is>
          <t>JÄMTLANDS LÄN</t>
        </is>
      </c>
      <c r="E1095" t="inlineStr">
        <is>
          <t>STRÖMSUND</t>
        </is>
      </c>
      <c r="F1095" t="inlineStr">
        <is>
          <t>Holmen skog AB</t>
        </is>
      </c>
      <c r="G1095" t="n">
        <v>3.1</v>
      </c>
      <c r="H1095" t="n">
        <v>1</v>
      </c>
      <c r="I1095" t="n">
        <v>0</v>
      </c>
      <c r="J1095" t="n">
        <v>0</v>
      </c>
      <c r="K1095" t="n">
        <v>1</v>
      </c>
      <c r="L1095" t="n">
        <v>0</v>
      </c>
      <c r="M1095" t="n">
        <v>0</v>
      </c>
      <c r="N1095" t="n">
        <v>0</v>
      </c>
      <c r="O1095" t="n">
        <v>1</v>
      </c>
      <c r="P1095" t="n">
        <v>1</v>
      </c>
      <c r="Q1095" t="n">
        <v>1</v>
      </c>
      <c r="R1095" s="2" t="inlineStr">
        <is>
          <t>Knärot</t>
        </is>
      </c>
      <c r="S1095">
        <f>HYPERLINK("https://klasma.github.io/Logging_STROMSUND/artfynd/A 56883-2022.xlsx")</f>
        <v/>
      </c>
      <c r="T1095">
        <f>HYPERLINK("https://klasma.github.io/Logging_STROMSUND/kartor/A 56883-2022.png")</f>
        <v/>
      </c>
      <c r="U1095">
        <f>HYPERLINK("https://klasma.github.io/Logging_STROMSUND/knärot/A 56883-2022.png")</f>
        <v/>
      </c>
      <c r="V1095">
        <f>HYPERLINK("https://klasma.github.io/Logging_STROMSUND/klagomål/A 56883-2022.docx")</f>
        <v/>
      </c>
      <c r="W1095">
        <f>HYPERLINK("https://klasma.github.io/Logging_STROMSUND/klagomålsmail/A 56883-2022.docx")</f>
        <v/>
      </c>
      <c r="X1095">
        <f>HYPERLINK("https://klasma.github.io/Logging_STROMSUND/tillsyn/A 56883-2022.docx")</f>
        <v/>
      </c>
      <c r="Y1095">
        <f>HYPERLINK("https://klasma.github.io/Logging_STROMSUND/tillsynsmail/A 56883-2022.docx")</f>
        <v/>
      </c>
    </row>
    <row r="1096" ht="15" customHeight="1">
      <c r="A1096" t="inlineStr">
        <is>
          <t>A 58181-2022</t>
        </is>
      </c>
      <c r="B1096" s="1" t="n">
        <v>44900</v>
      </c>
      <c r="C1096" s="1" t="n">
        <v>45182</v>
      </c>
      <c r="D1096" t="inlineStr">
        <is>
          <t>JÄMTLANDS LÄN</t>
        </is>
      </c>
      <c r="E1096" t="inlineStr">
        <is>
          <t>ÖSTERSUND</t>
        </is>
      </c>
      <c r="G1096" t="n">
        <v>14.8</v>
      </c>
      <c r="H1096" t="n">
        <v>0</v>
      </c>
      <c r="I1096" t="n">
        <v>1</v>
      </c>
      <c r="J1096" t="n">
        <v>0</v>
      </c>
      <c r="K1096" t="n">
        <v>0</v>
      </c>
      <c r="L1096" t="n">
        <v>0</v>
      </c>
      <c r="M1096" t="n">
        <v>0</v>
      </c>
      <c r="N1096" t="n">
        <v>0</v>
      </c>
      <c r="O1096" t="n">
        <v>0</v>
      </c>
      <c r="P1096" t="n">
        <v>0</v>
      </c>
      <c r="Q1096" t="n">
        <v>1</v>
      </c>
      <c r="R1096" s="2" t="inlineStr">
        <is>
          <t>Finbräken</t>
        </is>
      </c>
      <c r="S1096">
        <f>HYPERLINK("https://klasma.github.io/Logging_OSTERSUND/artfynd/A 58181-2022.xlsx")</f>
        <v/>
      </c>
      <c r="T1096">
        <f>HYPERLINK("https://klasma.github.io/Logging_OSTERSUND/kartor/A 58181-2022.png")</f>
        <v/>
      </c>
      <c r="V1096">
        <f>HYPERLINK("https://klasma.github.io/Logging_OSTERSUND/klagomål/A 58181-2022.docx")</f>
        <v/>
      </c>
      <c r="W1096">
        <f>HYPERLINK("https://klasma.github.io/Logging_OSTERSUND/klagomålsmail/A 58181-2022.docx")</f>
        <v/>
      </c>
      <c r="X1096">
        <f>HYPERLINK("https://klasma.github.io/Logging_OSTERSUND/tillsyn/A 58181-2022.docx")</f>
        <v/>
      </c>
      <c r="Y1096">
        <f>HYPERLINK("https://klasma.github.io/Logging_OSTERSUND/tillsynsmail/A 58181-2022.docx")</f>
        <v/>
      </c>
    </row>
    <row r="1097" ht="15" customHeight="1">
      <c r="A1097" t="inlineStr">
        <is>
          <t>A 59823-2022</t>
        </is>
      </c>
      <c r="B1097" s="1" t="n">
        <v>44900</v>
      </c>
      <c r="C1097" s="1" t="n">
        <v>45182</v>
      </c>
      <c r="D1097" t="inlineStr">
        <is>
          <t>JÄMTLANDS LÄN</t>
        </is>
      </c>
      <c r="E1097" t="inlineStr">
        <is>
          <t>BERG</t>
        </is>
      </c>
      <c r="G1097" t="n">
        <v>14.8</v>
      </c>
      <c r="H1097" t="n">
        <v>0</v>
      </c>
      <c r="I1097" t="n">
        <v>0</v>
      </c>
      <c r="J1097" t="n">
        <v>1</v>
      </c>
      <c r="K1097" t="n">
        <v>0</v>
      </c>
      <c r="L1097" t="n">
        <v>0</v>
      </c>
      <c r="M1097" t="n">
        <v>0</v>
      </c>
      <c r="N1097" t="n">
        <v>0</v>
      </c>
      <c r="O1097" t="n">
        <v>1</v>
      </c>
      <c r="P1097" t="n">
        <v>0</v>
      </c>
      <c r="Q1097" t="n">
        <v>1</v>
      </c>
      <c r="R1097" s="2" t="inlineStr">
        <is>
          <t>Granticka</t>
        </is>
      </c>
      <c r="S1097">
        <f>HYPERLINK("https://klasma.github.io/Logging_BERG/artfynd/A 59823-2022.xlsx")</f>
        <v/>
      </c>
      <c r="T1097">
        <f>HYPERLINK("https://klasma.github.io/Logging_BERG/kartor/A 59823-2022.png")</f>
        <v/>
      </c>
      <c r="V1097">
        <f>HYPERLINK("https://klasma.github.io/Logging_BERG/klagomål/A 59823-2022.docx")</f>
        <v/>
      </c>
      <c r="W1097">
        <f>HYPERLINK("https://klasma.github.io/Logging_BERG/klagomålsmail/A 59823-2022.docx")</f>
        <v/>
      </c>
      <c r="X1097">
        <f>HYPERLINK("https://klasma.github.io/Logging_BERG/tillsyn/A 59823-2022.docx")</f>
        <v/>
      </c>
      <c r="Y1097">
        <f>HYPERLINK("https://klasma.github.io/Logging_BERG/tillsynsmail/A 59823-2022.docx")</f>
        <v/>
      </c>
    </row>
    <row r="1098" ht="15" customHeight="1">
      <c r="A1098" t="inlineStr">
        <is>
          <t>A 60544-2022</t>
        </is>
      </c>
      <c r="B1098" s="1" t="n">
        <v>44904</v>
      </c>
      <c r="C1098" s="1" t="n">
        <v>45182</v>
      </c>
      <c r="D1098" t="inlineStr">
        <is>
          <t>JÄMTLANDS LÄN</t>
        </is>
      </c>
      <c r="E1098" t="inlineStr">
        <is>
          <t>ÅRE</t>
        </is>
      </c>
      <c r="G1098" t="n">
        <v>1.2</v>
      </c>
      <c r="H1098" t="n">
        <v>1</v>
      </c>
      <c r="I1098" t="n">
        <v>0</v>
      </c>
      <c r="J1098" t="n">
        <v>1</v>
      </c>
      <c r="K1098" t="n">
        <v>0</v>
      </c>
      <c r="L1098" t="n">
        <v>0</v>
      </c>
      <c r="M1098" t="n">
        <v>0</v>
      </c>
      <c r="N1098" t="n">
        <v>0</v>
      </c>
      <c r="O1098" t="n">
        <v>1</v>
      </c>
      <c r="P1098" t="n">
        <v>0</v>
      </c>
      <c r="Q1098" t="n">
        <v>1</v>
      </c>
      <c r="R1098" s="2" t="inlineStr">
        <is>
          <t>Järpe</t>
        </is>
      </c>
      <c r="S1098">
        <f>HYPERLINK("https://klasma.github.io/Logging_ARE/artfynd/A 60544-2022.xlsx")</f>
        <v/>
      </c>
      <c r="T1098">
        <f>HYPERLINK("https://klasma.github.io/Logging_ARE/kartor/A 60544-2022.png")</f>
        <v/>
      </c>
      <c r="V1098">
        <f>HYPERLINK("https://klasma.github.io/Logging_ARE/klagomål/A 60544-2022.docx")</f>
        <v/>
      </c>
      <c r="W1098">
        <f>HYPERLINK("https://klasma.github.io/Logging_ARE/klagomålsmail/A 60544-2022.docx")</f>
        <v/>
      </c>
      <c r="X1098">
        <f>HYPERLINK("https://klasma.github.io/Logging_ARE/tillsyn/A 60544-2022.docx")</f>
        <v/>
      </c>
      <c r="Y1098">
        <f>HYPERLINK("https://klasma.github.io/Logging_ARE/tillsynsmail/A 60544-2022.docx")</f>
        <v/>
      </c>
    </row>
    <row r="1099" ht="15" customHeight="1">
      <c r="A1099" t="inlineStr">
        <is>
          <t>A 60533-2022</t>
        </is>
      </c>
      <c r="B1099" s="1" t="n">
        <v>44904</v>
      </c>
      <c r="C1099" s="1" t="n">
        <v>45182</v>
      </c>
      <c r="D1099" t="inlineStr">
        <is>
          <t>JÄMTLANDS LÄN</t>
        </is>
      </c>
      <c r="E1099" t="inlineStr">
        <is>
          <t>ÅRE</t>
        </is>
      </c>
      <c r="G1099" t="n">
        <v>3.6</v>
      </c>
      <c r="H1099" t="n">
        <v>1</v>
      </c>
      <c r="I1099" t="n">
        <v>0</v>
      </c>
      <c r="J1099" t="n">
        <v>1</v>
      </c>
      <c r="K1099" t="n">
        <v>0</v>
      </c>
      <c r="L1099" t="n">
        <v>0</v>
      </c>
      <c r="M1099" t="n">
        <v>0</v>
      </c>
      <c r="N1099" t="n">
        <v>0</v>
      </c>
      <c r="O1099" t="n">
        <v>1</v>
      </c>
      <c r="P1099" t="n">
        <v>0</v>
      </c>
      <c r="Q1099" t="n">
        <v>1</v>
      </c>
      <c r="R1099" s="2" t="inlineStr">
        <is>
          <t>Tretåig hackspett</t>
        </is>
      </c>
      <c r="S1099">
        <f>HYPERLINK("https://klasma.github.io/Logging_ARE/artfynd/A 60533-2022.xlsx")</f>
        <v/>
      </c>
      <c r="T1099">
        <f>HYPERLINK("https://klasma.github.io/Logging_ARE/kartor/A 60533-2022.png")</f>
        <v/>
      </c>
      <c r="V1099">
        <f>HYPERLINK("https://klasma.github.io/Logging_ARE/klagomål/A 60533-2022.docx")</f>
        <v/>
      </c>
      <c r="W1099">
        <f>HYPERLINK("https://klasma.github.io/Logging_ARE/klagomålsmail/A 60533-2022.docx")</f>
        <v/>
      </c>
      <c r="X1099">
        <f>HYPERLINK("https://klasma.github.io/Logging_ARE/tillsyn/A 60533-2022.docx")</f>
        <v/>
      </c>
      <c r="Y1099">
        <f>HYPERLINK("https://klasma.github.io/Logging_ARE/tillsynsmail/A 60533-2022.docx")</f>
        <v/>
      </c>
    </row>
    <row r="1100" ht="15" customHeight="1">
      <c r="A1100" t="inlineStr">
        <is>
          <t>A 59739-2022</t>
        </is>
      </c>
      <c r="B1100" s="1" t="n">
        <v>44908</v>
      </c>
      <c r="C1100" s="1" t="n">
        <v>45182</v>
      </c>
      <c r="D1100" t="inlineStr">
        <is>
          <t>JÄMTLANDS LÄN</t>
        </is>
      </c>
      <c r="E1100" t="inlineStr">
        <is>
          <t>ÖSTERSUND</t>
        </is>
      </c>
      <c r="F1100" t="inlineStr">
        <is>
          <t>Kommuner</t>
        </is>
      </c>
      <c r="G1100" t="n">
        <v>1.9</v>
      </c>
      <c r="H1100" t="n">
        <v>0</v>
      </c>
      <c r="I1100" t="n">
        <v>1</v>
      </c>
      <c r="J1100" t="n">
        <v>0</v>
      </c>
      <c r="K1100" t="n">
        <v>0</v>
      </c>
      <c r="L1100" t="n">
        <v>0</v>
      </c>
      <c r="M1100" t="n">
        <v>0</v>
      </c>
      <c r="N1100" t="n">
        <v>0</v>
      </c>
      <c r="O1100" t="n">
        <v>0</v>
      </c>
      <c r="P1100" t="n">
        <v>0</v>
      </c>
      <c r="Q1100" t="n">
        <v>1</v>
      </c>
      <c r="R1100" s="2" t="inlineStr">
        <is>
          <t>Vedticka</t>
        </is>
      </c>
      <c r="S1100">
        <f>HYPERLINK("https://klasma.github.io/Logging_OSTERSUND/artfynd/A 59739-2022.xlsx")</f>
        <v/>
      </c>
      <c r="T1100">
        <f>HYPERLINK("https://klasma.github.io/Logging_OSTERSUND/kartor/A 59739-2022.png")</f>
        <v/>
      </c>
      <c r="V1100">
        <f>HYPERLINK("https://klasma.github.io/Logging_OSTERSUND/klagomål/A 59739-2022.docx")</f>
        <v/>
      </c>
      <c r="W1100">
        <f>HYPERLINK("https://klasma.github.io/Logging_OSTERSUND/klagomålsmail/A 59739-2022.docx")</f>
        <v/>
      </c>
      <c r="X1100">
        <f>HYPERLINK("https://klasma.github.io/Logging_OSTERSUND/tillsyn/A 59739-2022.docx")</f>
        <v/>
      </c>
      <c r="Y1100">
        <f>HYPERLINK("https://klasma.github.io/Logging_OSTERSUND/tillsynsmail/A 59739-2022.docx")</f>
        <v/>
      </c>
    </row>
    <row r="1101" ht="15" customHeight="1">
      <c r="A1101" t="inlineStr">
        <is>
          <t>A 60435-2022</t>
        </is>
      </c>
      <c r="B1101" s="1" t="n">
        <v>44911</v>
      </c>
      <c r="C1101" s="1" t="n">
        <v>45182</v>
      </c>
      <c r="D1101" t="inlineStr">
        <is>
          <t>JÄMTLANDS LÄN</t>
        </is>
      </c>
      <c r="E1101" t="inlineStr">
        <is>
          <t>ÅRE</t>
        </is>
      </c>
      <c r="F1101" t="inlineStr">
        <is>
          <t>Övriga Aktiebolag</t>
        </is>
      </c>
      <c r="G1101" t="n">
        <v>7.9</v>
      </c>
      <c r="H1101" t="n">
        <v>0</v>
      </c>
      <c r="I1101" t="n">
        <v>1</v>
      </c>
      <c r="J1101" t="n">
        <v>0</v>
      </c>
      <c r="K1101" t="n">
        <v>0</v>
      </c>
      <c r="L1101" t="n">
        <v>0</v>
      </c>
      <c r="M1101" t="n">
        <v>0</v>
      </c>
      <c r="N1101" t="n">
        <v>0</v>
      </c>
      <c r="O1101" t="n">
        <v>0</v>
      </c>
      <c r="P1101" t="n">
        <v>0</v>
      </c>
      <c r="Q1101" t="n">
        <v>1</v>
      </c>
      <c r="R1101" s="2" t="inlineStr">
        <is>
          <t>Kransrams</t>
        </is>
      </c>
      <c r="S1101">
        <f>HYPERLINK("https://klasma.github.io/Logging_ARE/artfynd/A 60435-2022.xlsx")</f>
        <v/>
      </c>
      <c r="T1101">
        <f>HYPERLINK("https://klasma.github.io/Logging_ARE/kartor/A 60435-2022.png")</f>
        <v/>
      </c>
      <c r="V1101">
        <f>HYPERLINK("https://klasma.github.io/Logging_ARE/klagomål/A 60435-2022.docx")</f>
        <v/>
      </c>
      <c r="W1101">
        <f>HYPERLINK("https://klasma.github.io/Logging_ARE/klagomålsmail/A 60435-2022.docx")</f>
        <v/>
      </c>
      <c r="X1101">
        <f>HYPERLINK("https://klasma.github.io/Logging_ARE/tillsyn/A 60435-2022.docx")</f>
        <v/>
      </c>
      <c r="Y1101">
        <f>HYPERLINK("https://klasma.github.io/Logging_ARE/tillsynsmail/A 60435-2022.docx")</f>
        <v/>
      </c>
    </row>
    <row r="1102" ht="15" customHeight="1">
      <c r="A1102" t="inlineStr">
        <is>
          <t>A 61381-2022</t>
        </is>
      </c>
      <c r="B1102" s="1" t="n">
        <v>44915</v>
      </c>
      <c r="C1102" s="1" t="n">
        <v>45182</v>
      </c>
      <c r="D1102" t="inlineStr">
        <is>
          <t>JÄMTLANDS LÄN</t>
        </is>
      </c>
      <c r="E1102" t="inlineStr">
        <is>
          <t>STRÖMSUND</t>
        </is>
      </c>
      <c r="G1102" t="n">
        <v>8.1</v>
      </c>
      <c r="H1102" t="n">
        <v>0</v>
      </c>
      <c r="I1102" t="n">
        <v>0</v>
      </c>
      <c r="J1102" t="n">
        <v>1</v>
      </c>
      <c r="K1102" t="n">
        <v>0</v>
      </c>
      <c r="L1102" t="n">
        <v>0</v>
      </c>
      <c r="M1102" t="n">
        <v>0</v>
      </c>
      <c r="N1102" t="n">
        <v>0</v>
      </c>
      <c r="O1102" t="n">
        <v>1</v>
      </c>
      <c r="P1102" t="n">
        <v>0</v>
      </c>
      <c r="Q1102" t="n">
        <v>1</v>
      </c>
      <c r="R1102" s="2" t="inlineStr">
        <is>
          <t>Granticka</t>
        </is>
      </c>
      <c r="S1102">
        <f>HYPERLINK("https://klasma.github.io/Logging_STROMSUND/artfynd/A 61381-2022.xlsx")</f>
        <v/>
      </c>
      <c r="T1102">
        <f>HYPERLINK("https://klasma.github.io/Logging_STROMSUND/kartor/A 61381-2022.png")</f>
        <v/>
      </c>
      <c r="V1102">
        <f>HYPERLINK("https://klasma.github.io/Logging_STROMSUND/klagomål/A 61381-2022.docx")</f>
        <v/>
      </c>
      <c r="W1102">
        <f>HYPERLINK("https://klasma.github.io/Logging_STROMSUND/klagomålsmail/A 61381-2022.docx")</f>
        <v/>
      </c>
      <c r="X1102">
        <f>HYPERLINK("https://klasma.github.io/Logging_STROMSUND/tillsyn/A 61381-2022.docx")</f>
        <v/>
      </c>
      <c r="Y1102">
        <f>HYPERLINK("https://klasma.github.io/Logging_STROMSUND/tillsynsmail/A 61381-2022.docx")</f>
        <v/>
      </c>
    </row>
    <row r="1103" ht="15" customHeight="1">
      <c r="A1103" t="inlineStr">
        <is>
          <t>A 62079-2022</t>
        </is>
      </c>
      <c r="B1103" s="1" t="n">
        <v>44918</v>
      </c>
      <c r="C1103" s="1" t="n">
        <v>45182</v>
      </c>
      <c r="D1103" t="inlineStr">
        <is>
          <t>JÄMTLANDS LÄN</t>
        </is>
      </c>
      <c r="E1103" t="inlineStr">
        <is>
          <t>BRÄCKE</t>
        </is>
      </c>
      <c r="F1103" t="inlineStr">
        <is>
          <t>SCA</t>
        </is>
      </c>
      <c r="G1103" t="n">
        <v>3</v>
      </c>
      <c r="H1103" t="n">
        <v>0</v>
      </c>
      <c r="I1103" t="n">
        <v>0</v>
      </c>
      <c r="J1103" t="n">
        <v>1</v>
      </c>
      <c r="K1103" t="n">
        <v>0</v>
      </c>
      <c r="L1103" t="n">
        <v>0</v>
      </c>
      <c r="M1103" t="n">
        <v>0</v>
      </c>
      <c r="N1103" t="n">
        <v>0</v>
      </c>
      <c r="O1103" t="n">
        <v>1</v>
      </c>
      <c r="P1103" t="n">
        <v>0</v>
      </c>
      <c r="Q1103" t="n">
        <v>1</v>
      </c>
      <c r="R1103" s="2" t="inlineStr">
        <is>
          <t>Garnlav</t>
        </is>
      </c>
      <c r="S1103">
        <f>HYPERLINK("https://klasma.github.io/Logging_BRACKE/artfynd/A 62079-2022.xlsx")</f>
        <v/>
      </c>
      <c r="T1103">
        <f>HYPERLINK("https://klasma.github.io/Logging_BRACKE/kartor/A 62079-2022.png")</f>
        <v/>
      </c>
      <c r="V1103">
        <f>HYPERLINK("https://klasma.github.io/Logging_BRACKE/klagomål/A 62079-2022.docx")</f>
        <v/>
      </c>
      <c r="W1103">
        <f>HYPERLINK("https://klasma.github.io/Logging_BRACKE/klagomålsmail/A 62079-2022.docx")</f>
        <v/>
      </c>
      <c r="X1103">
        <f>HYPERLINK("https://klasma.github.io/Logging_BRACKE/tillsyn/A 62079-2022.docx")</f>
        <v/>
      </c>
      <c r="Y1103">
        <f>HYPERLINK("https://klasma.github.io/Logging_BRACKE/tillsynsmail/A 62079-2022.docx")</f>
        <v/>
      </c>
    </row>
    <row r="1104" ht="15" customHeight="1">
      <c r="A1104" t="inlineStr">
        <is>
          <t>A 27-2023</t>
        </is>
      </c>
      <c r="B1104" s="1" t="n">
        <v>44928</v>
      </c>
      <c r="C1104" s="1" t="n">
        <v>45182</v>
      </c>
      <c r="D1104" t="inlineStr">
        <is>
          <t>JÄMTLANDS LÄN</t>
        </is>
      </c>
      <c r="E1104" t="inlineStr">
        <is>
          <t>STRÖMSUND</t>
        </is>
      </c>
      <c r="F1104" t="inlineStr">
        <is>
          <t>Sveaskog</t>
        </is>
      </c>
      <c r="G1104" t="n">
        <v>4.3</v>
      </c>
      <c r="H1104" t="n">
        <v>0</v>
      </c>
      <c r="I1104" t="n">
        <v>0</v>
      </c>
      <c r="J1104" t="n">
        <v>1</v>
      </c>
      <c r="K1104" t="n">
        <v>0</v>
      </c>
      <c r="L1104" t="n">
        <v>0</v>
      </c>
      <c r="M1104" t="n">
        <v>0</v>
      </c>
      <c r="N1104" t="n">
        <v>0</v>
      </c>
      <c r="O1104" t="n">
        <v>1</v>
      </c>
      <c r="P1104" t="n">
        <v>0</v>
      </c>
      <c r="Q1104" t="n">
        <v>1</v>
      </c>
      <c r="R1104" s="2" t="inlineStr">
        <is>
          <t>Gränsticka</t>
        </is>
      </c>
      <c r="S1104">
        <f>HYPERLINK("https://klasma.github.io/Logging_STROMSUND/artfynd/A 27-2023.xlsx")</f>
        <v/>
      </c>
      <c r="T1104">
        <f>HYPERLINK("https://klasma.github.io/Logging_STROMSUND/kartor/A 27-2023.png")</f>
        <v/>
      </c>
      <c r="V1104">
        <f>HYPERLINK("https://klasma.github.io/Logging_STROMSUND/klagomål/A 27-2023.docx")</f>
        <v/>
      </c>
      <c r="W1104">
        <f>HYPERLINK("https://klasma.github.io/Logging_STROMSUND/klagomålsmail/A 27-2023.docx")</f>
        <v/>
      </c>
      <c r="X1104">
        <f>HYPERLINK("https://klasma.github.io/Logging_STROMSUND/tillsyn/A 27-2023.docx")</f>
        <v/>
      </c>
      <c r="Y1104">
        <f>HYPERLINK("https://klasma.github.io/Logging_STROMSUND/tillsynsmail/A 27-2023.docx")</f>
        <v/>
      </c>
    </row>
    <row r="1105" ht="15" customHeight="1">
      <c r="A1105" t="inlineStr">
        <is>
          <t>A 184-2023</t>
        </is>
      </c>
      <c r="B1105" s="1" t="n">
        <v>44928</v>
      </c>
      <c r="C1105" s="1" t="n">
        <v>45182</v>
      </c>
      <c r="D1105" t="inlineStr">
        <is>
          <t>JÄMTLANDS LÄN</t>
        </is>
      </c>
      <c r="E1105" t="inlineStr">
        <is>
          <t>HÄRJEDALEN</t>
        </is>
      </c>
      <c r="F1105" t="inlineStr">
        <is>
          <t>Holmen skog AB</t>
        </is>
      </c>
      <c r="G1105" t="n">
        <v>7.8</v>
      </c>
      <c r="H1105" t="n">
        <v>1</v>
      </c>
      <c r="I1105" t="n">
        <v>1</v>
      </c>
      <c r="J1105" t="n">
        <v>0</v>
      </c>
      <c r="K1105" t="n">
        <v>0</v>
      </c>
      <c r="L1105" t="n">
        <v>0</v>
      </c>
      <c r="M1105" t="n">
        <v>0</v>
      </c>
      <c r="N1105" t="n">
        <v>0</v>
      </c>
      <c r="O1105" t="n">
        <v>0</v>
      </c>
      <c r="P1105" t="n">
        <v>0</v>
      </c>
      <c r="Q1105" t="n">
        <v>1</v>
      </c>
      <c r="R1105" s="2" t="inlineStr">
        <is>
          <t>Spindelblomster</t>
        </is>
      </c>
      <c r="S1105">
        <f>HYPERLINK("https://klasma.github.io/Logging_HARJEDALEN/artfynd/A 184-2023.xlsx")</f>
        <v/>
      </c>
      <c r="T1105">
        <f>HYPERLINK("https://klasma.github.io/Logging_HARJEDALEN/kartor/A 184-2023.png")</f>
        <v/>
      </c>
      <c r="V1105">
        <f>HYPERLINK("https://klasma.github.io/Logging_HARJEDALEN/klagomål/A 184-2023.docx")</f>
        <v/>
      </c>
      <c r="W1105">
        <f>HYPERLINK("https://klasma.github.io/Logging_HARJEDALEN/klagomålsmail/A 184-2023.docx")</f>
        <v/>
      </c>
      <c r="X1105">
        <f>HYPERLINK("https://klasma.github.io/Logging_HARJEDALEN/tillsyn/A 184-2023.docx")</f>
        <v/>
      </c>
      <c r="Y1105">
        <f>HYPERLINK("https://klasma.github.io/Logging_HARJEDALEN/tillsynsmail/A 184-2023.docx")</f>
        <v/>
      </c>
    </row>
    <row r="1106" ht="15" customHeight="1">
      <c r="A1106" t="inlineStr">
        <is>
          <t>A 725-2023</t>
        </is>
      </c>
      <c r="B1106" s="1" t="n">
        <v>44930</v>
      </c>
      <c r="C1106" s="1" t="n">
        <v>45182</v>
      </c>
      <c r="D1106" t="inlineStr">
        <is>
          <t>JÄMTLANDS LÄN</t>
        </is>
      </c>
      <c r="E1106" t="inlineStr">
        <is>
          <t>BRÄCKE</t>
        </is>
      </c>
      <c r="F1106" t="inlineStr">
        <is>
          <t>SCA</t>
        </is>
      </c>
      <c r="G1106" t="n">
        <v>0.9</v>
      </c>
      <c r="H1106" t="n">
        <v>0</v>
      </c>
      <c r="I1106" t="n">
        <v>0</v>
      </c>
      <c r="J1106" t="n">
        <v>1</v>
      </c>
      <c r="K1106" t="n">
        <v>0</v>
      </c>
      <c r="L1106" t="n">
        <v>0</v>
      </c>
      <c r="M1106" t="n">
        <v>0</v>
      </c>
      <c r="N1106" t="n">
        <v>0</v>
      </c>
      <c r="O1106" t="n">
        <v>1</v>
      </c>
      <c r="P1106" t="n">
        <v>0</v>
      </c>
      <c r="Q1106" t="n">
        <v>1</v>
      </c>
      <c r="R1106" s="2" t="inlineStr">
        <is>
          <t>Kolflarnlav</t>
        </is>
      </c>
      <c r="S1106">
        <f>HYPERLINK("https://klasma.github.io/Logging_BRACKE/artfynd/A 725-2023.xlsx")</f>
        <v/>
      </c>
      <c r="T1106">
        <f>HYPERLINK("https://klasma.github.io/Logging_BRACKE/kartor/A 725-2023.png")</f>
        <v/>
      </c>
      <c r="V1106">
        <f>HYPERLINK("https://klasma.github.io/Logging_BRACKE/klagomål/A 725-2023.docx")</f>
        <v/>
      </c>
      <c r="W1106">
        <f>HYPERLINK("https://klasma.github.io/Logging_BRACKE/klagomålsmail/A 725-2023.docx")</f>
        <v/>
      </c>
      <c r="X1106">
        <f>HYPERLINK("https://klasma.github.io/Logging_BRACKE/tillsyn/A 725-2023.docx")</f>
        <v/>
      </c>
      <c r="Y1106">
        <f>HYPERLINK("https://klasma.github.io/Logging_BRACKE/tillsynsmail/A 725-2023.docx")</f>
        <v/>
      </c>
    </row>
    <row r="1107" ht="15" customHeight="1">
      <c r="A1107" t="inlineStr">
        <is>
          <t>A 2964-2023</t>
        </is>
      </c>
      <c r="B1107" s="1" t="n">
        <v>44945</v>
      </c>
      <c r="C1107" s="1" t="n">
        <v>45182</v>
      </c>
      <c r="D1107" t="inlineStr">
        <is>
          <t>JÄMTLANDS LÄN</t>
        </is>
      </c>
      <c r="E1107" t="inlineStr">
        <is>
          <t>BERG</t>
        </is>
      </c>
      <c r="G1107" t="n">
        <v>4.8</v>
      </c>
      <c r="H1107" t="n">
        <v>0</v>
      </c>
      <c r="I1107" t="n">
        <v>0</v>
      </c>
      <c r="J1107" t="n">
        <v>1</v>
      </c>
      <c r="K1107" t="n">
        <v>0</v>
      </c>
      <c r="L1107" t="n">
        <v>0</v>
      </c>
      <c r="M1107" t="n">
        <v>0</v>
      </c>
      <c r="N1107" t="n">
        <v>0</v>
      </c>
      <c r="O1107" t="n">
        <v>1</v>
      </c>
      <c r="P1107" t="n">
        <v>0</v>
      </c>
      <c r="Q1107" t="n">
        <v>1</v>
      </c>
      <c r="R1107" s="2" t="inlineStr">
        <is>
          <t>Granticka</t>
        </is>
      </c>
      <c r="S1107">
        <f>HYPERLINK("https://klasma.github.io/Logging_BERG/artfynd/A 2964-2023.xlsx")</f>
        <v/>
      </c>
      <c r="T1107">
        <f>HYPERLINK("https://klasma.github.io/Logging_BERG/kartor/A 2964-2023.png")</f>
        <v/>
      </c>
      <c r="V1107">
        <f>HYPERLINK("https://klasma.github.io/Logging_BERG/klagomål/A 2964-2023.docx")</f>
        <v/>
      </c>
      <c r="W1107">
        <f>HYPERLINK("https://klasma.github.io/Logging_BERG/klagomålsmail/A 2964-2023.docx")</f>
        <v/>
      </c>
      <c r="X1107">
        <f>HYPERLINK("https://klasma.github.io/Logging_BERG/tillsyn/A 2964-2023.docx")</f>
        <v/>
      </c>
      <c r="Y1107">
        <f>HYPERLINK("https://klasma.github.io/Logging_BERG/tillsynsmail/A 2964-2023.docx")</f>
        <v/>
      </c>
    </row>
    <row r="1108" ht="15" customHeight="1">
      <c r="A1108" t="inlineStr">
        <is>
          <t>A 5480-2023</t>
        </is>
      </c>
      <c r="B1108" s="1" t="n">
        <v>44957</v>
      </c>
      <c r="C1108" s="1" t="n">
        <v>45182</v>
      </c>
      <c r="D1108" t="inlineStr">
        <is>
          <t>JÄMTLANDS LÄN</t>
        </is>
      </c>
      <c r="E1108" t="inlineStr">
        <is>
          <t>ÅRE</t>
        </is>
      </c>
      <c r="G1108" t="n">
        <v>3.3</v>
      </c>
      <c r="H1108" t="n">
        <v>1</v>
      </c>
      <c r="I1108" t="n">
        <v>0</v>
      </c>
      <c r="J1108" t="n">
        <v>1</v>
      </c>
      <c r="K1108" t="n">
        <v>0</v>
      </c>
      <c r="L1108" t="n">
        <v>0</v>
      </c>
      <c r="M1108" t="n">
        <v>0</v>
      </c>
      <c r="N1108" t="n">
        <v>0</v>
      </c>
      <c r="O1108" t="n">
        <v>1</v>
      </c>
      <c r="P1108" t="n">
        <v>0</v>
      </c>
      <c r="Q1108" t="n">
        <v>1</v>
      </c>
      <c r="R1108" s="2" t="inlineStr">
        <is>
          <t>Tretåig hackspett</t>
        </is>
      </c>
      <c r="S1108">
        <f>HYPERLINK("https://klasma.github.io/Logging_ARE/artfynd/A 5480-2023.xlsx")</f>
        <v/>
      </c>
      <c r="T1108">
        <f>HYPERLINK("https://klasma.github.io/Logging_ARE/kartor/A 5480-2023.png")</f>
        <v/>
      </c>
      <c r="V1108">
        <f>HYPERLINK("https://klasma.github.io/Logging_ARE/klagomål/A 5480-2023.docx")</f>
        <v/>
      </c>
      <c r="W1108">
        <f>HYPERLINK("https://klasma.github.io/Logging_ARE/klagomålsmail/A 5480-2023.docx")</f>
        <v/>
      </c>
      <c r="X1108">
        <f>HYPERLINK("https://klasma.github.io/Logging_ARE/tillsyn/A 5480-2023.docx")</f>
        <v/>
      </c>
      <c r="Y1108">
        <f>HYPERLINK("https://klasma.github.io/Logging_ARE/tillsynsmail/A 5480-2023.docx")</f>
        <v/>
      </c>
    </row>
    <row r="1109" ht="15" customHeight="1">
      <c r="A1109" t="inlineStr">
        <is>
          <t>A 10632-2023</t>
        </is>
      </c>
      <c r="B1109" s="1" t="n">
        <v>44984</v>
      </c>
      <c r="C1109" s="1" t="n">
        <v>45182</v>
      </c>
      <c r="D1109" t="inlineStr">
        <is>
          <t>JÄMTLANDS LÄN</t>
        </is>
      </c>
      <c r="E1109" t="inlineStr">
        <is>
          <t>ÅRE</t>
        </is>
      </c>
      <c r="G1109" t="n">
        <v>5.4</v>
      </c>
      <c r="H1109" t="n">
        <v>1</v>
      </c>
      <c r="I1109" t="n">
        <v>0</v>
      </c>
      <c r="J1109" t="n">
        <v>1</v>
      </c>
      <c r="K1109" t="n">
        <v>0</v>
      </c>
      <c r="L1109" t="n">
        <v>0</v>
      </c>
      <c r="M1109" t="n">
        <v>0</v>
      </c>
      <c r="N1109" t="n">
        <v>0</v>
      </c>
      <c r="O1109" t="n">
        <v>1</v>
      </c>
      <c r="P1109" t="n">
        <v>0</v>
      </c>
      <c r="Q1109" t="n">
        <v>1</v>
      </c>
      <c r="R1109" s="2" t="inlineStr">
        <is>
          <t>Tretåig hackspett</t>
        </is>
      </c>
      <c r="S1109">
        <f>HYPERLINK("https://klasma.github.io/Logging_ARE/artfynd/A 10632-2023.xlsx")</f>
        <v/>
      </c>
      <c r="T1109">
        <f>HYPERLINK("https://klasma.github.io/Logging_ARE/kartor/A 10632-2023.png")</f>
        <v/>
      </c>
      <c r="V1109">
        <f>HYPERLINK("https://klasma.github.io/Logging_ARE/klagomål/A 10632-2023.docx")</f>
        <v/>
      </c>
      <c r="W1109">
        <f>HYPERLINK("https://klasma.github.io/Logging_ARE/klagomålsmail/A 10632-2023.docx")</f>
        <v/>
      </c>
      <c r="X1109">
        <f>HYPERLINK("https://klasma.github.io/Logging_ARE/tillsyn/A 10632-2023.docx")</f>
        <v/>
      </c>
      <c r="Y1109">
        <f>HYPERLINK("https://klasma.github.io/Logging_ARE/tillsynsmail/A 10632-2023.docx")</f>
        <v/>
      </c>
    </row>
    <row r="1110" ht="15" customHeight="1">
      <c r="A1110" t="inlineStr">
        <is>
          <t>A 10075-2023</t>
        </is>
      </c>
      <c r="B1110" s="1" t="n">
        <v>44985</v>
      </c>
      <c r="C1110" s="1" t="n">
        <v>45182</v>
      </c>
      <c r="D1110" t="inlineStr">
        <is>
          <t>JÄMTLANDS LÄN</t>
        </is>
      </c>
      <c r="E1110" t="inlineStr">
        <is>
          <t>STRÖMSUND</t>
        </is>
      </c>
      <c r="F1110" t="inlineStr">
        <is>
          <t>SCA</t>
        </is>
      </c>
      <c r="G1110" t="n">
        <v>13.4</v>
      </c>
      <c r="H1110" t="n">
        <v>0</v>
      </c>
      <c r="I1110" t="n">
        <v>0</v>
      </c>
      <c r="J1110" t="n">
        <v>1</v>
      </c>
      <c r="K1110" t="n">
        <v>0</v>
      </c>
      <c r="L1110" t="n">
        <v>0</v>
      </c>
      <c r="M1110" t="n">
        <v>0</v>
      </c>
      <c r="N1110" t="n">
        <v>0</v>
      </c>
      <c r="O1110" t="n">
        <v>1</v>
      </c>
      <c r="P1110" t="n">
        <v>0</v>
      </c>
      <c r="Q1110" t="n">
        <v>1</v>
      </c>
      <c r="R1110" s="2" t="inlineStr">
        <is>
          <t>Brunklöver</t>
        </is>
      </c>
      <c r="S1110">
        <f>HYPERLINK("https://klasma.github.io/Logging_STROMSUND/artfynd/A 10075-2023.xlsx")</f>
        <v/>
      </c>
      <c r="T1110">
        <f>HYPERLINK("https://klasma.github.io/Logging_STROMSUND/kartor/A 10075-2023.png")</f>
        <v/>
      </c>
      <c r="V1110">
        <f>HYPERLINK("https://klasma.github.io/Logging_STROMSUND/klagomål/A 10075-2023.docx")</f>
        <v/>
      </c>
      <c r="W1110">
        <f>HYPERLINK("https://klasma.github.io/Logging_STROMSUND/klagomålsmail/A 10075-2023.docx")</f>
        <v/>
      </c>
      <c r="X1110">
        <f>HYPERLINK("https://klasma.github.io/Logging_STROMSUND/tillsyn/A 10075-2023.docx")</f>
        <v/>
      </c>
      <c r="Y1110">
        <f>HYPERLINK("https://klasma.github.io/Logging_STROMSUND/tillsynsmail/A 10075-2023.docx")</f>
        <v/>
      </c>
    </row>
    <row r="1111" ht="15" customHeight="1">
      <c r="A1111" t="inlineStr">
        <is>
          <t>A 12062-2023</t>
        </is>
      </c>
      <c r="B1111" s="1" t="n">
        <v>44996</v>
      </c>
      <c r="C1111" s="1" t="n">
        <v>45182</v>
      </c>
      <c r="D1111" t="inlineStr">
        <is>
          <t>JÄMTLANDS LÄN</t>
        </is>
      </c>
      <c r="E1111" t="inlineStr">
        <is>
          <t>BRÄCKE</t>
        </is>
      </c>
      <c r="G1111" t="n">
        <v>5.4</v>
      </c>
      <c r="H1111" t="n">
        <v>0</v>
      </c>
      <c r="I1111" t="n">
        <v>0</v>
      </c>
      <c r="J1111" t="n">
        <v>1</v>
      </c>
      <c r="K1111" t="n">
        <v>0</v>
      </c>
      <c r="L1111" t="n">
        <v>0</v>
      </c>
      <c r="M1111" t="n">
        <v>0</v>
      </c>
      <c r="N1111" t="n">
        <v>0</v>
      </c>
      <c r="O1111" t="n">
        <v>1</v>
      </c>
      <c r="P1111" t="n">
        <v>0</v>
      </c>
      <c r="Q1111" t="n">
        <v>1</v>
      </c>
      <c r="R1111" s="2" t="inlineStr">
        <is>
          <t>Lunglav</t>
        </is>
      </c>
      <c r="S1111">
        <f>HYPERLINK("https://klasma.github.io/Logging_BRACKE/artfynd/A 12062-2023.xlsx")</f>
        <v/>
      </c>
      <c r="T1111">
        <f>HYPERLINK("https://klasma.github.io/Logging_BRACKE/kartor/A 12062-2023.png")</f>
        <v/>
      </c>
      <c r="V1111">
        <f>HYPERLINK("https://klasma.github.io/Logging_BRACKE/klagomål/A 12062-2023.docx")</f>
        <v/>
      </c>
      <c r="W1111">
        <f>HYPERLINK("https://klasma.github.io/Logging_BRACKE/klagomålsmail/A 12062-2023.docx")</f>
        <v/>
      </c>
      <c r="X1111">
        <f>HYPERLINK("https://klasma.github.io/Logging_BRACKE/tillsyn/A 12062-2023.docx")</f>
        <v/>
      </c>
      <c r="Y1111">
        <f>HYPERLINK("https://klasma.github.io/Logging_BRACKE/tillsynsmail/A 12062-2023.docx")</f>
        <v/>
      </c>
    </row>
    <row r="1112" ht="15" customHeight="1">
      <c r="A1112" t="inlineStr">
        <is>
          <t>A 12517-2023</t>
        </is>
      </c>
      <c r="B1112" s="1" t="n">
        <v>45000</v>
      </c>
      <c r="C1112" s="1" t="n">
        <v>45182</v>
      </c>
      <c r="D1112" t="inlineStr">
        <is>
          <t>JÄMTLANDS LÄN</t>
        </is>
      </c>
      <c r="E1112" t="inlineStr">
        <is>
          <t>BRÄCKE</t>
        </is>
      </c>
      <c r="G1112" t="n">
        <v>11</v>
      </c>
      <c r="H1112" t="n">
        <v>0</v>
      </c>
      <c r="I1112" t="n">
        <v>0</v>
      </c>
      <c r="J1112" t="n">
        <v>1</v>
      </c>
      <c r="K1112" t="n">
        <v>0</v>
      </c>
      <c r="L1112" t="n">
        <v>0</v>
      </c>
      <c r="M1112" t="n">
        <v>0</v>
      </c>
      <c r="N1112" t="n">
        <v>0</v>
      </c>
      <c r="O1112" t="n">
        <v>1</v>
      </c>
      <c r="P1112" t="n">
        <v>0</v>
      </c>
      <c r="Q1112" t="n">
        <v>1</v>
      </c>
      <c r="R1112" s="2" t="inlineStr">
        <is>
          <t>Lunglav</t>
        </is>
      </c>
      <c r="S1112">
        <f>HYPERLINK("https://klasma.github.io/Logging_BRACKE/artfynd/A 12517-2023.xlsx")</f>
        <v/>
      </c>
      <c r="T1112">
        <f>HYPERLINK("https://klasma.github.io/Logging_BRACKE/kartor/A 12517-2023.png")</f>
        <v/>
      </c>
      <c r="V1112">
        <f>HYPERLINK("https://klasma.github.io/Logging_BRACKE/klagomål/A 12517-2023.docx")</f>
        <v/>
      </c>
      <c r="W1112">
        <f>HYPERLINK("https://klasma.github.io/Logging_BRACKE/klagomålsmail/A 12517-2023.docx")</f>
        <v/>
      </c>
      <c r="X1112">
        <f>HYPERLINK("https://klasma.github.io/Logging_BRACKE/tillsyn/A 12517-2023.docx")</f>
        <v/>
      </c>
      <c r="Y1112">
        <f>HYPERLINK("https://klasma.github.io/Logging_BRACKE/tillsynsmail/A 12517-2023.docx")</f>
        <v/>
      </c>
    </row>
    <row r="1113" ht="15" customHeight="1">
      <c r="A1113" t="inlineStr">
        <is>
          <t>A 13625-2023</t>
        </is>
      </c>
      <c r="B1113" s="1" t="n">
        <v>45006</v>
      </c>
      <c r="C1113" s="1" t="n">
        <v>45182</v>
      </c>
      <c r="D1113" t="inlineStr">
        <is>
          <t>JÄMTLANDS LÄN</t>
        </is>
      </c>
      <c r="E1113" t="inlineStr">
        <is>
          <t>ÅRE</t>
        </is>
      </c>
      <c r="G1113" t="n">
        <v>22.9</v>
      </c>
      <c r="H1113" t="n">
        <v>1</v>
      </c>
      <c r="I1113" t="n">
        <v>0</v>
      </c>
      <c r="J1113" t="n">
        <v>1</v>
      </c>
      <c r="K1113" t="n">
        <v>0</v>
      </c>
      <c r="L1113" t="n">
        <v>0</v>
      </c>
      <c r="M1113" t="n">
        <v>0</v>
      </c>
      <c r="N1113" t="n">
        <v>0</v>
      </c>
      <c r="O1113" t="n">
        <v>1</v>
      </c>
      <c r="P1113" t="n">
        <v>0</v>
      </c>
      <c r="Q1113" t="n">
        <v>1</v>
      </c>
      <c r="R1113" s="2" t="inlineStr">
        <is>
          <t>Tretåig hackspett</t>
        </is>
      </c>
      <c r="S1113">
        <f>HYPERLINK("https://klasma.github.io/Logging_ARE/artfynd/A 13625-2023.xlsx")</f>
        <v/>
      </c>
      <c r="T1113">
        <f>HYPERLINK("https://klasma.github.io/Logging_ARE/kartor/A 13625-2023.png")</f>
        <v/>
      </c>
      <c r="V1113">
        <f>HYPERLINK("https://klasma.github.io/Logging_ARE/klagomål/A 13625-2023.docx")</f>
        <v/>
      </c>
      <c r="W1113">
        <f>HYPERLINK("https://klasma.github.io/Logging_ARE/klagomålsmail/A 13625-2023.docx")</f>
        <v/>
      </c>
      <c r="X1113">
        <f>HYPERLINK("https://klasma.github.io/Logging_ARE/tillsyn/A 13625-2023.docx")</f>
        <v/>
      </c>
      <c r="Y1113">
        <f>HYPERLINK("https://klasma.github.io/Logging_ARE/tillsynsmail/A 13625-2023.docx")</f>
        <v/>
      </c>
    </row>
    <row r="1114" ht="15" customHeight="1">
      <c r="A1114" t="inlineStr">
        <is>
          <t>A 13897-2023</t>
        </is>
      </c>
      <c r="B1114" s="1" t="n">
        <v>45008</v>
      </c>
      <c r="C1114" s="1" t="n">
        <v>45182</v>
      </c>
      <c r="D1114" t="inlineStr">
        <is>
          <t>JÄMTLANDS LÄN</t>
        </is>
      </c>
      <c r="E1114" t="inlineStr">
        <is>
          <t>STRÖMSUND</t>
        </is>
      </c>
      <c r="F1114" t="inlineStr">
        <is>
          <t>Holmen skog AB</t>
        </is>
      </c>
      <c r="G1114" t="n">
        <v>2.6</v>
      </c>
      <c r="H1114" t="n">
        <v>0</v>
      </c>
      <c r="I1114" t="n">
        <v>0</v>
      </c>
      <c r="J1114" t="n">
        <v>1</v>
      </c>
      <c r="K1114" t="n">
        <v>0</v>
      </c>
      <c r="L1114" t="n">
        <v>0</v>
      </c>
      <c r="M1114" t="n">
        <v>0</v>
      </c>
      <c r="N1114" t="n">
        <v>0</v>
      </c>
      <c r="O1114" t="n">
        <v>1</v>
      </c>
      <c r="P1114" t="n">
        <v>0</v>
      </c>
      <c r="Q1114" t="n">
        <v>1</v>
      </c>
      <c r="R1114" s="2" t="inlineStr">
        <is>
          <t>Kolflarnlav</t>
        </is>
      </c>
      <c r="S1114">
        <f>HYPERLINK("https://klasma.github.io/Logging_STROMSUND/artfynd/A 13897-2023.xlsx")</f>
        <v/>
      </c>
      <c r="T1114">
        <f>HYPERLINK("https://klasma.github.io/Logging_STROMSUND/kartor/A 13897-2023.png")</f>
        <v/>
      </c>
      <c r="V1114">
        <f>HYPERLINK("https://klasma.github.io/Logging_STROMSUND/klagomål/A 13897-2023.docx")</f>
        <v/>
      </c>
      <c r="W1114">
        <f>HYPERLINK("https://klasma.github.io/Logging_STROMSUND/klagomålsmail/A 13897-2023.docx")</f>
        <v/>
      </c>
      <c r="X1114">
        <f>HYPERLINK("https://klasma.github.io/Logging_STROMSUND/tillsyn/A 13897-2023.docx")</f>
        <v/>
      </c>
      <c r="Y1114">
        <f>HYPERLINK("https://klasma.github.io/Logging_STROMSUND/tillsynsmail/A 13897-2023.docx")</f>
        <v/>
      </c>
    </row>
    <row r="1115" ht="15" customHeight="1">
      <c r="A1115" t="inlineStr">
        <is>
          <t>A 16366-2023</t>
        </is>
      </c>
      <c r="B1115" s="1" t="n">
        <v>45028</v>
      </c>
      <c r="C1115" s="1" t="n">
        <v>45182</v>
      </c>
      <c r="D1115" t="inlineStr">
        <is>
          <t>JÄMTLANDS LÄN</t>
        </is>
      </c>
      <c r="E1115" t="inlineStr">
        <is>
          <t>BRÄCKE</t>
        </is>
      </c>
      <c r="G1115" t="n">
        <v>9.1</v>
      </c>
      <c r="H1115" t="n">
        <v>0</v>
      </c>
      <c r="I1115" t="n">
        <v>0</v>
      </c>
      <c r="J1115" t="n">
        <v>1</v>
      </c>
      <c r="K1115" t="n">
        <v>0</v>
      </c>
      <c r="L1115" t="n">
        <v>0</v>
      </c>
      <c r="M1115" t="n">
        <v>0</v>
      </c>
      <c r="N1115" t="n">
        <v>0</v>
      </c>
      <c r="O1115" t="n">
        <v>1</v>
      </c>
      <c r="P1115" t="n">
        <v>0</v>
      </c>
      <c r="Q1115" t="n">
        <v>1</v>
      </c>
      <c r="R1115" s="2" t="inlineStr">
        <is>
          <t>Lunglav</t>
        </is>
      </c>
      <c r="S1115">
        <f>HYPERLINK("https://klasma.github.io/Logging_BRACKE/artfynd/A 16366-2023.xlsx")</f>
        <v/>
      </c>
      <c r="T1115">
        <f>HYPERLINK("https://klasma.github.io/Logging_BRACKE/kartor/A 16366-2023.png")</f>
        <v/>
      </c>
      <c r="V1115">
        <f>HYPERLINK("https://klasma.github.io/Logging_BRACKE/klagomål/A 16366-2023.docx")</f>
        <v/>
      </c>
      <c r="W1115">
        <f>HYPERLINK("https://klasma.github.io/Logging_BRACKE/klagomålsmail/A 16366-2023.docx")</f>
        <v/>
      </c>
      <c r="X1115">
        <f>HYPERLINK("https://klasma.github.io/Logging_BRACKE/tillsyn/A 16366-2023.docx")</f>
        <v/>
      </c>
      <c r="Y1115">
        <f>HYPERLINK("https://klasma.github.io/Logging_BRACKE/tillsynsmail/A 16366-2023.docx")</f>
        <v/>
      </c>
    </row>
    <row r="1116" ht="15" customHeight="1">
      <c r="A1116" t="inlineStr">
        <is>
          <t>A 17340-2023</t>
        </is>
      </c>
      <c r="B1116" s="1" t="n">
        <v>45033</v>
      </c>
      <c r="C1116" s="1" t="n">
        <v>45182</v>
      </c>
      <c r="D1116" t="inlineStr">
        <is>
          <t>JÄMTLANDS LÄN</t>
        </is>
      </c>
      <c r="E1116" t="inlineStr">
        <is>
          <t>RAGUNDA</t>
        </is>
      </c>
      <c r="G1116" t="n">
        <v>1.6</v>
      </c>
      <c r="H1116" t="n">
        <v>0</v>
      </c>
      <c r="I1116" t="n">
        <v>0</v>
      </c>
      <c r="J1116" t="n">
        <v>1</v>
      </c>
      <c r="K1116" t="n">
        <v>0</v>
      </c>
      <c r="L1116" t="n">
        <v>0</v>
      </c>
      <c r="M1116" t="n">
        <v>0</v>
      </c>
      <c r="N1116" t="n">
        <v>0</v>
      </c>
      <c r="O1116" t="n">
        <v>1</v>
      </c>
      <c r="P1116" t="n">
        <v>0</v>
      </c>
      <c r="Q1116" t="n">
        <v>1</v>
      </c>
      <c r="R1116" s="2" t="inlineStr">
        <is>
          <t>Vedtrappmossa</t>
        </is>
      </c>
      <c r="S1116">
        <f>HYPERLINK("https://klasma.github.io/Logging_RAGUNDA/artfynd/A 17340-2023.xlsx")</f>
        <v/>
      </c>
      <c r="T1116">
        <f>HYPERLINK("https://klasma.github.io/Logging_RAGUNDA/kartor/A 17340-2023.png")</f>
        <v/>
      </c>
      <c r="U1116">
        <f>HYPERLINK("https://klasma.github.io/Logging_RAGUNDA/knärot/A 17340-2023.png")</f>
        <v/>
      </c>
      <c r="V1116">
        <f>HYPERLINK("https://klasma.github.io/Logging_RAGUNDA/klagomål/A 17340-2023.docx")</f>
        <v/>
      </c>
      <c r="W1116">
        <f>HYPERLINK("https://klasma.github.io/Logging_RAGUNDA/klagomålsmail/A 17340-2023.docx")</f>
        <v/>
      </c>
      <c r="X1116">
        <f>HYPERLINK("https://klasma.github.io/Logging_RAGUNDA/tillsyn/A 17340-2023.docx")</f>
        <v/>
      </c>
      <c r="Y1116">
        <f>HYPERLINK("https://klasma.github.io/Logging_RAGUNDA/tillsynsmail/A 17340-2023.docx")</f>
        <v/>
      </c>
    </row>
    <row r="1117" ht="15" customHeight="1">
      <c r="A1117" t="inlineStr">
        <is>
          <t>A 18806-2023</t>
        </is>
      </c>
      <c r="B1117" s="1" t="n">
        <v>45042</v>
      </c>
      <c r="C1117" s="1" t="n">
        <v>45182</v>
      </c>
      <c r="D1117" t="inlineStr">
        <is>
          <t>JÄMTLANDS LÄN</t>
        </is>
      </c>
      <c r="E1117" t="inlineStr">
        <is>
          <t>RAGUNDA</t>
        </is>
      </c>
      <c r="G1117" t="n">
        <v>4.6</v>
      </c>
      <c r="H1117" t="n">
        <v>1</v>
      </c>
      <c r="I1117" t="n">
        <v>1</v>
      </c>
      <c r="J1117" t="n">
        <v>0</v>
      </c>
      <c r="K1117" t="n">
        <v>0</v>
      </c>
      <c r="L1117" t="n">
        <v>0</v>
      </c>
      <c r="M1117" t="n">
        <v>0</v>
      </c>
      <c r="N1117" t="n">
        <v>0</v>
      </c>
      <c r="O1117" t="n">
        <v>0</v>
      </c>
      <c r="P1117" t="n">
        <v>0</v>
      </c>
      <c r="Q1117" t="n">
        <v>1</v>
      </c>
      <c r="R1117" s="2" t="inlineStr">
        <is>
          <t>Guckusko</t>
        </is>
      </c>
      <c r="S1117">
        <f>HYPERLINK("https://klasma.github.io/Logging_RAGUNDA/artfynd/A 18806-2023.xlsx")</f>
        <v/>
      </c>
      <c r="T1117">
        <f>HYPERLINK("https://klasma.github.io/Logging_RAGUNDA/kartor/A 18806-2023.png")</f>
        <v/>
      </c>
      <c r="V1117">
        <f>HYPERLINK("https://klasma.github.io/Logging_RAGUNDA/klagomål/A 18806-2023.docx")</f>
        <v/>
      </c>
      <c r="W1117">
        <f>HYPERLINK("https://klasma.github.io/Logging_RAGUNDA/klagomålsmail/A 18806-2023.docx")</f>
        <v/>
      </c>
      <c r="X1117">
        <f>HYPERLINK("https://klasma.github.io/Logging_RAGUNDA/tillsyn/A 18806-2023.docx")</f>
        <v/>
      </c>
      <c r="Y1117">
        <f>HYPERLINK("https://klasma.github.io/Logging_RAGUNDA/tillsynsmail/A 18806-2023.docx")</f>
        <v/>
      </c>
    </row>
    <row r="1118" ht="15" customHeight="1">
      <c r="A1118" t="inlineStr">
        <is>
          <t>A 18767-2023</t>
        </is>
      </c>
      <c r="B1118" s="1" t="n">
        <v>45043</v>
      </c>
      <c r="C1118" s="1" t="n">
        <v>45182</v>
      </c>
      <c r="D1118" t="inlineStr">
        <is>
          <t>JÄMTLANDS LÄN</t>
        </is>
      </c>
      <c r="E1118" t="inlineStr">
        <is>
          <t>STRÖMSUND</t>
        </is>
      </c>
      <c r="F1118" t="inlineStr">
        <is>
          <t>SCA</t>
        </is>
      </c>
      <c r="G1118" t="n">
        <v>7.5</v>
      </c>
      <c r="H1118" t="n">
        <v>0</v>
      </c>
      <c r="I1118" t="n">
        <v>0</v>
      </c>
      <c r="J1118" t="n">
        <v>1</v>
      </c>
      <c r="K1118" t="n">
        <v>0</v>
      </c>
      <c r="L1118" t="n">
        <v>0</v>
      </c>
      <c r="M1118" t="n">
        <v>0</v>
      </c>
      <c r="N1118" t="n">
        <v>0</v>
      </c>
      <c r="O1118" t="n">
        <v>1</v>
      </c>
      <c r="P1118" t="n">
        <v>0</v>
      </c>
      <c r="Q1118" t="n">
        <v>1</v>
      </c>
      <c r="R1118" s="2" t="inlineStr">
        <is>
          <t>Vedtrappmossa</t>
        </is>
      </c>
      <c r="S1118">
        <f>HYPERLINK("https://klasma.github.io/Logging_STROMSUND/artfynd/A 18767-2023.xlsx")</f>
        <v/>
      </c>
      <c r="T1118">
        <f>HYPERLINK("https://klasma.github.io/Logging_STROMSUND/kartor/A 18767-2023.png")</f>
        <v/>
      </c>
      <c r="V1118">
        <f>HYPERLINK("https://klasma.github.io/Logging_STROMSUND/klagomål/A 18767-2023.docx")</f>
        <v/>
      </c>
      <c r="W1118">
        <f>HYPERLINK("https://klasma.github.io/Logging_STROMSUND/klagomålsmail/A 18767-2023.docx")</f>
        <v/>
      </c>
      <c r="X1118">
        <f>HYPERLINK("https://klasma.github.io/Logging_STROMSUND/tillsyn/A 18767-2023.docx")</f>
        <v/>
      </c>
      <c r="Y1118">
        <f>HYPERLINK("https://klasma.github.io/Logging_STROMSUND/tillsynsmail/A 18767-2023.docx")</f>
        <v/>
      </c>
    </row>
    <row r="1119" ht="15" customHeight="1">
      <c r="A1119" t="inlineStr">
        <is>
          <t>A 18948-2023</t>
        </is>
      </c>
      <c r="B1119" s="1" t="n">
        <v>45043</v>
      </c>
      <c r="C1119" s="1" t="n">
        <v>45182</v>
      </c>
      <c r="D1119" t="inlineStr">
        <is>
          <t>JÄMTLANDS LÄN</t>
        </is>
      </c>
      <c r="E1119" t="inlineStr">
        <is>
          <t>STRÖMSUND</t>
        </is>
      </c>
      <c r="G1119" t="n">
        <v>27.6</v>
      </c>
      <c r="H1119" t="n">
        <v>0</v>
      </c>
      <c r="I1119" t="n">
        <v>0</v>
      </c>
      <c r="J1119" t="n">
        <v>0</v>
      </c>
      <c r="K1119" t="n">
        <v>1</v>
      </c>
      <c r="L1119" t="n">
        <v>0</v>
      </c>
      <c r="M1119" t="n">
        <v>0</v>
      </c>
      <c r="N1119" t="n">
        <v>0</v>
      </c>
      <c r="O1119" t="n">
        <v>1</v>
      </c>
      <c r="P1119" t="n">
        <v>1</v>
      </c>
      <c r="Q1119" t="n">
        <v>1</v>
      </c>
      <c r="R1119" s="2" t="inlineStr">
        <is>
          <t>Gräddticka</t>
        </is>
      </c>
      <c r="S1119">
        <f>HYPERLINK("https://klasma.github.io/Logging_STROMSUND/artfynd/A 18948-2023.xlsx")</f>
        <v/>
      </c>
      <c r="T1119">
        <f>HYPERLINK("https://klasma.github.io/Logging_STROMSUND/kartor/A 18948-2023.png")</f>
        <v/>
      </c>
      <c r="V1119">
        <f>HYPERLINK("https://klasma.github.io/Logging_STROMSUND/klagomål/A 18948-2023.docx")</f>
        <v/>
      </c>
      <c r="W1119">
        <f>HYPERLINK("https://klasma.github.io/Logging_STROMSUND/klagomålsmail/A 18948-2023.docx")</f>
        <v/>
      </c>
      <c r="X1119">
        <f>HYPERLINK("https://klasma.github.io/Logging_STROMSUND/tillsyn/A 18948-2023.docx")</f>
        <v/>
      </c>
      <c r="Y1119">
        <f>HYPERLINK("https://klasma.github.io/Logging_STROMSUND/tillsynsmail/A 18948-2023.docx")</f>
        <v/>
      </c>
    </row>
    <row r="1120" ht="15" customHeight="1">
      <c r="A1120" t="inlineStr">
        <is>
          <t>A 18985-2023</t>
        </is>
      </c>
      <c r="B1120" s="1" t="n">
        <v>45044</v>
      </c>
      <c r="C1120" s="1" t="n">
        <v>45182</v>
      </c>
      <c r="D1120" t="inlineStr">
        <is>
          <t>JÄMTLANDS LÄN</t>
        </is>
      </c>
      <c r="E1120" t="inlineStr">
        <is>
          <t>RAGUNDA</t>
        </is>
      </c>
      <c r="F1120" t="inlineStr">
        <is>
          <t>SCA</t>
        </is>
      </c>
      <c r="G1120" t="n">
        <v>2.6</v>
      </c>
      <c r="H1120" t="n">
        <v>0</v>
      </c>
      <c r="I1120" t="n">
        <v>0</v>
      </c>
      <c r="J1120" t="n">
        <v>1</v>
      </c>
      <c r="K1120" t="n">
        <v>0</v>
      </c>
      <c r="L1120" t="n">
        <v>0</v>
      </c>
      <c r="M1120" t="n">
        <v>0</v>
      </c>
      <c r="N1120" t="n">
        <v>0</v>
      </c>
      <c r="O1120" t="n">
        <v>1</v>
      </c>
      <c r="P1120" t="n">
        <v>0</v>
      </c>
      <c r="Q1120" t="n">
        <v>1</v>
      </c>
      <c r="R1120" s="2" t="inlineStr">
        <is>
          <t>Doftskinn</t>
        </is>
      </c>
      <c r="S1120">
        <f>HYPERLINK("https://klasma.github.io/Logging_RAGUNDA/artfynd/A 18985-2023.xlsx")</f>
        <v/>
      </c>
      <c r="T1120">
        <f>HYPERLINK("https://klasma.github.io/Logging_RAGUNDA/kartor/A 18985-2023.png")</f>
        <v/>
      </c>
      <c r="V1120">
        <f>HYPERLINK("https://klasma.github.io/Logging_RAGUNDA/klagomål/A 18985-2023.docx")</f>
        <v/>
      </c>
      <c r="W1120">
        <f>HYPERLINK("https://klasma.github.io/Logging_RAGUNDA/klagomålsmail/A 18985-2023.docx")</f>
        <v/>
      </c>
      <c r="X1120">
        <f>HYPERLINK("https://klasma.github.io/Logging_RAGUNDA/tillsyn/A 18985-2023.docx")</f>
        <v/>
      </c>
      <c r="Y1120">
        <f>HYPERLINK("https://klasma.github.io/Logging_RAGUNDA/tillsynsmail/A 18985-2023.docx")</f>
        <v/>
      </c>
    </row>
    <row r="1121" ht="15" customHeight="1">
      <c r="A1121" t="inlineStr">
        <is>
          <t>A 19240-2023</t>
        </is>
      </c>
      <c r="B1121" s="1" t="n">
        <v>45048</v>
      </c>
      <c r="C1121" s="1" t="n">
        <v>45182</v>
      </c>
      <c r="D1121" t="inlineStr">
        <is>
          <t>JÄMTLANDS LÄN</t>
        </is>
      </c>
      <c r="E1121" t="inlineStr">
        <is>
          <t>STRÖMSUND</t>
        </is>
      </c>
      <c r="F1121" t="inlineStr">
        <is>
          <t>SCA</t>
        </is>
      </c>
      <c r="G1121" t="n">
        <v>2.4</v>
      </c>
      <c r="H1121" t="n">
        <v>0</v>
      </c>
      <c r="I1121" t="n">
        <v>0</v>
      </c>
      <c r="J1121" t="n">
        <v>1</v>
      </c>
      <c r="K1121" t="n">
        <v>0</v>
      </c>
      <c r="L1121" t="n">
        <v>0</v>
      </c>
      <c r="M1121" t="n">
        <v>0</v>
      </c>
      <c r="N1121" t="n">
        <v>0</v>
      </c>
      <c r="O1121" t="n">
        <v>1</v>
      </c>
      <c r="P1121" t="n">
        <v>0</v>
      </c>
      <c r="Q1121" t="n">
        <v>1</v>
      </c>
      <c r="R1121" s="2" t="inlineStr">
        <is>
          <t>Gammelgransskål</t>
        </is>
      </c>
      <c r="S1121">
        <f>HYPERLINK("https://klasma.github.io/Logging_STROMSUND/artfynd/A 19240-2023.xlsx")</f>
        <v/>
      </c>
      <c r="T1121">
        <f>HYPERLINK("https://klasma.github.io/Logging_STROMSUND/kartor/A 19240-2023.png")</f>
        <v/>
      </c>
      <c r="V1121">
        <f>HYPERLINK("https://klasma.github.io/Logging_STROMSUND/klagomål/A 19240-2023.docx")</f>
        <v/>
      </c>
      <c r="W1121">
        <f>HYPERLINK("https://klasma.github.io/Logging_STROMSUND/klagomålsmail/A 19240-2023.docx")</f>
        <v/>
      </c>
      <c r="X1121">
        <f>HYPERLINK("https://klasma.github.io/Logging_STROMSUND/tillsyn/A 19240-2023.docx")</f>
        <v/>
      </c>
      <c r="Y1121">
        <f>HYPERLINK("https://klasma.github.io/Logging_STROMSUND/tillsynsmail/A 19240-2023.docx")</f>
        <v/>
      </c>
    </row>
    <row r="1122" ht="15" customHeight="1">
      <c r="A1122" t="inlineStr">
        <is>
          <t>A 19435-2023</t>
        </is>
      </c>
      <c r="B1122" s="1" t="n">
        <v>45049</v>
      </c>
      <c r="C1122" s="1" t="n">
        <v>45182</v>
      </c>
      <c r="D1122" t="inlineStr">
        <is>
          <t>JÄMTLANDS LÄN</t>
        </is>
      </c>
      <c r="E1122" t="inlineStr">
        <is>
          <t>BRÄCKE</t>
        </is>
      </c>
      <c r="G1122" t="n">
        <v>2.7</v>
      </c>
      <c r="H1122" t="n">
        <v>0</v>
      </c>
      <c r="I1122" t="n">
        <v>0</v>
      </c>
      <c r="J1122" t="n">
        <v>1</v>
      </c>
      <c r="K1122" t="n">
        <v>0</v>
      </c>
      <c r="L1122" t="n">
        <v>0</v>
      </c>
      <c r="M1122" t="n">
        <v>0</v>
      </c>
      <c r="N1122" t="n">
        <v>0</v>
      </c>
      <c r="O1122" t="n">
        <v>1</v>
      </c>
      <c r="P1122" t="n">
        <v>0</v>
      </c>
      <c r="Q1122" t="n">
        <v>1</v>
      </c>
      <c r="R1122" s="2" t="inlineStr">
        <is>
          <t>Lunglav</t>
        </is>
      </c>
      <c r="S1122">
        <f>HYPERLINK("https://klasma.github.io/Logging_BRACKE/artfynd/A 19435-2023.xlsx")</f>
        <v/>
      </c>
      <c r="T1122">
        <f>HYPERLINK("https://klasma.github.io/Logging_BRACKE/kartor/A 19435-2023.png")</f>
        <v/>
      </c>
      <c r="V1122">
        <f>HYPERLINK("https://klasma.github.io/Logging_BRACKE/klagomål/A 19435-2023.docx")</f>
        <v/>
      </c>
      <c r="W1122">
        <f>HYPERLINK("https://klasma.github.io/Logging_BRACKE/klagomålsmail/A 19435-2023.docx")</f>
        <v/>
      </c>
      <c r="X1122">
        <f>HYPERLINK("https://klasma.github.io/Logging_BRACKE/tillsyn/A 19435-2023.docx")</f>
        <v/>
      </c>
      <c r="Y1122">
        <f>HYPERLINK("https://klasma.github.io/Logging_BRACKE/tillsynsmail/A 19435-2023.docx")</f>
        <v/>
      </c>
    </row>
    <row r="1123" ht="15" customHeight="1">
      <c r="A1123" t="inlineStr">
        <is>
          <t>A 19817-2023</t>
        </is>
      </c>
      <c r="B1123" s="1" t="n">
        <v>45051</v>
      </c>
      <c r="C1123" s="1" t="n">
        <v>45182</v>
      </c>
      <c r="D1123" t="inlineStr">
        <is>
          <t>JÄMTLANDS LÄN</t>
        </is>
      </c>
      <c r="E1123" t="inlineStr">
        <is>
          <t>BRÄCKE</t>
        </is>
      </c>
      <c r="F1123" t="inlineStr">
        <is>
          <t>SCA</t>
        </is>
      </c>
      <c r="G1123" t="n">
        <v>2.8</v>
      </c>
      <c r="H1123" t="n">
        <v>0</v>
      </c>
      <c r="I1123" t="n">
        <v>0</v>
      </c>
      <c r="J1123" t="n">
        <v>1</v>
      </c>
      <c r="K1123" t="n">
        <v>0</v>
      </c>
      <c r="L1123" t="n">
        <v>0</v>
      </c>
      <c r="M1123" t="n">
        <v>0</v>
      </c>
      <c r="N1123" t="n">
        <v>0</v>
      </c>
      <c r="O1123" t="n">
        <v>1</v>
      </c>
      <c r="P1123" t="n">
        <v>0</v>
      </c>
      <c r="Q1123" t="n">
        <v>1</v>
      </c>
      <c r="R1123" s="2" t="inlineStr">
        <is>
          <t>Lunglav</t>
        </is>
      </c>
      <c r="S1123">
        <f>HYPERLINK("https://klasma.github.io/Logging_BRACKE/artfynd/A 19817-2023.xlsx")</f>
        <v/>
      </c>
      <c r="T1123">
        <f>HYPERLINK("https://klasma.github.io/Logging_BRACKE/kartor/A 19817-2023.png")</f>
        <v/>
      </c>
      <c r="V1123">
        <f>HYPERLINK("https://klasma.github.io/Logging_BRACKE/klagomål/A 19817-2023.docx")</f>
        <v/>
      </c>
      <c r="W1123">
        <f>HYPERLINK("https://klasma.github.io/Logging_BRACKE/klagomålsmail/A 19817-2023.docx")</f>
        <v/>
      </c>
      <c r="X1123">
        <f>HYPERLINK("https://klasma.github.io/Logging_BRACKE/tillsyn/A 19817-2023.docx")</f>
        <v/>
      </c>
      <c r="Y1123">
        <f>HYPERLINK("https://klasma.github.io/Logging_BRACKE/tillsynsmail/A 19817-2023.docx")</f>
        <v/>
      </c>
    </row>
    <row r="1124" ht="15" customHeight="1">
      <c r="A1124" t="inlineStr">
        <is>
          <t>A 20604-2023</t>
        </is>
      </c>
      <c r="B1124" s="1" t="n">
        <v>45057</v>
      </c>
      <c r="C1124" s="1" t="n">
        <v>45182</v>
      </c>
      <c r="D1124" t="inlineStr">
        <is>
          <t>JÄMTLANDS LÄN</t>
        </is>
      </c>
      <c r="E1124" t="inlineStr">
        <is>
          <t>BRÄCKE</t>
        </is>
      </c>
      <c r="F1124" t="inlineStr">
        <is>
          <t>SCA</t>
        </is>
      </c>
      <c r="G1124" t="n">
        <v>2.9</v>
      </c>
      <c r="H1124" t="n">
        <v>0</v>
      </c>
      <c r="I1124" t="n">
        <v>1</v>
      </c>
      <c r="J1124" t="n">
        <v>0</v>
      </c>
      <c r="K1124" t="n">
        <v>0</v>
      </c>
      <c r="L1124" t="n">
        <v>0</v>
      </c>
      <c r="M1124" t="n">
        <v>0</v>
      </c>
      <c r="N1124" t="n">
        <v>0</v>
      </c>
      <c r="O1124" t="n">
        <v>0</v>
      </c>
      <c r="P1124" t="n">
        <v>0</v>
      </c>
      <c r="Q1124" t="n">
        <v>1</v>
      </c>
      <c r="R1124" s="2" t="inlineStr">
        <is>
          <t>Tallfingersvamp</t>
        </is>
      </c>
      <c r="S1124">
        <f>HYPERLINK("https://klasma.github.io/Logging_BRACKE/artfynd/A 20604-2023.xlsx")</f>
        <v/>
      </c>
      <c r="T1124">
        <f>HYPERLINK("https://klasma.github.io/Logging_BRACKE/kartor/A 20604-2023.png")</f>
        <v/>
      </c>
      <c r="V1124">
        <f>HYPERLINK("https://klasma.github.io/Logging_BRACKE/klagomål/A 20604-2023.docx")</f>
        <v/>
      </c>
      <c r="W1124">
        <f>HYPERLINK("https://klasma.github.io/Logging_BRACKE/klagomålsmail/A 20604-2023.docx")</f>
        <v/>
      </c>
      <c r="X1124">
        <f>HYPERLINK("https://klasma.github.io/Logging_BRACKE/tillsyn/A 20604-2023.docx")</f>
        <v/>
      </c>
      <c r="Y1124">
        <f>HYPERLINK("https://klasma.github.io/Logging_BRACKE/tillsynsmail/A 20604-2023.docx")</f>
        <v/>
      </c>
    </row>
    <row r="1125" ht="15" customHeight="1">
      <c r="A1125" t="inlineStr">
        <is>
          <t>A 20632-2023</t>
        </is>
      </c>
      <c r="B1125" s="1" t="n">
        <v>45057</v>
      </c>
      <c r="C1125" s="1" t="n">
        <v>45182</v>
      </c>
      <c r="D1125" t="inlineStr">
        <is>
          <t>JÄMTLANDS LÄN</t>
        </is>
      </c>
      <c r="E1125" t="inlineStr">
        <is>
          <t>STRÖMSUND</t>
        </is>
      </c>
      <c r="F1125" t="inlineStr">
        <is>
          <t>SCA</t>
        </is>
      </c>
      <c r="G1125" t="n">
        <v>6.3</v>
      </c>
      <c r="H1125" t="n">
        <v>0</v>
      </c>
      <c r="I1125" t="n">
        <v>0</v>
      </c>
      <c r="J1125" t="n">
        <v>1</v>
      </c>
      <c r="K1125" t="n">
        <v>0</v>
      </c>
      <c r="L1125" t="n">
        <v>0</v>
      </c>
      <c r="M1125" t="n">
        <v>0</v>
      </c>
      <c r="N1125" t="n">
        <v>0</v>
      </c>
      <c r="O1125" t="n">
        <v>1</v>
      </c>
      <c r="P1125" t="n">
        <v>0</v>
      </c>
      <c r="Q1125" t="n">
        <v>1</v>
      </c>
      <c r="R1125" s="2" t="inlineStr">
        <is>
          <t>Granticka</t>
        </is>
      </c>
      <c r="S1125">
        <f>HYPERLINK("https://klasma.github.io/Logging_STROMSUND/artfynd/A 20632-2023.xlsx")</f>
        <v/>
      </c>
      <c r="T1125">
        <f>HYPERLINK("https://klasma.github.io/Logging_STROMSUND/kartor/A 20632-2023.png")</f>
        <v/>
      </c>
      <c r="V1125">
        <f>HYPERLINK("https://klasma.github.io/Logging_STROMSUND/klagomål/A 20632-2023.docx")</f>
        <v/>
      </c>
      <c r="W1125">
        <f>HYPERLINK("https://klasma.github.io/Logging_STROMSUND/klagomålsmail/A 20632-2023.docx")</f>
        <v/>
      </c>
      <c r="X1125">
        <f>HYPERLINK("https://klasma.github.io/Logging_STROMSUND/tillsyn/A 20632-2023.docx")</f>
        <v/>
      </c>
      <c r="Y1125">
        <f>HYPERLINK("https://klasma.github.io/Logging_STROMSUND/tillsynsmail/A 20632-2023.docx")</f>
        <v/>
      </c>
    </row>
    <row r="1126" ht="15" customHeight="1">
      <c r="A1126" t="inlineStr">
        <is>
          <t>A 20871-2023</t>
        </is>
      </c>
      <c r="B1126" s="1" t="n">
        <v>45058</v>
      </c>
      <c r="C1126" s="1" t="n">
        <v>45182</v>
      </c>
      <c r="D1126" t="inlineStr">
        <is>
          <t>JÄMTLANDS LÄN</t>
        </is>
      </c>
      <c r="E1126" t="inlineStr">
        <is>
          <t>BRÄCKE</t>
        </is>
      </c>
      <c r="F1126" t="inlineStr">
        <is>
          <t>SCA</t>
        </is>
      </c>
      <c r="G1126" t="n">
        <v>6.7</v>
      </c>
      <c r="H1126" t="n">
        <v>0</v>
      </c>
      <c r="I1126" t="n">
        <v>0</v>
      </c>
      <c r="J1126" t="n">
        <v>1</v>
      </c>
      <c r="K1126" t="n">
        <v>0</v>
      </c>
      <c r="L1126" t="n">
        <v>0</v>
      </c>
      <c r="M1126" t="n">
        <v>0</v>
      </c>
      <c r="N1126" t="n">
        <v>0</v>
      </c>
      <c r="O1126" t="n">
        <v>1</v>
      </c>
      <c r="P1126" t="n">
        <v>0</v>
      </c>
      <c r="Q1126" t="n">
        <v>1</v>
      </c>
      <c r="R1126" s="2" t="inlineStr">
        <is>
          <t>Månlåsbräken</t>
        </is>
      </c>
      <c r="S1126">
        <f>HYPERLINK("https://klasma.github.io/Logging_BRACKE/artfynd/A 20871-2023.xlsx")</f>
        <v/>
      </c>
      <c r="T1126">
        <f>HYPERLINK("https://klasma.github.io/Logging_BRACKE/kartor/A 20871-2023.png")</f>
        <v/>
      </c>
      <c r="V1126">
        <f>HYPERLINK("https://klasma.github.io/Logging_BRACKE/klagomål/A 20871-2023.docx")</f>
        <v/>
      </c>
      <c r="W1126">
        <f>HYPERLINK("https://klasma.github.io/Logging_BRACKE/klagomålsmail/A 20871-2023.docx")</f>
        <v/>
      </c>
      <c r="X1126">
        <f>HYPERLINK("https://klasma.github.io/Logging_BRACKE/tillsyn/A 20871-2023.docx")</f>
        <v/>
      </c>
      <c r="Y1126">
        <f>HYPERLINK("https://klasma.github.io/Logging_BRACKE/tillsynsmail/A 20871-2023.docx")</f>
        <v/>
      </c>
    </row>
    <row r="1127" ht="15" customHeight="1">
      <c r="A1127" t="inlineStr">
        <is>
          <t>A 22233-2023</t>
        </is>
      </c>
      <c r="B1127" s="1" t="n">
        <v>45069</v>
      </c>
      <c r="C1127" s="1" t="n">
        <v>45182</v>
      </c>
      <c r="D1127" t="inlineStr">
        <is>
          <t>JÄMTLANDS LÄN</t>
        </is>
      </c>
      <c r="E1127" t="inlineStr">
        <is>
          <t>BRÄCKE</t>
        </is>
      </c>
      <c r="F1127" t="inlineStr">
        <is>
          <t>SCA</t>
        </is>
      </c>
      <c r="G1127" t="n">
        <v>28.4</v>
      </c>
      <c r="H1127" t="n">
        <v>0</v>
      </c>
      <c r="I1127" t="n">
        <v>0</v>
      </c>
      <c r="J1127" t="n">
        <v>1</v>
      </c>
      <c r="K1127" t="n">
        <v>0</v>
      </c>
      <c r="L1127" t="n">
        <v>0</v>
      </c>
      <c r="M1127" t="n">
        <v>0</v>
      </c>
      <c r="N1127" t="n">
        <v>0</v>
      </c>
      <c r="O1127" t="n">
        <v>1</v>
      </c>
      <c r="P1127" t="n">
        <v>0</v>
      </c>
      <c r="Q1127" t="n">
        <v>1</v>
      </c>
      <c r="R1127" s="2" t="inlineStr">
        <is>
          <t>Lunglav</t>
        </is>
      </c>
      <c r="S1127">
        <f>HYPERLINK("https://klasma.github.io/Logging_BRACKE/artfynd/A 22233-2023.xlsx")</f>
        <v/>
      </c>
      <c r="T1127">
        <f>HYPERLINK("https://klasma.github.io/Logging_BRACKE/kartor/A 22233-2023.png")</f>
        <v/>
      </c>
      <c r="V1127">
        <f>HYPERLINK("https://klasma.github.io/Logging_BRACKE/klagomål/A 22233-2023.docx")</f>
        <v/>
      </c>
      <c r="W1127">
        <f>HYPERLINK("https://klasma.github.io/Logging_BRACKE/klagomålsmail/A 22233-2023.docx")</f>
        <v/>
      </c>
      <c r="X1127">
        <f>HYPERLINK("https://klasma.github.io/Logging_BRACKE/tillsyn/A 22233-2023.docx")</f>
        <v/>
      </c>
      <c r="Y1127">
        <f>HYPERLINK("https://klasma.github.io/Logging_BRACKE/tillsynsmail/A 22233-2023.docx")</f>
        <v/>
      </c>
    </row>
    <row r="1128" ht="15" customHeight="1">
      <c r="A1128" t="inlineStr">
        <is>
          <t>A 22990-2023</t>
        </is>
      </c>
      <c r="B1128" s="1" t="n">
        <v>45072</v>
      </c>
      <c r="C1128" s="1" t="n">
        <v>45182</v>
      </c>
      <c r="D1128" t="inlineStr">
        <is>
          <t>JÄMTLANDS LÄN</t>
        </is>
      </c>
      <c r="E1128" t="inlineStr">
        <is>
          <t>BRÄCKE</t>
        </is>
      </c>
      <c r="F1128" t="inlineStr">
        <is>
          <t>SCA</t>
        </is>
      </c>
      <c r="G1128" t="n">
        <v>5.2</v>
      </c>
      <c r="H1128" t="n">
        <v>0</v>
      </c>
      <c r="I1128" t="n">
        <v>0</v>
      </c>
      <c r="J1128" t="n">
        <v>1</v>
      </c>
      <c r="K1128" t="n">
        <v>0</v>
      </c>
      <c r="L1128" t="n">
        <v>0</v>
      </c>
      <c r="M1128" t="n">
        <v>0</v>
      </c>
      <c r="N1128" t="n">
        <v>0</v>
      </c>
      <c r="O1128" t="n">
        <v>1</v>
      </c>
      <c r="P1128" t="n">
        <v>0</v>
      </c>
      <c r="Q1128" t="n">
        <v>1</v>
      </c>
      <c r="R1128" s="2" t="inlineStr">
        <is>
          <t>Rosenticka</t>
        </is>
      </c>
      <c r="S1128">
        <f>HYPERLINK("https://klasma.github.io/Logging_BRACKE/artfynd/A 22990-2023.xlsx")</f>
        <v/>
      </c>
      <c r="T1128">
        <f>HYPERLINK("https://klasma.github.io/Logging_BRACKE/kartor/A 22990-2023.png")</f>
        <v/>
      </c>
      <c r="V1128">
        <f>HYPERLINK("https://klasma.github.io/Logging_BRACKE/klagomål/A 22990-2023.docx")</f>
        <v/>
      </c>
      <c r="W1128">
        <f>HYPERLINK("https://klasma.github.io/Logging_BRACKE/klagomålsmail/A 22990-2023.docx")</f>
        <v/>
      </c>
      <c r="X1128">
        <f>HYPERLINK("https://klasma.github.io/Logging_BRACKE/tillsyn/A 22990-2023.docx")</f>
        <v/>
      </c>
      <c r="Y1128">
        <f>HYPERLINK("https://klasma.github.io/Logging_BRACKE/tillsynsmail/A 22990-2023.docx")</f>
        <v/>
      </c>
    </row>
    <row r="1129" ht="15" customHeight="1">
      <c r="A1129" t="inlineStr">
        <is>
          <t>A 24309-2023</t>
        </is>
      </c>
      <c r="B1129" s="1" t="n">
        <v>45079</v>
      </c>
      <c r="C1129" s="1" t="n">
        <v>45182</v>
      </c>
      <c r="D1129" t="inlineStr">
        <is>
          <t>JÄMTLANDS LÄN</t>
        </is>
      </c>
      <c r="E1129" t="inlineStr">
        <is>
          <t>BERG</t>
        </is>
      </c>
      <c r="F1129" t="inlineStr">
        <is>
          <t>SCA</t>
        </is>
      </c>
      <c r="G1129" t="n">
        <v>3.3</v>
      </c>
      <c r="H1129" t="n">
        <v>1</v>
      </c>
      <c r="I1129" t="n">
        <v>0</v>
      </c>
      <c r="J1129" t="n">
        <v>0</v>
      </c>
      <c r="K1129" t="n">
        <v>0</v>
      </c>
      <c r="L1129" t="n">
        <v>0</v>
      </c>
      <c r="M1129" t="n">
        <v>0</v>
      </c>
      <c r="N1129" t="n">
        <v>0</v>
      </c>
      <c r="O1129" t="n">
        <v>0</v>
      </c>
      <c r="P1129" t="n">
        <v>0</v>
      </c>
      <c r="Q1129" t="n">
        <v>1</v>
      </c>
      <c r="R1129" s="2" t="inlineStr">
        <is>
          <t>Vanlig groda</t>
        </is>
      </c>
      <c r="S1129">
        <f>HYPERLINK("https://klasma.github.io/Logging_BERG/artfynd/A 24309-2023.xlsx")</f>
        <v/>
      </c>
      <c r="T1129">
        <f>HYPERLINK("https://klasma.github.io/Logging_BERG/kartor/A 24309-2023.png")</f>
        <v/>
      </c>
      <c r="V1129">
        <f>HYPERLINK("https://klasma.github.io/Logging_BERG/klagomål/A 24309-2023.docx")</f>
        <v/>
      </c>
      <c r="W1129">
        <f>HYPERLINK("https://klasma.github.io/Logging_BERG/klagomålsmail/A 24309-2023.docx")</f>
        <v/>
      </c>
      <c r="X1129">
        <f>HYPERLINK("https://klasma.github.io/Logging_BERG/tillsyn/A 24309-2023.docx")</f>
        <v/>
      </c>
      <c r="Y1129">
        <f>HYPERLINK("https://klasma.github.io/Logging_BERG/tillsynsmail/A 24309-2023.docx")</f>
        <v/>
      </c>
    </row>
    <row r="1130" ht="15" customHeight="1">
      <c r="A1130" t="inlineStr">
        <is>
          <t>A 25285-2023</t>
        </is>
      </c>
      <c r="B1130" s="1" t="n">
        <v>45079</v>
      </c>
      <c r="C1130" s="1" t="n">
        <v>45182</v>
      </c>
      <c r="D1130" t="inlineStr">
        <is>
          <t>JÄMTLANDS LÄN</t>
        </is>
      </c>
      <c r="E1130" t="inlineStr">
        <is>
          <t>KROKOM</t>
        </is>
      </c>
      <c r="G1130" t="n">
        <v>14.9</v>
      </c>
      <c r="H1130" t="n">
        <v>1</v>
      </c>
      <c r="I1130" t="n">
        <v>0</v>
      </c>
      <c r="J1130" t="n">
        <v>1</v>
      </c>
      <c r="K1130" t="n">
        <v>0</v>
      </c>
      <c r="L1130" t="n">
        <v>0</v>
      </c>
      <c r="M1130" t="n">
        <v>0</v>
      </c>
      <c r="N1130" t="n">
        <v>0</v>
      </c>
      <c r="O1130" t="n">
        <v>1</v>
      </c>
      <c r="P1130" t="n">
        <v>0</v>
      </c>
      <c r="Q1130" t="n">
        <v>1</v>
      </c>
      <c r="R1130" s="2" t="inlineStr">
        <is>
          <t>Tretåig hackspett</t>
        </is>
      </c>
      <c r="S1130">
        <f>HYPERLINK("https://klasma.github.io/Logging_KROKOM/artfynd/A 25285-2023.xlsx")</f>
        <v/>
      </c>
      <c r="T1130">
        <f>HYPERLINK("https://klasma.github.io/Logging_KROKOM/kartor/A 25285-2023.png")</f>
        <v/>
      </c>
      <c r="V1130">
        <f>HYPERLINK("https://klasma.github.io/Logging_KROKOM/klagomål/A 25285-2023.docx")</f>
        <v/>
      </c>
      <c r="W1130">
        <f>HYPERLINK("https://klasma.github.io/Logging_KROKOM/klagomålsmail/A 25285-2023.docx")</f>
        <v/>
      </c>
      <c r="X1130">
        <f>HYPERLINK("https://klasma.github.io/Logging_KROKOM/tillsyn/A 25285-2023.docx")</f>
        <v/>
      </c>
      <c r="Y1130">
        <f>HYPERLINK("https://klasma.github.io/Logging_KROKOM/tillsynsmail/A 25285-2023.docx")</f>
        <v/>
      </c>
    </row>
    <row r="1131" ht="15" customHeight="1">
      <c r="A1131" t="inlineStr">
        <is>
          <t>A 24825-2023</t>
        </is>
      </c>
      <c r="B1131" s="1" t="n">
        <v>45084</v>
      </c>
      <c r="C1131" s="1" t="n">
        <v>45182</v>
      </c>
      <c r="D1131" t="inlineStr">
        <is>
          <t>JÄMTLANDS LÄN</t>
        </is>
      </c>
      <c r="E1131" t="inlineStr">
        <is>
          <t>BRÄCKE</t>
        </is>
      </c>
      <c r="F1131" t="inlineStr">
        <is>
          <t>SCA</t>
        </is>
      </c>
      <c r="G1131" t="n">
        <v>7</v>
      </c>
      <c r="H1131" t="n">
        <v>0</v>
      </c>
      <c r="I1131" t="n">
        <v>0</v>
      </c>
      <c r="J1131" t="n">
        <v>1</v>
      </c>
      <c r="K1131" t="n">
        <v>0</v>
      </c>
      <c r="L1131" t="n">
        <v>0</v>
      </c>
      <c r="M1131" t="n">
        <v>0</v>
      </c>
      <c r="N1131" t="n">
        <v>0</v>
      </c>
      <c r="O1131" t="n">
        <v>1</v>
      </c>
      <c r="P1131" t="n">
        <v>0</v>
      </c>
      <c r="Q1131" t="n">
        <v>1</v>
      </c>
      <c r="R1131" s="2" t="inlineStr">
        <is>
          <t>Tallticka</t>
        </is>
      </c>
      <c r="S1131">
        <f>HYPERLINK("https://klasma.github.io/Logging_BRACKE/artfynd/A 24825-2023.xlsx")</f>
        <v/>
      </c>
      <c r="T1131">
        <f>HYPERLINK("https://klasma.github.io/Logging_BRACKE/kartor/A 24825-2023.png")</f>
        <v/>
      </c>
      <c r="V1131">
        <f>HYPERLINK("https://klasma.github.io/Logging_BRACKE/klagomål/A 24825-2023.docx")</f>
        <v/>
      </c>
      <c r="W1131">
        <f>HYPERLINK("https://klasma.github.io/Logging_BRACKE/klagomålsmail/A 24825-2023.docx")</f>
        <v/>
      </c>
      <c r="X1131">
        <f>HYPERLINK("https://klasma.github.io/Logging_BRACKE/tillsyn/A 24825-2023.docx")</f>
        <v/>
      </c>
      <c r="Y1131">
        <f>HYPERLINK("https://klasma.github.io/Logging_BRACKE/tillsynsmail/A 24825-2023.docx")</f>
        <v/>
      </c>
    </row>
    <row r="1132" ht="15" customHeight="1">
      <c r="A1132" t="inlineStr">
        <is>
          <t>A 24826-2023</t>
        </is>
      </c>
      <c r="B1132" s="1" t="n">
        <v>45084</v>
      </c>
      <c r="C1132" s="1" t="n">
        <v>45182</v>
      </c>
      <c r="D1132" t="inlineStr">
        <is>
          <t>JÄMTLANDS LÄN</t>
        </is>
      </c>
      <c r="E1132" t="inlineStr">
        <is>
          <t>BRÄCKE</t>
        </is>
      </c>
      <c r="F1132" t="inlineStr">
        <is>
          <t>SCA</t>
        </is>
      </c>
      <c r="G1132" t="n">
        <v>6.5</v>
      </c>
      <c r="H1132" t="n">
        <v>0</v>
      </c>
      <c r="I1132" t="n">
        <v>0</v>
      </c>
      <c r="J1132" t="n">
        <v>1</v>
      </c>
      <c r="K1132" t="n">
        <v>0</v>
      </c>
      <c r="L1132" t="n">
        <v>0</v>
      </c>
      <c r="M1132" t="n">
        <v>0</v>
      </c>
      <c r="N1132" t="n">
        <v>0</v>
      </c>
      <c r="O1132" t="n">
        <v>1</v>
      </c>
      <c r="P1132" t="n">
        <v>0</v>
      </c>
      <c r="Q1132" t="n">
        <v>1</v>
      </c>
      <c r="R1132" s="2" t="inlineStr">
        <is>
          <t>Rosenticka</t>
        </is>
      </c>
      <c r="S1132">
        <f>HYPERLINK("https://klasma.github.io/Logging_BRACKE/artfynd/A 24826-2023.xlsx")</f>
        <v/>
      </c>
      <c r="T1132">
        <f>HYPERLINK("https://klasma.github.io/Logging_BRACKE/kartor/A 24826-2023.png")</f>
        <v/>
      </c>
      <c r="V1132">
        <f>HYPERLINK("https://klasma.github.io/Logging_BRACKE/klagomål/A 24826-2023.docx")</f>
        <v/>
      </c>
      <c r="W1132">
        <f>HYPERLINK("https://klasma.github.io/Logging_BRACKE/klagomålsmail/A 24826-2023.docx")</f>
        <v/>
      </c>
      <c r="X1132">
        <f>HYPERLINK("https://klasma.github.io/Logging_BRACKE/tillsyn/A 24826-2023.docx")</f>
        <v/>
      </c>
      <c r="Y1132">
        <f>HYPERLINK("https://klasma.github.io/Logging_BRACKE/tillsynsmail/A 24826-2023.docx")</f>
        <v/>
      </c>
    </row>
    <row r="1133" ht="15" customHeight="1">
      <c r="A1133" t="inlineStr">
        <is>
          <t>A 24832-2023</t>
        </is>
      </c>
      <c r="B1133" s="1" t="n">
        <v>45084</v>
      </c>
      <c r="C1133" s="1" t="n">
        <v>45182</v>
      </c>
      <c r="D1133" t="inlineStr">
        <is>
          <t>JÄMTLANDS LÄN</t>
        </is>
      </c>
      <c r="E1133" t="inlineStr">
        <is>
          <t>STRÖMSUND</t>
        </is>
      </c>
      <c r="G1133" t="n">
        <v>9.6</v>
      </c>
      <c r="H1133" t="n">
        <v>0</v>
      </c>
      <c r="I1133" t="n">
        <v>0</v>
      </c>
      <c r="J1133" t="n">
        <v>1</v>
      </c>
      <c r="K1133" t="n">
        <v>0</v>
      </c>
      <c r="L1133" t="n">
        <v>0</v>
      </c>
      <c r="M1133" t="n">
        <v>0</v>
      </c>
      <c r="N1133" t="n">
        <v>0</v>
      </c>
      <c r="O1133" t="n">
        <v>1</v>
      </c>
      <c r="P1133" t="n">
        <v>0</v>
      </c>
      <c r="Q1133" t="n">
        <v>1</v>
      </c>
      <c r="R1133" s="2" t="inlineStr">
        <is>
          <t>Granticka</t>
        </is>
      </c>
      <c r="S1133">
        <f>HYPERLINK("https://klasma.github.io/Logging_STROMSUND/artfynd/A 24832-2023.xlsx")</f>
        <v/>
      </c>
      <c r="T1133">
        <f>HYPERLINK("https://klasma.github.io/Logging_STROMSUND/kartor/A 24832-2023.png")</f>
        <v/>
      </c>
      <c r="V1133">
        <f>HYPERLINK("https://klasma.github.io/Logging_STROMSUND/klagomål/A 24832-2023.docx")</f>
        <v/>
      </c>
      <c r="W1133">
        <f>HYPERLINK("https://klasma.github.io/Logging_STROMSUND/klagomålsmail/A 24832-2023.docx")</f>
        <v/>
      </c>
      <c r="X1133">
        <f>HYPERLINK("https://klasma.github.io/Logging_STROMSUND/tillsyn/A 24832-2023.docx")</f>
        <v/>
      </c>
      <c r="Y1133">
        <f>HYPERLINK("https://klasma.github.io/Logging_STROMSUND/tillsynsmail/A 24832-2023.docx")</f>
        <v/>
      </c>
    </row>
    <row r="1134" ht="15" customHeight="1">
      <c r="A1134" t="inlineStr">
        <is>
          <t>A 26482-2023</t>
        </is>
      </c>
      <c r="B1134" s="1" t="n">
        <v>45089</v>
      </c>
      <c r="C1134" s="1" t="n">
        <v>45182</v>
      </c>
      <c r="D1134" t="inlineStr">
        <is>
          <t>JÄMTLANDS LÄN</t>
        </is>
      </c>
      <c r="E1134" t="inlineStr">
        <is>
          <t>RAGUNDA</t>
        </is>
      </c>
      <c r="G1134" t="n">
        <v>2</v>
      </c>
      <c r="H1134" t="n">
        <v>0</v>
      </c>
      <c r="I1134" t="n">
        <v>0</v>
      </c>
      <c r="J1134" t="n">
        <v>1</v>
      </c>
      <c r="K1134" t="n">
        <v>0</v>
      </c>
      <c r="L1134" t="n">
        <v>0</v>
      </c>
      <c r="M1134" t="n">
        <v>0</v>
      </c>
      <c r="N1134" t="n">
        <v>0</v>
      </c>
      <c r="O1134" t="n">
        <v>1</v>
      </c>
      <c r="P1134" t="n">
        <v>0</v>
      </c>
      <c r="Q1134" t="n">
        <v>1</v>
      </c>
      <c r="R1134" s="2" t="inlineStr">
        <is>
          <t>Ullticka</t>
        </is>
      </c>
      <c r="S1134">
        <f>HYPERLINK("https://klasma.github.io/Logging_RAGUNDA/artfynd/A 26482-2023.xlsx")</f>
        <v/>
      </c>
      <c r="T1134">
        <f>HYPERLINK("https://klasma.github.io/Logging_RAGUNDA/kartor/A 26482-2023.png")</f>
        <v/>
      </c>
      <c r="V1134">
        <f>HYPERLINK("https://klasma.github.io/Logging_RAGUNDA/klagomål/A 26482-2023.docx")</f>
        <v/>
      </c>
      <c r="W1134">
        <f>HYPERLINK("https://klasma.github.io/Logging_RAGUNDA/klagomålsmail/A 26482-2023.docx")</f>
        <v/>
      </c>
      <c r="X1134">
        <f>HYPERLINK("https://klasma.github.io/Logging_RAGUNDA/tillsyn/A 26482-2023.docx")</f>
        <v/>
      </c>
      <c r="Y1134">
        <f>HYPERLINK("https://klasma.github.io/Logging_RAGUNDA/tillsynsmail/A 26482-2023.docx")</f>
        <v/>
      </c>
    </row>
    <row r="1135" ht="15" customHeight="1">
      <c r="A1135" t="inlineStr">
        <is>
          <t>A 25672-2023</t>
        </is>
      </c>
      <c r="B1135" s="1" t="n">
        <v>45089</v>
      </c>
      <c r="C1135" s="1" t="n">
        <v>45182</v>
      </c>
      <c r="D1135" t="inlineStr">
        <is>
          <t>JÄMTLANDS LÄN</t>
        </is>
      </c>
      <c r="E1135" t="inlineStr">
        <is>
          <t>STRÖMSUND</t>
        </is>
      </c>
      <c r="F1135" t="inlineStr">
        <is>
          <t>SCA</t>
        </is>
      </c>
      <c r="G1135" t="n">
        <v>5.5</v>
      </c>
      <c r="H1135" t="n">
        <v>0</v>
      </c>
      <c r="I1135" t="n">
        <v>0</v>
      </c>
      <c r="J1135" t="n">
        <v>1</v>
      </c>
      <c r="K1135" t="n">
        <v>0</v>
      </c>
      <c r="L1135" t="n">
        <v>0</v>
      </c>
      <c r="M1135" t="n">
        <v>0</v>
      </c>
      <c r="N1135" t="n">
        <v>0</v>
      </c>
      <c r="O1135" t="n">
        <v>1</v>
      </c>
      <c r="P1135" t="n">
        <v>0</v>
      </c>
      <c r="Q1135" t="n">
        <v>1</v>
      </c>
      <c r="R1135" s="2" t="inlineStr">
        <is>
          <t>Kolflarnlav</t>
        </is>
      </c>
      <c r="S1135">
        <f>HYPERLINK("https://klasma.github.io/Logging_STROMSUND/artfynd/A 25672-2023.xlsx")</f>
        <v/>
      </c>
      <c r="T1135">
        <f>HYPERLINK("https://klasma.github.io/Logging_STROMSUND/kartor/A 25672-2023.png")</f>
        <v/>
      </c>
      <c r="V1135">
        <f>HYPERLINK("https://klasma.github.io/Logging_STROMSUND/klagomål/A 25672-2023.docx")</f>
        <v/>
      </c>
      <c r="W1135">
        <f>HYPERLINK("https://klasma.github.io/Logging_STROMSUND/klagomålsmail/A 25672-2023.docx")</f>
        <v/>
      </c>
      <c r="X1135">
        <f>HYPERLINK("https://klasma.github.io/Logging_STROMSUND/tillsyn/A 25672-2023.docx")</f>
        <v/>
      </c>
      <c r="Y1135">
        <f>HYPERLINK("https://klasma.github.io/Logging_STROMSUND/tillsynsmail/A 25672-2023.docx")</f>
        <v/>
      </c>
    </row>
    <row r="1136" ht="15" customHeight="1">
      <c r="A1136" t="inlineStr">
        <is>
          <t>A 26372-2023</t>
        </is>
      </c>
      <c r="B1136" s="1" t="n">
        <v>45091</v>
      </c>
      <c r="C1136" s="1" t="n">
        <v>45182</v>
      </c>
      <c r="D1136" t="inlineStr">
        <is>
          <t>JÄMTLANDS LÄN</t>
        </is>
      </c>
      <c r="E1136" t="inlineStr">
        <is>
          <t>STRÖMSUND</t>
        </is>
      </c>
      <c r="F1136" t="inlineStr">
        <is>
          <t>SCA</t>
        </is>
      </c>
      <c r="G1136" t="n">
        <v>3.1</v>
      </c>
      <c r="H1136" t="n">
        <v>0</v>
      </c>
      <c r="I1136" t="n">
        <v>0</v>
      </c>
      <c r="J1136" t="n">
        <v>1</v>
      </c>
      <c r="K1136" t="n">
        <v>0</v>
      </c>
      <c r="L1136" t="n">
        <v>0</v>
      </c>
      <c r="M1136" t="n">
        <v>0</v>
      </c>
      <c r="N1136" t="n">
        <v>0</v>
      </c>
      <c r="O1136" t="n">
        <v>1</v>
      </c>
      <c r="P1136" t="n">
        <v>0</v>
      </c>
      <c r="Q1136" t="n">
        <v>1</v>
      </c>
      <c r="R1136" s="2" t="inlineStr">
        <is>
          <t>Harticka</t>
        </is>
      </c>
      <c r="S1136">
        <f>HYPERLINK("https://klasma.github.io/Logging_STROMSUND/artfynd/A 26372-2023.xlsx")</f>
        <v/>
      </c>
      <c r="T1136">
        <f>HYPERLINK("https://klasma.github.io/Logging_STROMSUND/kartor/A 26372-2023.png")</f>
        <v/>
      </c>
      <c r="V1136">
        <f>HYPERLINK("https://klasma.github.io/Logging_STROMSUND/klagomål/A 26372-2023.docx")</f>
        <v/>
      </c>
      <c r="W1136">
        <f>HYPERLINK("https://klasma.github.io/Logging_STROMSUND/klagomålsmail/A 26372-2023.docx")</f>
        <v/>
      </c>
      <c r="X1136">
        <f>HYPERLINK("https://klasma.github.io/Logging_STROMSUND/tillsyn/A 26372-2023.docx")</f>
        <v/>
      </c>
      <c r="Y1136">
        <f>HYPERLINK("https://klasma.github.io/Logging_STROMSUND/tillsynsmail/A 26372-2023.docx")</f>
        <v/>
      </c>
    </row>
    <row r="1137" ht="15" customHeight="1">
      <c r="A1137" t="inlineStr">
        <is>
          <t>A 26647-2023</t>
        </is>
      </c>
      <c r="B1137" s="1" t="n">
        <v>45092</v>
      </c>
      <c r="C1137" s="1" t="n">
        <v>45182</v>
      </c>
      <c r="D1137" t="inlineStr">
        <is>
          <t>JÄMTLANDS LÄN</t>
        </is>
      </c>
      <c r="E1137" t="inlineStr">
        <is>
          <t>BRÄCKE</t>
        </is>
      </c>
      <c r="G1137" t="n">
        <v>1.3</v>
      </c>
      <c r="H1137" t="n">
        <v>0</v>
      </c>
      <c r="I1137" t="n">
        <v>0</v>
      </c>
      <c r="J1137" t="n">
        <v>1</v>
      </c>
      <c r="K1137" t="n">
        <v>0</v>
      </c>
      <c r="L1137" t="n">
        <v>0</v>
      </c>
      <c r="M1137" t="n">
        <v>0</v>
      </c>
      <c r="N1137" t="n">
        <v>0</v>
      </c>
      <c r="O1137" t="n">
        <v>1</v>
      </c>
      <c r="P1137" t="n">
        <v>0</v>
      </c>
      <c r="Q1137" t="n">
        <v>1</v>
      </c>
      <c r="R1137" s="2" t="inlineStr">
        <is>
          <t>Ullticka</t>
        </is>
      </c>
      <c r="S1137">
        <f>HYPERLINK("https://klasma.github.io/Logging_BRACKE/artfynd/A 26647-2023.xlsx")</f>
        <v/>
      </c>
      <c r="T1137">
        <f>HYPERLINK("https://klasma.github.io/Logging_BRACKE/kartor/A 26647-2023.png")</f>
        <v/>
      </c>
      <c r="V1137">
        <f>HYPERLINK("https://klasma.github.io/Logging_BRACKE/klagomål/A 26647-2023.docx")</f>
        <v/>
      </c>
      <c r="W1137">
        <f>HYPERLINK("https://klasma.github.io/Logging_BRACKE/klagomålsmail/A 26647-2023.docx")</f>
        <v/>
      </c>
      <c r="X1137">
        <f>HYPERLINK("https://klasma.github.io/Logging_BRACKE/tillsyn/A 26647-2023.docx")</f>
        <v/>
      </c>
      <c r="Y1137">
        <f>HYPERLINK("https://klasma.github.io/Logging_BRACKE/tillsynsmail/A 26647-2023.docx")</f>
        <v/>
      </c>
    </row>
    <row r="1138" ht="15" customHeight="1">
      <c r="A1138" t="inlineStr">
        <is>
          <t>A 28980-2023</t>
        </is>
      </c>
      <c r="B1138" s="1" t="n">
        <v>45096</v>
      </c>
      <c r="C1138" s="1" t="n">
        <v>45182</v>
      </c>
      <c r="D1138" t="inlineStr">
        <is>
          <t>JÄMTLANDS LÄN</t>
        </is>
      </c>
      <c r="E1138" t="inlineStr">
        <is>
          <t>ÖSTERSUND</t>
        </is>
      </c>
      <c r="G1138" t="n">
        <v>2.7</v>
      </c>
      <c r="H1138" t="n">
        <v>0</v>
      </c>
      <c r="I1138" t="n">
        <v>1</v>
      </c>
      <c r="J1138" t="n">
        <v>0</v>
      </c>
      <c r="K1138" t="n">
        <v>0</v>
      </c>
      <c r="L1138" t="n">
        <v>0</v>
      </c>
      <c r="M1138" t="n">
        <v>0</v>
      </c>
      <c r="N1138" t="n">
        <v>0</v>
      </c>
      <c r="O1138" t="n">
        <v>0</v>
      </c>
      <c r="P1138" t="n">
        <v>0</v>
      </c>
      <c r="Q1138" t="n">
        <v>1</v>
      </c>
      <c r="R1138" s="2" t="inlineStr">
        <is>
          <t>Finbräken</t>
        </is>
      </c>
      <c r="S1138">
        <f>HYPERLINK("https://klasma.github.io/Logging_OSTERSUND/artfynd/A 28980-2023.xlsx")</f>
        <v/>
      </c>
      <c r="T1138">
        <f>HYPERLINK("https://klasma.github.io/Logging_OSTERSUND/kartor/A 28980-2023.png")</f>
        <v/>
      </c>
      <c r="V1138">
        <f>HYPERLINK("https://klasma.github.io/Logging_OSTERSUND/klagomål/A 28980-2023.docx")</f>
        <v/>
      </c>
      <c r="W1138">
        <f>HYPERLINK("https://klasma.github.io/Logging_OSTERSUND/klagomålsmail/A 28980-2023.docx")</f>
        <v/>
      </c>
      <c r="X1138">
        <f>HYPERLINK("https://klasma.github.io/Logging_OSTERSUND/tillsyn/A 28980-2023.docx")</f>
        <v/>
      </c>
      <c r="Y1138">
        <f>HYPERLINK("https://klasma.github.io/Logging_OSTERSUND/tillsynsmail/A 28980-2023.docx")</f>
        <v/>
      </c>
    </row>
    <row r="1139" ht="15" customHeight="1">
      <c r="A1139" t="inlineStr">
        <is>
          <t>A 27683-2023</t>
        </is>
      </c>
      <c r="B1139" s="1" t="n">
        <v>45097</v>
      </c>
      <c r="C1139" s="1" t="n">
        <v>45182</v>
      </c>
      <c r="D1139" t="inlineStr">
        <is>
          <t>JÄMTLANDS LÄN</t>
        </is>
      </c>
      <c r="E1139" t="inlineStr">
        <is>
          <t>RAGUNDA</t>
        </is>
      </c>
      <c r="F1139" t="inlineStr">
        <is>
          <t>SCA</t>
        </is>
      </c>
      <c r="G1139" t="n">
        <v>7.3</v>
      </c>
      <c r="H1139" t="n">
        <v>0</v>
      </c>
      <c r="I1139" t="n">
        <v>0</v>
      </c>
      <c r="J1139" t="n">
        <v>1</v>
      </c>
      <c r="K1139" t="n">
        <v>0</v>
      </c>
      <c r="L1139" t="n">
        <v>0</v>
      </c>
      <c r="M1139" t="n">
        <v>0</v>
      </c>
      <c r="N1139" t="n">
        <v>0</v>
      </c>
      <c r="O1139" t="n">
        <v>1</v>
      </c>
      <c r="P1139" t="n">
        <v>0</v>
      </c>
      <c r="Q1139" t="n">
        <v>1</v>
      </c>
      <c r="R1139" s="2" t="inlineStr">
        <is>
          <t>Dvärgbägarlav</t>
        </is>
      </c>
      <c r="S1139">
        <f>HYPERLINK("https://klasma.github.io/Logging_RAGUNDA/artfynd/A 27683-2023.xlsx")</f>
        <v/>
      </c>
      <c r="T1139">
        <f>HYPERLINK("https://klasma.github.io/Logging_RAGUNDA/kartor/A 27683-2023.png")</f>
        <v/>
      </c>
      <c r="V1139">
        <f>HYPERLINK("https://klasma.github.io/Logging_RAGUNDA/klagomål/A 27683-2023.docx")</f>
        <v/>
      </c>
      <c r="W1139">
        <f>HYPERLINK("https://klasma.github.io/Logging_RAGUNDA/klagomålsmail/A 27683-2023.docx")</f>
        <v/>
      </c>
      <c r="X1139">
        <f>HYPERLINK("https://klasma.github.io/Logging_RAGUNDA/tillsyn/A 27683-2023.docx")</f>
        <v/>
      </c>
      <c r="Y1139">
        <f>HYPERLINK("https://klasma.github.io/Logging_RAGUNDA/tillsynsmail/A 27683-2023.docx")</f>
        <v/>
      </c>
    </row>
    <row r="1140" ht="15" customHeight="1">
      <c r="A1140" t="inlineStr">
        <is>
          <t>A 28751-2023</t>
        </is>
      </c>
      <c r="B1140" s="1" t="n">
        <v>45103</v>
      </c>
      <c r="C1140" s="1" t="n">
        <v>45182</v>
      </c>
      <c r="D1140" t="inlineStr">
        <is>
          <t>JÄMTLANDS LÄN</t>
        </is>
      </c>
      <c r="E1140" t="inlineStr">
        <is>
          <t>STRÖMSUND</t>
        </is>
      </c>
      <c r="F1140" t="inlineStr">
        <is>
          <t>SCA</t>
        </is>
      </c>
      <c r="G1140" t="n">
        <v>10.2</v>
      </c>
      <c r="H1140" t="n">
        <v>0</v>
      </c>
      <c r="I1140" t="n">
        <v>0</v>
      </c>
      <c r="J1140" t="n">
        <v>1</v>
      </c>
      <c r="K1140" t="n">
        <v>0</v>
      </c>
      <c r="L1140" t="n">
        <v>0</v>
      </c>
      <c r="M1140" t="n">
        <v>0</v>
      </c>
      <c r="N1140" t="n">
        <v>0</v>
      </c>
      <c r="O1140" t="n">
        <v>1</v>
      </c>
      <c r="P1140" t="n">
        <v>0</v>
      </c>
      <c r="Q1140" t="n">
        <v>1</v>
      </c>
      <c r="R1140" s="2" t="inlineStr">
        <is>
          <t>Granticka</t>
        </is>
      </c>
      <c r="S1140">
        <f>HYPERLINK("https://klasma.github.io/Logging_STROMSUND/artfynd/A 28751-2023.xlsx")</f>
        <v/>
      </c>
      <c r="T1140">
        <f>HYPERLINK("https://klasma.github.io/Logging_STROMSUND/kartor/A 28751-2023.png")</f>
        <v/>
      </c>
      <c r="V1140">
        <f>HYPERLINK("https://klasma.github.io/Logging_STROMSUND/klagomål/A 28751-2023.docx")</f>
        <v/>
      </c>
      <c r="W1140">
        <f>HYPERLINK("https://klasma.github.io/Logging_STROMSUND/klagomålsmail/A 28751-2023.docx")</f>
        <v/>
      </c>
      <c r="X1140">
        <f>HYPERLINK("https://klasma.github.io/Logging_STROMSUND/tillsyn/A 28751-2023.docx")</f>
        <v/>
      </c>
      <c r="Y1140">
        <f>HYPERLINK("https://klasma.github.io/Logging_STROMSUND/tillsynsmail/A 28751-2023.docx")</f>
        <v/>
      </c>
    </row>
    <row r="1141" ht="15" customHeight="1">
      <c r="A1141" t="inlineStr">
        <is>
          <t>A 29604-2023</t>
        </is>
      </c>
      <c r="B1141" s="1" t="n">
        <v>45106</v>
      </c>
      <c r="C1141" s="1" t="n">
        <v>45182</v>
      </c>
      <c r="D1141" t="inlineStr">
        <is>
          <t>JÄMTLANDS LÄN</t>
        </is>
      </c>
      <c r="E1141" t="inlineStr">
        <is>
          <t>STRÖMSUND</t>
        </is>
      </c>
      <c r="F1141" t="inlineStr">
        <is>
          <t>SCA</t>
        </is>
      </c>
      <c r="G1141" t="n">
        <v>1.9</v>
      </c>
      <c r="H1141" t="n">
        <v>0</v>
      </c>
      <c r="I1141" t="n">
        <v>0</v>
      </c>
      <c r="J1141" t="n">
        <v>1</v>
      </c>
      <c r="K1141" t="n">
        <v>0</v>
      </c>
      <c r="L1141" t="n">
        <v>0</v>
      </c>
      <c r="M1141" t="n">
        <v>0</v>
      </c>
      <c r="N1141" t="n">
        <v>0</v>
      </c>
      <c r="O1141" t="n">
        <v>1</v>
      </c>
      <c r="P1141" t="n">
        <v>0</v>
      </c>
      <c r="Q1141" t="n">
        <v>1</v>
      </c>
      <c r="R1141" s="2" t="inlineStr">
        <is>
          <t>Rosenticka</t>
        </is>
      </c>
      <c r="S1141">
        <f>HYPERLINK("https://klasma.github.io/Logging_STROMSUND/artfynd/A 29604-2023.xlsx")</f>
        <v/>
      </c>
      <c r="T1141">
        <f>HYPERLINK("https://klasma.github.io/Logging_STROMSUND/kartor/A 29604-2023.png")</f>
        <v/>
      </c>
      <c r="V1141">
        <f>HYPERLINK("https://klasma.github.io/Logging_STROMSUND/klagomål/A 29604-2023.docx")</f>
        <v/>
      </c>
      <c r="W1141">
        <f>HYPERLINK("https://klasma.github.io/Logging_STROMSUND/klagomålsmail/A 29604-2023.docx")</f>
        <v/>
      </c>
      <c r="X1141">
        <f>HYPERLINK("https://klasma.github.io/Logging_STROMSUND/tillsyn/A 29604-2023.docx")</f>
        <v/>
      </c>
      <c r="Y1141">
        <f>HYPERLINK("https://klasma.github.io/Logging_STROMSUND/tillsynsmail/A 29604-2023.docx")</f>
        <v/>
      </c>
    </row>
    <row r="1142" ht="15" customHeight="1">
      <c r="A1142" t="inlineStr">
        <is>
          <t>A 32551-2023</t>
        </is>
      </c>
      <c r="B1142" s="1" t="n">
        <v>45111</v>
      </c>
      <c r="C1142" s="1" t="n">
        <v>45182</v>
      </c>
      <c r="D1142" t="inlineStr">
        <is>
          <t>JÄMTLANDS LÄN</t>
        </is>
      </c>
      <c r="E1142" t="inlineStr">
        <is>
          <t>STRÖMSUND</t>
        </is>
      </c>
      <c r="F1142" t="inlineStr">
        <is>
          <t>Kommuner</t>
        </is>
      </c>
      <c r="G1142" t="n">
        <v>5.3</v>
      </c>
      <c r="H1142" t="n">
        <v>0</v>
      </c>
      <c r="I1142" t="n">
        <v>1</v>
      </c>
      <c r="J1142" t="n">
        <v>0</v>
      </c>
      <c r="K1142" t="n">
        <v>0</v>
      </c>
      <c r="L1142" t="n">
        <v>0</v>
      </c>
      <c r="M1142" t="n">
        <v>0</v>
      </c>
      <c r="N1142" t="n">
        <v>0</v>
      </c>
      <c r="O1142" t="n">
        <v>0</v>
      </c>
      <c r="P1142" t="n">
        <v>0</v>
      </c>
      <c r="Q1142" t="n">
        <v>1</v>
      </c>
      <c r="R1142" s="2" t="inlineStr">
        <is>
          <t>Skinnlav</t>
        </is>
      </c>
      <c r="S1142">
        <f>HYPERLINK("https://klasma.github.io/Logging_STROMSUND/artfynd/A 32551-2023.xlsx")</f>
        <v/>
      </c>
      <c r="T1142">
        <f>HYPERLINK("https://klasma.github.io/Logging_STROMSUND/kartor/A 32551-2023.png")</f>
        <v/>
      </c>
      <c r="V1142">
        <f>HYPERLINK("https://klasma.github.io/Logging_STROMSUND/klagomål/A 32551-2023.docx")</f>
        <v/>
      </c>
      <c r="W1142">
        <f>HYPERLINK("https://klasma.github.io/Logging_STROMSUND/klagomålsmail/A 32551-2023.docx")</f>
        <v/>
      </c>
      <c r="X1142">
        <f>HYPERLINK("https://klasma.github.io/Logging_STROMSUND/tillsyn/A 32551-2023.docx")</f>
        <v/>
      </c>
      <c r="Y1142">
        <f>HYPERLINK("https://klasma.github.io/Logging_STROMSUND/tillsynsmail/A 32551-2023.docx")</f>
        <v/>
      </c>
    </row>
    <row r="1143" ht="15" customHeight="1">
      <c r="A1143" t="inlineStr">
        <is>
          <t>A 30330-2023</t>
        </is>
      </c>
      <c r="B1143" s="1" t="n">
        <v>45111</v>
      </c>
      <c r="C1143" s="1" t="n">
        <v>45182</v>
      </c>
      <c r="D1143" t="inlineStr">
        <is>
          <t>JÄMTLANDS LÄN</t>
        </is>
      </c>
      <c r="E1143" t="inlineStr">
        <is>
          <t>HÄRJEDALEN</t>
        </is>
      </c>
      <c r="F1143" t="inlineStr">
        <is>
          <t>Bergvik skog väst AB</t>
        </is>
      </c>
      <c r="G1143" t="n">
        <v>7.7</v>
      </c>
      <c r="H1143" t="n">
        <v>1</v>
      </c>
      <c r="I1143" t="n">
        <v>0</v>
      </c>
      <c r="J1143" t="n">
        <v>0</v>
      </c>
      <c r="K1143" t="n">
        <v>0</v>
      </c>
      <c r="L1143" t="n">
        <v>1</v>
      </c>
      <c r="M1143" t="n">
        <v>0</v>
      </c>
      <c r="N1143" t="n">
        <v>0</v>
      </c>
      <c r="O1143" t="n">
        <v>1</v>
      </c>
      <c r="P1143" t="n">
        <v>1</v>
      </c>
      <c r="Q1143" t="n">
        <v>1</v>
      </c>
      <c r="R1143" s="2" t="inlineStr">
        <is>
          <t>Mosippa</t>
        </is>
      </c>
      <c r="S1143">
        <f>HYPERLINK("https://klasma.github.io/Logging_HARJEDALEN/artfynd/A 30330-2023.xlsx")</f>
        <v/>
      </c>
      <c r="T1143">
        <f>HYPERLINK("https://klasma.github.io/Logging_HARJEDALEN/kartor/A 30330-2023.png")</f>
        <v/>
      </c>
      <c r="V1143">
        <f>HYPERLINK("https://klasma.github.io/Logging_HARJEDALEN/klagomål/A 30330-2023.docx")</f>
        <v/>
      </c>
      <c r="W1143">
        <f>HYPERLINK("https://klasma.github.io/Logging_HARJEDALEN/klagomålsmail/A 30330-2023.docx")</f>
        <v/>
      </c>
      <c r="X1143">
        <f>HYPERLINK("https://klasma.github.io/Logging_HARJEDALEN/tillsyn/A 30330-2023.docx")</f>
        <v/>
      </c>
      <c r="Y1143">
        <f>HYPERLINK("https://klasma.github.io/Logging_HARJEDALEN/tillsynsmail/A 30330-2023.docx")</f>
        <v/>
      </c>
    </row>
    <row r="1144" ht="15" customHeight="1">
      <c r="A1144" t="inlineStr">
        <is>
          <t>A 30834-2023</t>
        </is>
      </c>
      <c r="B1144" s="1" t="n">
        <v>45112</v>
      </c>
      <c r="C1144" s="1" t="n">
        <v>45182</v>
      </c>
      <c r="D1144" t="inlineStr">
        <is>
          <t>JÄMTLANDS LÄN</t>
        </is>
      </c>
      <c r="E1144" t="inlineStr">
        <is>
          <t>BRÄCKE</t>
        </is>
      </c>
      <c r="F1144" t="inlineStr">
        <is>
          <t>SCA</t>
        </is>
      </c>
      <c r="G1144" t="n">
        <v>7.8</v>
      </c>
      <c r="H1144" t="n">
        <v>1</v>
      </c>
      <c r="I1144" t="n">
        <v>0</v>
      </c>
      <c r="J1144" t="n">
        <v>0</v>
      </c>
      <c r="K1144" t="n">
        <v>0</v>
      </c>
      <c r="L1144" t="n">
        <v>0</v>
      </c>
      <c r="M1144" t="n">
        <v>0</v>
      </c>
      <c r="N1144" t="n">
        <v>0</v>
      </c>
      <c r="O1144" t="n">
        <v>0</v>
      </c>
      <c r="P1144" t="n">
        <v>0</v>
      </c>
      <c r="Q1144" t="n">
        <v>1</v>
      </c>
      <c r="R1144" s="2" t="inlineStr">
        <is>
          <t>Fläcknycklar</t>
        </is>
      </c>
      <c r="S1144">
        <f>HYPERLINK("https://klasma.github.io/Logging_BRACKE/artfynd/A 30834-2023.xlsx")</f>
        <v/>
      </c>
      <c r="T1144">
        <f>HYPERLINK("https://klasma.github.io/Logging_BRACKE/kartor/A 30834-2023.png")</f>
        <v/>
      </c>
      <c r="V1144">
        <f>HYPERLINK("https://klasma.github.io/Logging_BRACKE/klagomål/A 30834-2023.docx")</f>
        <v/>
      </c>
      <c r="W1144">
        <f>HYPERLINK("https://klasma.github.io/Logging_BRACKE/klagomålsmail/A 30834-2023.docx")</f>
        <v/>
      </c>
      <c r="X1144">
        <f>HYPERLINK("https://klasma.github.io/Logging_BRACKE/tillsyn/A 30834-2023.docx")</f>
        <v/>
      </c>
      <c r="Y1144">
        <f>HYPERLINK("https://klasma.github.io/Logging_BRACKE/tillsynsmail/A 30834-2023.docx")</f>
        <v/>
      </c>
    </row>
    <row r="1145" ht="15" customHeight="1">
      <c r="A1145" t="inlineStr">
        <is>
          <t>A 30821-2023</t>
        </is>
      </c>
      <c r="B1145" s="1" t="n">
        <v>45112</v>
      </c>
      <c r="C1145" s="1" t="n">
        <v>45182</v>
      </c>
      <c r="D1145" t="inlineStr">
        <is>
          <t>JÄMTLANDS LÄN</t>
        </is>
      </c>
      <c r="E1145" t="inlineStr">
        <is>
          <t>STRÖMSUND</t>
        </is>
      </c>
      <c r="F1145" t="inlineStr">
        <is>
          <t>SCA</t>
        </is>
      </c>
      <c r="G1145" t="n">
        <v>5</v>
      </c>
      <c r="H1145" t="n">
        <v>0</v>
      </c>
      <c r="I1145" t="n">
        <v>0</v>
      </c>
      <c r="J1145" t="n">
        <v>1</v>
      </c>
      <c r="K1145" t="n">
        <v>0</v>
      </c>
      <c r="L1145" t="n">
        <v>0</v>
      </c>
      <c r="M1145" t="n">
        <v>0</v>
      </c>
      <c r="N1145" t="n">
        <v>0</v>
      </c>
      <c r="O1145" t="n">
        <v>1</v>
      </c>
      <c r="P1145" t="n">
        <v>0</v>
      </c>
      <c r="Q1145" t="n">
        <v>1</v>
      </c>
      <c r="R1145" s="2" t="inlineStr">
        <is>
          <t>Garnlav</t>
        </is>
      </c>
      <c r="S1145">
        <f>HYPERLINK("https://klasma.github.io/Logging_STROMSUND/artfynd/A 30821-2023.xlsx")</f>
        <v/>
      </c>
      <c r="T1145">
        <f>HYPERLINK("https://klasma.github.io/Logging_STROMSUND/kartor/A 30821-2023.png")</f>
        <v/>
      </c>
      <c r="V1145">
        <f>HYPERLINK("https://klasma.github.io/Logging_STROMSUND/klagomål/A 30821-2023.docx")</f>
        <v/>
      </c>
      <c r="W1145">
        <f>HYPERLINK("https://klasma.github.io/Logging_STROMSUND/klagomålsmail/A 30821-2023.docx")</f>
        <v/>
      </c>
      <c r="X1145">
        <f>HYPERLINK("https://klasma.github.io/Logging_STROMSUND/tillsyn/A 30821-2023.docx")</f>
        <v/>
      </c>
      <c r="Y1145">
        <f>HYPERLINK("https://klasma.github.io/Logging_STROMSUND/tillsynsmail/A 30821-2023.docx")</f>
        <v/>
      </c>
    </row>
    <row r="1146" ht="15" customHeight="1">
      <c r="A1146" t="inlineStr">
        <is>
          <t>A 30848-2023</t>
        </is>
      </c>
      <c r="B1146" s="1" t="n">
        <v>45112</v>
      </c>
      <c r="C1146" s="1" t="n">
        <v>45182</v>
      </c>
      <c r="D1146" t="inlineStr">
        <is>
          <t>JÄMTLANDS LÄN</t>
        </is>
      </c>
      <c r="E1146" t="inlineStr">
        <is>
          <t>STRÖMSUND</t>
        </is>
      </c>
      <c r="F1146" t="inlineStr">
        <is>
          <t>SCA</t>
        </is>
      </c>
      <c r="G1146" t="n">
        <v>12.3</v>
      </c>
      <c r="H1146" t="n">
        <v>0</v>
      </c>
      <c r="I1146" t="n">
        <v>0</v>
      </c>
      <c r="J1146" t="n">
        <v>1</v>
      </c>
      <c r="K1146" t="n">
        <v>0</v>
      </c>
      <c r="L1146" t="n">
        <v>0</v>
      </c>
      <c r="M1146" t="n">
        <v>0</v>
      </c>
      <c r="N1146" t="n">
        <v>0</v>
      </c>
      <c r="O1146" t="n">
        <v>1</v>
      </c>
      <c r="P1146" t="n">
        <v>0</v>
      </c>
      <c r="Q1146" t="n">
        <v>1</v>
      </c>
      <c r="R1146" s="2" t="inlineStr">
        <is>
          <t>Skrovellav</t>
        </is>
      </c>
      <c r="S1146">
        <f>HYPERLINK("https://klasma.github.io/Logging_STROMSUND/artfynd/A 30848-2023.xlsx")</f>
        <v/>
      </c>
      <c r="T1146">
        <f>HYPERLINK("https://klasma.github.io/Logging_STROMSUND/kartor/A 30848-2023.png")</f>
        <v/>
      </c>
      <c r="V1146">
        <f>HYPERLINK("https://klasma.github.io/Logging_STROMSUND/klagomål/A 30848-2023.docx")</f>
        <v/>
      </c>
      <c r="W1146">
        <f>HYPERLINK("https://klasma.github.io/Logging_STROMSUND/klagomålsmail/A 30848-2023.docx")</f>
        <v/>
      </c>
      <c r="X1146">
        <f>HYPERLINK("https://klasma.github.io/Logging_STROMSUND/tillsyn/A 30848-2023.docx")</f>
        <v/>
      </c>
      <c r="Y1146">
        <f>HYPERLINK("https://klasma.github.io/Logging_STROMSUND/tillsynsmail/A 30848-2023.docx")</f>
        <v/>
      </c>
    </row>
    <row r="1147" ht="15" customHeight="1">
      <c r="A1147" t="inlineStr">
        <is>
          <t>A 32475-2023</t>
        </is>
      </c>
      <c r="B1147" s="1" t="n">
        <v>45120</v>
      </c>
      <c r="C1147" s="1" t="n">
        <v>45182</v>
      </c>
      <c r="D1147" t="inlineStr">
        <is>
          <t>JÄMTLANDS LÄN</t>
        </is>
      </c>
      <c r="E1147" t="inlineStr">
        <is>
          <t>RAGUNDA</t>
        </is>
      </c>
      <c r="F1147" t="inlineStr">
        <is>
          <t>SCA</t>
        </is>
      </c>
      <c r="G1147" t="n">
        <v>2.4</v>
      </c>
      <c r="H1147" t="n">
        <v>0</v>
      </c>
      <c r="I1147" t="n">
        <v>1</v>
      </c>
      <c r="J1147" t="n">
        <v>0</v>
      </c>
      <c r="K1147" t="n">
        <v>0</v>
      </c>
      <c r="L1147" t="n">
        <v>0</v>
      </c>
      <c r="M1147" t="n">
        <v>0</v>
      </c>
      <c r="N1147" t="n">
        <v>0</v>
      </c>
      <c r="O1147" t="n">
        <v>0</v>
      </c>
      <c r="P1147" t="n">
        <v>0</v>
      </c>
      <c r="Q1147" t="n">
        <v>1</v>
      </c>
      <c r="R1147" s="2" t="inlineStr">
        <is>
          <t>Dropptaggsvamp</t>
        </is>
      </c>
      <c r="S1147">
        <f>HYPERLINK("https://klasma.github.io/Logging_RAGUNDA/artfynd/A 32475-2023.xlsx")</f>
        <v/>
      </c>
      <c r="T1147">
        <f>HYPERLINK("https://klasma.github.io/Logging_RAGUNDA/kartor/A 32475-2023.png")</f>
        <v/>
      </c>
      <c r="V1147">
        <f>HYPERLINK("https://klasma.github.io/Logging_RAGUNDA/klagomål/A 32475-2023.docx")</f>
        <v/>
      </c>
      <c r="W1147">
        <f>HYPERLINK("https://klasma.github.io/Logging_RAGUNDA/klagomålsmail/A 32475-2023.docx")</f>
        <v/>
      </c>
      <c r="X1147">
        <f>HYPERLINK("https://klasma.github.io/Logging_RAGUNDA/tillsyn/A 32475-2023.docx")</f>
        <v/>
      </c>
      <c r="Y1147">
        <f>HYPERLINK("https://klasma.github.io/Logging_RAGUNDA/tillsynsmail/A 32475-2023.docx")</f>
        <v/>
      </c>
    </row>
    <row r="1148" ht="15" customHeight="1">
      <c r="A1148" t="inlineStr">
        <is>
          <t>A 33806-2023</t>
        </is>
      </c>
      <c r="B1148" s="1" t="n">
        <v>45121</v>
      </c>
      <c r="C1148" s="1" t="n">
        <v>45182</v>
      </c>
      <c r="D1148" t="inlineStr">
        <is>
          <t>JÄMTLANDS LÄN</t>
        </is>
      </c>
      <c r="E1148" t="inlineStr">
        <is>
          <t>RAGUNDA</t>
        </is>
      </c>
      <c r="G1148" t="n">
        <v>12</v>
      </c>
      <c r="H1148" t="n">
        <v>1</v>
      </c>
      <c r="I1148" t="n">
        <v>0</v>
      </c>
      <c r="J1148" t="n">
        <v>0</v>
      </c>
      <c r="K1148" t="n">
        <v>0</v>
      </c>
      <c r="L1148" t="n">
        <v>0</v>
      </c>
      <c r="M1148" t="n">
        <v>0</v>
      </c>
      <c r="N1148" t="n">
        <v>0</v>
      </c>
      <c r="O1148" t="n">
        <v>0</v>
      </c>
      <c r="P1148" t="n">
        <v>0</v>
      </c>
      <c r="Q1148" t="n">
        <v>1</v>
      </c>
      <c r="R1148" s="2" t="inlineStr">
        <is>
          <t>Blåsippa</t>
        </is>
      </c>
      <c r="S1148">
        <f>HYPERLINK("https://klasma.github.io/Logging_RAGUNDA/artfynd/A 33806-2023.xlsx")</f>
        <v/>
      </c>
      <c r="T1148">
        <f>HYPERLINK("https://klasma.github.io/Logging_RAGUNDA/kartor/A 33806-2023.png")</f>
        <v/>
      </c>
      <c r="V1148">
        <f>HYPERLINK("https://klasma.github.io/Logging_RAGUNDA/klagomål/A 33806-2023.docx")</f>
        <v/>
      </c>
      <c r="W1148">
        <f>HYPERLINK("https://klasma.github.io/Logging_RAGUNDA/klagomålsmail/A 33806-2023.docx")</f>
        <v/>
      </c>
      <c r="X1148">
        <f>HYPERLINK("https://klasma.github.io/Logging_RAGUNDA/tillsyn/A 33806-2023.docx")</f>
        <v/>
      </c>
      <c r="Y1148">
        <f>HYPERLINK("https://klasma.github.io/Logging_RAGUNDA/tillsynsmail/A 33806-2023.docx")</f>
        <v/>
      </c>
    </row>
    <row r="1149" ht="15" customHeight="1">
      <c r="A1149" t="inlineStr">
        <is>
          <t>A 33124-2023</t>
        </is>
      </c>
      <c r="B1149" s="1" t="n">
        <v>45126</v>
      </c>
      <c r="C1149" s="1" t="n">
        <v>45182</v>
      </c>
      <c r="D1149" t="inlineStr">
        <is>
          <t>JÄMTLANDS LÄN</t>
        </is>
      </c>
      <c r="E1149" t="inlineStr">
        <is>
          <t>BERG</t>
        </is>
      </c>
      <c r="F1149" t="inlineStr">
        <is>
          <t>Sveaskog</t>
        </is>
      </c>
      <c r="G1149" t="n">
        <v>4.2</v>
      </c>
      <c r="H1149" t="n">
        <v>0</v>
      </c>
      <c r="I1149" t="n">
        <v>0</v>
      </c>
      <c r="J1149" t="n">
        <v>1</v>
      </c>
      <c r="K1149" t="n">
        <v>0</v>
      </c>
      <c r="L1149" t="n">
        <v>0</v>
      </c>
      <c r="M1149" t="n">
        <v>0</v>
      </c>
      <c r="N1149" t="n">
        <v>0</v>
      </c>
      <c r="O1149" t="n">
        <v>1</v>
      </c>
      <c r="P1149" t="n">
        <v>0</v>
      </c>
      <c r="Q1149" t="n">
        <v>1</v>
      </c>
      <c r="R1149" s="2" t="inlineStr">
        <is>
          <t>Lunglav</t>
        </is>
      </c>
      <c r="S1149">
        <f>HYPERLINK("https://klasma.github.io/Logging_BERG/artfynd/A 33124-2023.xlsx")</f>
        <v/>
      </c>
      <c r="T1149">
        <f>HYPERLINK("https://klasma.github.io/Logging_BERG/kartor/A 33124-2023.png")</f>
        <v/>
      </c>
      <c r="V1149">
        <f>HYPERLINK("https://klasma.github.io/Logging_BERG/klagomål/A 33124-2023.docx")</f>
        <v/>
      </c>
      <c r="W1149">
        <f>HYPERLINK("https://klasma.github.io/Logging_BERG/klagomålsmail/A 33124-2023.docx")</f>
        <v/>
      </c>
      <c r="X1149">
        <f>HYPERLINK("https://klasma.github.io/Logging_BERG/tillsyn/A 33124-2023.docx")</f>
        <v/>
      </c>
      <c r="Y1149">
        <f>HYPERLINK("https://klasma.github.io/Logging_BERG/tillsynsmail/A 33124-2023.docx")</f>
        <v/>
      </c>
    </row>
    <row r="1150" ht="15" customHeight="1">
      <c r="A1150" t="inlineStr">
        <is>
          <t>A 35275-2023</t>
        </is>
      </c>
      <c r="B1150" s="1" t="n">
        <v>45145</v>
      </c>
      <c r="C1150" s="1" t="n">
        <v>45182</v>
      </c>
      <c r="D1150" t="inlineStr">
        <is>
          <t>JÄMTLANDS LÄN</t>
        </is>
      </c>
      <c r="E1150" t="inlineStr">
        <is>
          <t>BERG</t>
        </is>
      </c>
      <c r="F1150" t="inlineStr">
        <is>
          <t>SCA</t>
        </is>
      </c>
      <c r="G1150" t="n">
        <v>8.5</v>
      </c>
      <c r="H1150" t="n">
        <v>0</v>
      </c>
      <c r="I1150" t="n">
        <v>0</v>
      </c>
      <c r="J1150" t="n">
        <v>1</v>
      </c>
      <c r="K1150" t="n">
        <v>0</v>
      </c>
      <c r="L1150" t="n">
        <v>0</v>
      </c>
      <c r="M1150" t="n">
        <v>0</v>
      </c>
      <c r="N1150" t="n">
        <v>0</v>
      </c>
      <c r="O1150" t="n">
        <v>1</v>
      </c>
      <c r="P1150" t="n">
        <v>0</v>
      </c>
      <c r="Q1150" t="n">
        <v>1</v>
      </c>
      <c r="R1150" s="2" t="inlineStr">
        <is>
          <t>Motaggsvamp</t>
        </is>
      </c>
      <c r="S1150">
        <f>HYPERLINK("https://klasma.github.io/Logging_BERG/artfynd/A 35275-2023.xlsx")</f>
        <v/>
      </c>
      <c r="T1150">
        <f>HYPERLINK("https://klasma.github.io/Logging_BERG/kartor/A 35275-2023.png")</f>
        <v/>
      </c>
      <c r="V1150">
        <f>HYPERLINK("https://klasma.github.io/Logging_BERG/klagomål/A 35275-2023.docx")</f>
        <v/>
      </c>
      <c r="W1150">
        <f>HYPERLINK("https://klasma.github.io/Logging_BERG/klagomålsmail/A 35275-2023.docx")</f>
        <v/>
      </c>
      <c r="X1150">
        <f>HYPERLINK("https://klasma.github.io/Logging_BERG/tillsyn/A 35275-2023.docx")</f>
        <v/>
      </c>
      <c r="Y1150">
        <f>HYPERLINK("https://klasma.github.io/Logging_BERG/tillsynsmail/A 35275-2023.docx")</f>
        <v/>
      </c>
    </row>
    <row r="1151" ht="15" customHeight="1">
      <c r="A1151" t="inlineStr">
        <is>
          <t>A 36204-2023</t>
        </is>
      </c>
      <c r="B1151" s="1" t="n">
        <v>45149</v>
      </c>
      <c r="C1151" s="1" t="n">
        <v>45182</v>
      </c>
      <c r="D1151" t="inlineStr">
        <is>
          <t>JÄMTLANDS LÄN</t>
        </is>
      </c>
      <c r="E1151" t="inlineStr">
        <is>
          <t>RAGUNDA</t>
        </is>
      </c>
      <c r="F1151" t="inlineStr">
        <is>
          <t>SCA</t>
        </is>
      </c>
      <c r="G1151" t="n">
        <v>5.1</v>
      </c>
      <c r="H1151" t="n">
        <v>0</v>
      </c>
      <c r="I1151" t="n">
        <v>0</v>
      </c>
      <c r="J1151" t="n">
        <v>1</v>
      </c>
      <c r="K1151" t="n">
        <v>0</v>
      </c>
      <c r="L1151" t="n">
        <v>0</v>
      </c>
      <c r="M1151" t="n">
        <v>0</v>
      </c>
      <c r="N1151" t="n">
        <v>0</v>
      </c>
      <c r="O1151" t="n">
        <v>1</v>
      </c>
      <c r="P1151" t="n">
        <v>0</v>
      </c>
      <c r="Q1151" t="n">
        <v>1</v>
      </c>
      <c r="R1151" s="2" t="inlineStr">
        <is>
          <t>Rosenticka</t>
        </is>
      </c>
      <c r="S1151">
        <f>HYPERLINK("https://klasma.github.io/Logging_RAGUNDA/artfynd/A 36204-2023.xlsx")</f>
        <v/>
      </c>
      <c r="T1151">
        <f>HYPERLINK("https://klasma.github.io/Logging_RAGUNDA/kartor/A 36204-2023.png")</f>
        <v/>
      </c>
      <c r="V1151">
        <f>HYPERLINK("https://klasma.github.io/Logging_RAGUNDA/klagomål/A 36204-2023.docx")</f>
        <v/>
      </c>
      <c r="W1151">
        <f>HYPERLINK("https://klasma.github.io/Logging_RAGUNDA/klagomålsmail/A 36204-2023.docx")</f>
        <v/>
      </c>
      <c r="X1151">
        <f>HYPERLINK("https://klasma.github.io/Logging_RAGUNDA/tillsyn/A 36204-2023.docx")</f>
        <v/>
      </c>
      <c r="Y1151">
        <f>HYPERLINK("https://klasma.github.io/Logging_RAGUNDA/tillsynsmail/A 36204-2023.docx")</f>
        <v/>
      </c>
    </row>
    <row r="1152" ht="15" customHeight="1">
      <c r="A1152" t="inlineStr">
        <is>
          <t>A 36765-2023</t>
        </is>
      </c>
      <c r="B1152" s="1" t="n">
        <v>45153</v>
      </c>
      <c r="C1152" s="1" t="n">
        <v>45182</v>
      </c>
      <c r="D1152" t="inlineStr">
        <is>
          <t>JÄMTLANDS LÄN</t>
        </is>
      </c>
      <c r="E1152" t="inlineStr">
        <is>
          <t>STRÖMSUND</t>
        </is>
      </c>
      <c r="F1152" t="inlineStr">
        <is>
          <t>SCA</t>
        </is>
      </c>
      <c r="G1152" t="n">
        <v>5.2</v>
      </c>
      <c r="H1152" t="n">
        <v>0</v>
      </c>
      <c r="I1152" t="n">
        <v>0</v>
      </c>
      <c r="J1152" t="n">
        <v>1</v>
      </c>
      <c r="K1152" t="n">
        <v>0</v>
      </c>
      <c r="L1152" t="n">
        <v>0</v>
      </c>
      <c r="M1152" t="n">
        <v>0</v>
      </c>
      <c r="N1152" t="n">
        <v>0</v>
      </c>
      <c r="O1152" t="n">
        <v>1</v>
      </c>
      <c r="P1152" t="n">
        <v>0</v>
      </c>
      <c r="Q1152" t="n">
        <v>1</v>
      </c>
      <c r="R1152" s="2" t="inlineStr">
        <is>
          <t>Lunglav</t>
        </is>
      </c>
      <c r="S1152">
        <f>HYPERLINK("https://klasma.github.io/Logging_STROMSUND/artfynd/A 36765-2023.xlsx")</f>
        <v/>
      </c>
      <c r="T1152">
        <f>HYPERLINK("https://klasma.github.io/Logging_STROMSUND/kartor/A 36765-2023.png")</f>
        <v/>
      </c>
      <c r="V1152">
        <f>HYPERLINK("https://klasma.github.io/Logging_STROMSUND/klagomål/A 36765-2023.docx")</f>
        <v/>
      </c>
      <c r="W1152">
        <f>HYPERLINK("https://klasma.github.io/Logging_STROMSUND/klagomålsmail/A 36765-2023.docx")</f>
        <v/>
      </c>
      <c r="X1152">
        <f>HYPERLINK("https://klasma.github.io/Logging_STROMSUND/tillsyn/A 36765-2023.docx")</f>
        <v/>
      </c>
      <c r="Y1152">
        <f>HYPERLINK("https://klasma.github.io/Logging_STROMSUND/tillsynsmail/A 36765-2023.docx")</f>
        <v/>
      </c>
    </row>
    <row r="1153" ht="15" customHeight="1">
      <c r="A1153" t="inlineStr">
        <is>
          <t>A 36854-2023</t>
        </is>
      </c>
      <c r="B1153" s="1" t="n">
        <v>45153</v>
      </c>
      <c r="C1153" s="1" t="n">
        <v>45182</v>
      </c>
      <c r="D1153" t="inlineStr">
        <is>
          <t>JÄMTLANDS LÄN</t>
        </is>
      </c>
      <c r="E1153" t="inlineStr">
        <is>
          <t>RAGUNDA</t>
        </is>
      </c>
      <c r="G1153" t="n">
        <v>4</v>
      </c>
      <c r="H1153" t="n">
        <v>1</v>
      </c>
      <c r="I1153" t="n">
        <v>0</v>
      </c>
      <c r="J1153" t="n">
        <v>1</v>
      </c>
      <c r="K1153" t="n">
        <v>0</v>
      </c>
      <c r="L1153" t="n">
        <v>0</v>
      </c>
      <c r="M1153" t="n">
        <v>0</v>
      </c>
      <c r="N1153" t="n">
        <v>0</v>
      </c>
      <c r="O1153" t="n">
        <v>1</v>
      </c>
      <c r="P1153" t="n">
        <v>0</v>
      </c>
      <c r="Q1153" t="n">
        <v>1</v>
      </c>
      <c r="R1153" s="2" t="inlineStr">
        <is>
          <t>Talltita</t>
        </is>
      </c>
      <c r="S1153">
        <f>HYPERLINK("https://klasma.github.io/Logging_RAGUNDA/artfynd/A 36854-2023.xlsx")</f>
        <v/>
      </c>
      <c r="T1153">
        <f>HYPERLINK("https://klasma.github.io/Logging_RAGUNDA/kartor/A 36854-2023.png")</f>
        <v/>
      </c>
      <c r="V1153">
        <f>HYPERLINK("https://klasma.github.io/Logging_RAGUNDA/klagomål/A 36854-2023.docx")</f>
        <v/>
      </c>
      <c r="W1153">
        <f>HYPERLINK("https://klasma.github.io/Logging_RAGUNDA/klagomålsmail/A 36854-2023.docx")</f>
        <v/>
      </c>
      <c r="X1153">
        <f>HYPERLINK("https://klasma.github.io/Logging_RAGUNDA/tillsyn/A 36854-2023.docx")</f>
        <v/>
      </c>
      <c r="Y1153">
        <f>HYPERLINK("https://klasma.github.io/Logging_RAGUNDA/tillsynsmail/A 36854-2023.docx")</f>
        <v/>
      </c>
    </row>
    <row r="1154" ht="15" customHeight="1">
      <c r="A1154" t="inlineStr">
        <is>
          <t>A 39075-2023</t>
        </is>
      </c>
      <c r="B1154" s="1" t="n">
        <v>45163</v>
      </c>
      <c r="C1154" s="1" t="n">
        <v>45182</v>
      </c>
      <c r="D1154" t="inlineStr">
        <is>
          <t>JÄMTLANDS LÄN</t>
        </is>
      </c>
      <c r="E1154" t="inlineStr">
        <is>
          <t>STRÖMSUND</t>
        </is>
      </c>
      <c r="F1154" t="inlineStr">
        <is>
          <t>SCA</t>
        </is>
      </c>
      <c r="G1154" t="n">
        <v>2.1</v>
      </c>
      <c r="H1154" t="n">
        <v>0</v>
      </c>
      <c r="I1154" t="n">
        <v>0</v>
      </c>
      <c r="J1154" t="n">
        <v>1</v>
      </c>
      <c r="K1154" t="n">
        <v>0</v>
      </c>
      <c r="L1154" t="n">
        <v>0</v>
      </c>
      <c r="M1154" t="n">
        <v>0</v>
      </c>
      <c r="N1154" t="n">
        <v>0</v>
      </c>
      <c r="O1154" t="n">
        <v>1</v>
      </c>
      <c r="P1154" t="n">
        <v>0</v>
      </c>
      <c r="Q1154" t="n">
        <v>1</v>
      </c>
      <c r="R1154" s="2" t="inlineStr">
        <is>
          <t>Brunpudrad nållav</t>
        </is>
      </c>
      <c r="S1154">
        <f>HYPERLINK("https://klasma.github.io/Logging_STROMSUND/artfynd/A 39075-2023.xlsx")</f>
        <v/>
      </c>
      <c r="T1154">
        <f>HYPERLINK("https://klasma.github.io/Logging_STROMSUND/kartor/A 39075-2023.png")</f>
        <v/>
      </c>
      <c r="V1154">
        <f>HYPERLINK("https://klasma.github.io/Logging_STROMSUND/klagomål/A 39075-2023.docx")</f>
        <v/>
      </c>
      <c r="W1154">
        <f>HYPERLINK("https://klasma.github.io/Logging_STROMSUND/klagomålsmail/A 39075-2023.docx")</f>
        <v/>
      </c>
      <c r="X1154">
        <f>HYPERLINK("https://klasma.github.io/Logging_STROMSUND/tillsyn/A 39075-2023.docx")</f>
        <v/>
      </c>
      <c r="Y1154">
        <f>HYPERLINK("https://klasma.github.io/Logging_STROMSUND/tillsynsmail/A 39075-2023.docx")</f>
        <v/>
      </c>
    </row>
    <row r="1155" ht="15" customHeight="1">
      <c r="A1155" t="inlineStr">
        <is>
          <t>A 39511-2023</t>
        </is>
      </c>
      <c r="B1155" s="1" t="n">
        <v>45166</v>
      </c>
      <c r="C1155" s="1" t="n">
        <v>45182</v>
      </c>
      <c r="D1155" t="inlineStr">
        <is>
          <t>JÄMTLANDS LÄN</t>
        </is>
      </c>
      <c r="E1155" t="inlineStr">
        <is>
          <t>STRÖMSUND</t>
        </is>
      </c>
      <c r="F1155" t="inlineStr">
        <is>
          <t>SCA</t>
        </is>
      </c>
      <c r="G1155" t="n">
        <v>3.7</v>
      </c>
      <c r="H1155" t="n">
        <v>0</v>
      </c>
      <c r="I1155" t="n">
        <v>0</v>
      </c>
      <c r="J1155" t="n">
        <v>1</v>
      </c>
      <c r="K1155" t="n">
        <v>0</v>
      </c>
      <c r="L1155" t="n">
        <v>0</v>
      </c>
      <c r="M1155" t="n">
        <v>0</v>
      </c>
      <c r="N1155" t="n">
        <v>0</v>
      </c>
      <c r="O1155" t="n">
        <v>1</v>
      </c>
      <c r="P1155" t="n">
        <v>0</v>
      </c>
      <c r="Q1155" t="n">
        <v>1</v>
      </c>
      <c r="R1155" s="2" t="inlineStr">
        <is>
          <t>Rosenticka</t>
        </is>
      </c>
      <c r="S1155">
        <f>HYPERLINK("https://klasma.github.io/Logging_STROMSUND/artfynd/A 39511-2023.xlsx")</f>
        <v/>
      </c>
      <c r="T1155">
        <f>HYPERLINK("https://klasma.github.io/Logging_STROMSUND/kartor/A 39511-2023.png")</f>
        <v/>
      </c>
      <c r="V1155">
        <f>HYPERLINK("https://klasma.github.io/Logging_STROMSUND/klagomål/A 39511-2023.docx")</f>
        <v/>
      </c>
      <c r="W1155">
        <f>HYPERLINK("https://klasma.github.io/Logging_STROMSUND/klagomålsmail/A 39511-2023.docx")</f>
        <v/>
      </c>
      <c r="X1155">
        <f>HYPERLINK("https://klasma.github.io/Logging_STROMSUND/tillsyn/A 39511-2023.docx")</f>
        <v/>
      </c>
      <c r="Y1155">
        <f>HYPERLINK("https://klasma.github.io/Logging_STROMSUND/tillsynsmail/A 39511-2023.docx")</f>
        <v/>
      </c>
    </row>
    <row r="1156" ht="15" customHeight="1">
      <c r="A1156" t="inlineStr">
        <is>
          <t>A 33963-2018</t>
        </is>
      </c>
      <c r="B1156" s="1" t="n">
        <v>43314</v>
      </c>
      <c r="C1156" s="1" t="n">
        <v>45182</v>
      </c>
      <c r="D1156" t="inlineStr">
        <is>
          <t>JÄMTLANDS LÄN</t>
        </is>
      </c>
      <c r="E1156" t="inlineStr">
        <is>
          <t>ÖSTERSUND</t>
        </is>
      </c>
      <c r="G1156" t="n">
        <v>2.8</v>
      </c>
      <c r="H1156" t="n">
        <v>0</v>
      </c>
      <c r="I1156" t="n">
        <v>0</v>
      </c>
      <c r="J1156" t="n">
        <v>0</v>
      </c>
      <c r="K1156" t="n">
        <v>0</v>
      </c>
      <c r="L1156" t="n">
        <v>0</v>
      </c>
      <c r="M1156" t="n">
        <v>0</v>
      </c>
      <c r="N1156" t="n">
        <v>0</v>
      </c>
      <c r="O1156" t="n">
        <v>0</v>
      </c>
      <c r="P1156" t="n">
        <v>0</v>
      </c>
      <c r="Q1156" t="n">
        <v>0</v>
      </c>
      <c r="R1156" s="2" t="inlineStr"/>
    </row>
    <row r="1157" ht="15" customHeight="1">
      <c r="A1157" t="inlineStr">
        <is>
          <t>A 33971-2018</t>
        </is>
      </c>
      <c r="B1157" s="1" t="n">
        <v>43314</v>
      </c>
      <c r="C1157" s="1" t="n">
        <v>45182</v>
      </c>
      <c r="D1157" t="inlineStr">
        <is>
          <t>JÄMTLANDS LÄN</t>
        </is>
      </c>
      <c r="E1157" t="inlineStr">
        <is>
          <t>ÖSTERSUND</t>
        </is>
      </c>
      <c r="G1157" t="n">
        <v>4.3</v>
      </c>
      <c r="H1157" t="n">
        <v>0</v>
      </c>
      <c r="I1157" t="n">
        <v>0</v>
      </c>
      <c r="J1157" t="n">
        <v>0</v>
      </c>
      <c r="K1157" t="n">
        <v>0</v>
      </c>
      <c r="L1157" t="n">
        <v>0</v>
      </c>
      <c r="M1157" t="n">
        <v>0</v>
      </c>
      <c r="N1157" t="n">
        <v>0</v>
      </c>
      <c r="O1157" t="n">
        <v>0</v>
      </c>
      <c r="P1157" t="n">
        <v>0</v>
      </c>
      <c r="Q1157" t="n">
        <v>0</v>
      </c>
      <c r="R1157" s="2" t="inlineStr"/>
    </row>
    <row r="1158" ht="15" customHeight="1">
      <c r="A1158" t="inlineStr">
        <is>
          <t>A 34942-2018</t>
        </is>
      </c>
      <c r="B1158" s="1" t="n">
        <v>43321</v>
      </c>
      <c r="C1158" s="1" t="n">
        <v>45182</v>
      </c>
      <c r="D1158" t="inlineStr">
        <is>
          <t>JÄMTLANDS LÄN</t>
        </is>
      </c>
      <c r="E1158" t="inlineStr">
        <is>
          <t>ÖSTERSUND</t>
        </is>
      </c>
      <c r="G1158" t="n">
        <v>5.1</v>
      </c>
      <c r="H1158" t="n">
        <v>0</v>
      </c>
      <c r="I1158" t="n">
        <v>0</v>
      </c>
      <c r="J1158" t="n">
        <v>0</v>
      </c>
      <c r="K1158" t="n">
        <v>0</v>
      </c>
      <c r="L1158" t="n">
        <v>0</v>
      </c>
      <c r="M1158" t="n">
        <v>0</v>
      </c>
      <c r="N1158" t="n">
        <v>0</v>
      </c>
      <c r="O1158" t="n">
        <v>0</v>
      </c>
      <c r="P1158" t="n">
        <v>0</v>
      </c>
      <c r="Q1158" t="n">
        <v>0</v>
      </c>
      <c r="R1158" s="2" t="inlineStr"/>
    </row>
    <row r="1159" ht="15" customHeight="1">
      <c r="A1159" t="inlineStr">
        <is>
          <t>A 35331-2018</t>
        </is>
      </c>
      <c r="B1159" s="1" t="n">
        <v>43321</v>
      </c>
      <c r="C1159" s="1" t="n">
        <v>45182</v>
      </c>
      <c r="D1159" t="inlineStr">
        <is>
          <t>JÄMTLANDS LÄN</t>
        </is>
      </c>
      <c r="E1159" t="inlineStr">
        <is>
          <t>RAGUNDA</t>
        </is>
      </c>
      <c r="G1159" t="n">
        <v>38</v>
      </c>
      <c r="H1159" t="n">
        <v>0</v>
      </c>
      <c r="I1159" t="n">
        <v>0</v>
      </c>
      <c r="J1159" t="n">
        <v>0</v>
      </c>
      <c r="K1159" t="n">
        <v>0</v>
      </c>
      <c r="L1159" t="n">
        <v>0</v>
      </c>
      <c r="M1159" t="n">
        <v>0</v>
      </c>
      <c r="N1159" t="n">
        <v>0</v>
      </c>
      <c r="O1159" t="n">
        <v>0</v>
      </c>
      <c r="P1159" t="n">
        <v>0</v>
      </c>
      <c r="Q1159" t="n">
        <v>0</v>
      </c>
      <c r="R1159" s="2" t="inlineStr"/>
    </row>
    <row r="1160" ht="15" customHeight="1">
      <c r="A1160" t="inlineStr">
        <is>
          <t>A 34944-2018</t>
        </is>
      </c>
      <c r="B1160" s="1" t="n">
        <v>43321</v>
      </c>
      <c r="C1160" s="1" t="n">
        <v>45182</v>
      </c>
      <c r="D1160" t="inlineStr">
        <is>
          <t>JÄMTLANDS LÄN</t>
        </is>
      </c>
      <c r="E1160" t="inlineStr">
        <is>
          <t>ÖSTERSUND</t>
        </is>
      </c>
      <c r="G1160" t="n">
        <v>11.7</v>
      </c>
      <c r="H1160" t="n">
        <v>0</v>
      </c>
      <c r="I1160" t="n">
        <v>0</v>
      </c>
      <c r="J1160" t="n">
        <v>0</v>
      </c>
      <c r="K1160" t="n">
        <v>0</v>
      </c>
      <c r="L1160" t="n">
        <v>0</v>
      </c>
      <c r="M1160" t="n">
        <v>0</v>
      </c>
      <c r="N1160" t="n">
        <v>0</v>
      </c>
      <c r="O1160" t="n">
        <v>0</v>
      </c>
      <c r="P1160" t="n">
        <v>0</v>
      </c>
      <c r="Q1160" t="n">
        <v>0</v>
      </c>
      <c r="R1160" s="2" t="inlineStr"/>
    </row>
    <row r="1161" ht="15" customHeight="1">
      <c r="A1161" t="inlineStr">
        <is>
          <t>A 35216-2018</t>
        </is>
      </c>
      <c r="B1161" s="1" t="n">
        <v>43322</v>
      </c>
      <c r="C1161" s="1" t="n">
        <v>45182</v>
      </c>
      <c r="D1161" t="inlineStr">
        <is>
          <t>JÄMTLANDS LÄN</t>
        </is>
      </c>
      <c r="E1161" t="inlineStr">
        <is>
          <t>RAGUNDA</t>
        </is>
      </c>
      <c r="F1161" t="inlineStr">
        <is>
          <t>SCA</t>
        </is>
      </c>
      <c r="G1161" t="n">
        <v>6</v>
      </c>
      <c r="H1161" t="n">
        <v>0</v>
      </c>
      <c r="I1161" t="n">
        <v>0</v>
      </c>
      <c r="J1161" t="n">
        <v>0</v>
      </c>
      <c r="K1161" t="n">
        <v>0</v>
      </c>
      <c r="L1161" t="n">
        <v>0</v>
      </c>
      <c r="M1161" t="n">
        <v>0</v>
      </c>
      <c r="N1161" t="n">
        <v>0</v>
      </c>
      <c r="O1161" t="n">
        <v>0</v>
      </c>
      <c r="P1161" t="n">
        <v>0</v>
      </c>
      <c r="Q1161" t="n">
        <v>0</v>
      </c>
      <c r="R1161" s="2" t="inlineStr"/>
    </row>
    <row r="1162" ht="15" customHeight="1">
      <c r="A1162" t="inlineStr">
        <is>
          <t>A 35651-2018</t>
        </is>
      </c>
      <c r="B1162" s="1" t="n">
        <v>43325</v>
      </c>
      <c r="C1162" s="1" t="n">
        <v>45182</v>
      </c>
      <c r="D1162" t="inlineStr">
        <is>
          <t>JÄMTLANDS LÄN</t>
        </is>
      </c>
      <c r="E1162" t="inlineStr">
        <is>
          <t>BRÄCKE</t>
        </is>
      </c>
      <c r="G1162" t="n">
        <v>1.7</v>
      </c>
      <c r="H1162" t="n">
        <v>0</v>
      </c>
      <c r="I1162" t="n">
        <v>0</v>
      </c>
      <c r="J1162" t="n">
        <v>0</v>
      </c>
      <c r="K1162" t="n">
        <v>0</v>
      </c>
      <c r="L1162" t="n">
        <v>0</v>
      </c>
      <c r="M1162" t="n">
        <v>0</v>
      </c>
      <c r="N1162" t="n">
        <v>0</v>
      </c>
      <c r="O1162" t="n">
        <v>0</v>
      </c>
      <c r="P1162" t="n">
        <v>0</v>
      </c>
      <c r="Q1162" t="n">
        <v>0</v>
      </c>
      <c r="R1162" s="2" t="inlineStr"/>
    </row>
    <row r="1163" ht="15" customHeight="1">
      <c r="A1163" t="inlineStr">
        <is>
          <t>A 35991-2018</t>
        </is>
      </c>
      <c r="B1163" s="1" t="n">
        <v>43326</v>
      </c>
      <c r="C1163" s="1" t="n">
        <v>45182</v>
      </c>
      <c r="D1163" t="inlineStr">
        <is>
          <t>JÄMTLANDS LÄN</t>
        </is>
      </c>
      <c r="E1163" t="inlineStr">
        <is>
          <t>STRÖMSUND</t>
        </is>
      </c>
      <c r="G1163" t="n">
        <v>5.7</v>
      </c>
      <c r="H1163" t="n">
        <v>0</v>
      </c>
      <c r="I1163" t="n">
        <v>0</v>
      </c>
      <c r="J1163" t="n">
        <v>0</v>
      </c>
      <c r="K1163" t="n">
        <v>0</v>
      </c>
      <c r="L1163" t="n">
        <v>0</v>
      </c>
      <c r="M1163" t="n">
        <v>0</v>
      </c>
      <c r="N1163" t="n">
        <v>0</v>
      </c>
      <c r="O1163" t="n">
        <v>0</v>
      </c>
      <c r="P1163" t="n">
        <v>0</v>
      </c>
      <c r="Q1163" t="n">
        <v>0</v>
      </c>
      <c r="R1163" s="2" t="inlineStr"/>
    </row>
    <row r="1164" ht="15" customHeight="1">
      <c r="A1164" t="inlineStr">
        <is>
          <t>A 35741-2018</t>
        </is>
      </c>
      <c r="B1164" s="1" t="n">
        <v>43326</v>
      </c>
      <c r="C1164" s="1" t="n">
        <v>45182</v>
      </c>
      <c r="D1164" t="inlineStr">
        <is>
          <t>JÄMTLANDS LÄN</t>
        </is>
      </c>
      <c r="E1164" t="inlineStr">
        <is>
          <t>RAGUNDA</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35993-2018</t>
        </is>
      </c>
      <c r="B1165" s="1" t="n">
        <v>43327</v>
      </c>
      <c r="C1165" s="1" t="n">
        <v>45182</v>
      </c>
      <c r="D1165" t="inlineStr">
        <is>
          <t>JÄMTLANDS LÄN</t>
        </is>
      </c>
      <c r="E1165" t="inlineStr">
        <is>
          <t>STRÖMSUND</t>
        </is>
      </c>
      <c r="G1165" t="n">
        <v>14.3</v>
      </c>
      <c r="H1165" t="n">
        <v>0</v>
      </c>
      <c r="I1165" t="n">
        <v>0</v>
      </c>
      <c r="J1165" t="n">
        <v>0</v>
      </c>
      <c r="K1165" t="n">
        <v>0</v>
      </c>
      <c r="L1165" t="n">
        <v>0</v>
      </c>
      <c r="M1165" t="n">
        <v>0</v>
      </c>
      <c r="N1165" t="n">
        <v>0</v>
      </c>
      <c r="O1165" t="n">
        <v>0</v>
      </c>
      <c r="P1165" t="n">
        <v>0</v>
      </c>
      <c r="Q1165" t="n">
        <v>0</v>
      </c>
      <c r="R1165" s="2" t="inlineStr"/>
    </row>
    <row r="1166" ht="15" customHeight="1">
      <c r="A1166" t="inlineStr">
        <is>
          <t>A 36231-2018</t>
        </is>
      </c>
      <c r="B1166" s="1" t="n">
        <v>43328</v>
      </c>
      <c r="C1166" s="1" t="n">
        <v>45182</v>
      </c>
      <c r="D1166" t="inlineStr">
        <is>
          <t>JÄMTLANDS LÄN</t>
        </is>
      </c>
      <c r="E1166" t="inlineStr">
        <is>
          <t>ÅRE</t>
        </is>
      </c>
      <c r="G1166" t="n">
        <v>7.1</v>
      </c>
      <c r="H1166" t="n">
        <v>0</v>
      </c>
      <c r="I1166" t="n">
        <v>0</v>
      </c>
      <c r="J1166" t="n">
        <v>0</v>
      </c>
      <c r="K1166" t="n">
        <v>0</v>
      </c>
      <c r="L1166" t="n">
        <v>0</v>
      </c>
      <c r="M1166" t="n">
        <v>0</v>
      </c>
      <c r="N1166" t="n">
        <v>0</v>
      </c>
      <c r="O1166" t="n">
        <v>0</v>
      </c>
      <c r="P1166" t="n">
        <v>0</v>
      </c>
      <c r="Q1166" t="n">
        <v>0</v>
      </c>
      <c r="R1166" s="2" t="inlineStr"/>
    </row>
    <row r="1167" ht="15" customHeight="1">
      <c r="A1167" t="inlineStr">
        <is>
          <t>A 36530-2018</t>
        </is>
      </c>
      <c r="B1167" s="1" t="n">
        <v>43328</v>
      </c>
      <c r="C1167" s="1" t="n">
        <v>45182</v>
      </c>
      <c r="D1167" t="inlineStr">
        <is>
          <t>JÄMTLANDS LÄN</t>
        </is>
      </c>
      <c r="E1167" t="inlineStr">
        <is>
          <t>KROKOM</t>
        </is>
      </c>
      <c r="G1167" t="n">
        <v>5.7</v>
      </c>
      <c r="H1167" t="n">
        <v>0</v>
      </c>
      <c r="I1167" t="n">
        <v>0</v>
      </c>
      <c r="J1167" t="n">
        <v>0</v>
      </c>
      <c r="K1167" t="n">
        <v>0</v>
      </c>
      <c r="L1167" t="n">
        <v>0</v>
      </c>
      <c r="M1167" t="n">
        <v>0</v>
      </c>
      <c r="N1167" t="n">
        <v>0</v>
      </c>
      <c r="O1167" t="n">
        <v>0</v>
      </c>
      <c r="P1167" t="n">
        <v>0</v>
      </c>
      <c r="Q1167" t="n">
        <v>0</v>
      </c>
      <c r="R1167" s="2" t="inlineStr"/>
    </row>
    <row r="1168" ht="15" customHeight="1">
      <c r="A1168" t="inlineStr">
        <is>
          <t>A 37265-2018</t>
        </is>
      </c>
      <c r="B1168" s="1" t="n">
        <v>43332</v>
      </c>
      <c r="C1168" s="1" t="n">
        <v>45182</v>
      </c>
      <c r="D1168" t="inlineStr">
        <is>
          <t>JÄMTLANDS LÄN</t>
        </is>
      </c>
      <c r="E1168" t="inlineStr">
        <is>
          <t>ÖSTERSUND</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36734-2018</t>
        </is>
      </c>
      <c r="B1169" s="1" t="n">
        <v>43332</v>
      </c>
      <c r="C1169" s="1" t="n">
        <v>45182</v>
      </c>
      <c r="D1169" t="inlineStr">
        <is>
          <t>JÄMTLANDS LÄN</t>
        </is>
      </c>
      <c r="E1169" t="inlineStr">
        <is>
          <t>STRÖMSUND</t>
        </is>
      </c>
      <c r="F1169" t="inlineStr">
        <is>
          <t>Övriga Aktiebolag</t>
        </is>
      </c>
      <c r="G1169" t="n">
        <v>18.2</v>
      </c>
      <c r="H1169" t="n">
        <v>0</v>
      </c>
      <c r="I1169" t="n">
        <v>0</v>
      </c>
      <c r="J1169" t="n">
        <v>0</v>
      </c>
      <c r="K1169" t="n">
        <v>0</v>
      </c>
      <c r="L1169" t="n">
        <v>0</v>
      </c>
      <c r="M1169" t="n">
        <v>0</v>
      </c>
      <c r="N1169" t="n">
        <v>0</v>
      </c>
      <c r="O1169" t="n">
        <v>0</v>
      </c>
      <c r="P1169" t="n">
        <v>0</v>
      </c>
      <c r="Q1169" t="n">
        <v>0</v>
      </c>
      <c r="R1169" s="2" t="inlineStr"/>
    </row>
    <row r="1170" ht="15" customHeight="1">
      <c r="A1170" t="inlineStr">
        <is>
          <t>A 37199-2018</t>
        </is>
      </c>
      <c r="B1170" s="1" t="n">
        <v>43333</v>
      </c>
      <c r="C1170" s="1" t="n">
        <v>45182</v>
      </c>
      <c r="D1170" t="inlineStr">
        <is>
          <t>JÄMTLANDS LÄN</t>
        </is>
      </c>
      <c r="E1170" t="inlineStr">
        <is>
          <t>ÖSTERSUND</t>
        </is>
      </c>
      <c r="G1170" t="n">
        <v>2.6</v>
      </c>
      <c r="H1170" t="n">
        <v>0</v>
      </c>
      <c r="I1170" t="n">
        <v>0</v>
      </c>
      <c r="J1170" t="n">
        <v>0</v>
      </c>
      <c r="K1170" t="n">
        <v>0</v>
      </c>
      <c r="L1170" t="n">
        <v>0</v>
      </c>
      <c r="M1170" t="n">
        <v>0</v>
      </c>
      <c r="N1170" t="n">
        <v>0</v>
      </c>
      <c r="O1170" t="n">
        <v>0</v>
      </c>
      <c r="P1170" t="n">
        <v>0</v>
      </c>
      <c r="Q1170" t="n">
        <v>0</v>
      </c>
      <c r="R1170" s="2" t="inlineStr"/>
    </row>
    <row r="1171" ht="15" customHeight="1">
      <c r="A1171" t="inlineStr">
        <is>
          <t>A 37463-2018</t>
        </is>
      </c>
      <c r="B1171" s="1" t="n">
        <v>43334</v>
      </c>
      <c r="C1171" s="1" t="n">
        <v>45182</v>
      </c>
      <c r="D1171" t="inlineStr">
        <is>
          <t>JÄMTLANDS LÄN</t>
        </is>
      </c>
      <c r="E1171" t="inlineStr">
        <is>
          <t>BERG</t>
        </is>
      </c>
      <c r="G1171" t="n">
        <v>64.8</v>
      </c>
      <c r="H1171" t="n">
        <v>0</v>
      </c>
      <c r="I1171" t="n">
        <v>0</v>
      </c>
      <c r="J1171" t="n">
        <v>0</v>
      </c>
      <c r="K1171" t="n">
        <v>0</v>
      </c>
      <c r="L1171" t="n">
        <v>0</v>
      </c>
      <c r="M1171" t="n">
        <v>0</v>
      </c>
      <c r="N1171" t="n">
        <v>0</v>
      </c>
      <c r="O1171" t="n">
        <v>0</v>
      </c>
      <c r="P1171" t="n">
        <v>0</v>
      </c>
      <c r="Q1171" t="n">
        <v>0</v>
      </c>
      <c r="R1171" s="2" t="inlineStr"/>
    </row>
    <row r="1172" ht="15" customHeight="1">
      <c r="A1172" t="inlineStr">
        <is>
          <t>A 37954-2018</t>
        </is>
      </c>
      <c r="B1172" s="1" t="n">
        <v>43334</v>
      </c>
      <c r="C1172" s="1" t="n">
        <v>45182</v>
      </c>
      <c r="D1172" t="inlineStr">
        <is>
          <t>JÄMTLANDS LÄN</t>
        </is>
      </c>
      <c r="E1172" t="inlineStr">
        <is>
          <t>KROKOM</t>
        </is>
      </c>
      <c r="F1172" t="inlineStr">
        <is>
          <t>Kyrkan</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37698-2018</t>
        </is>
      </c>
      <c r="B1173" s="1" t="n">
        <v>43335</v>
      </c>
      <c r="C1173" s="1" t="n">
        <v>45182</v>
      </c>
      <c r="D1173" t="inlineStr">
        <is>
          <t>JÄMTLANDS LÄN</t>
        </is>
      </c>
      <c r="E1173" t="inlineStr">
        <is>
          <t>KROKOM</t>
        </is>
      </c>
      <c r="F1173" t="inlineStr">
        <is>
          <t>Övriga Aktiebolag</t>
        </is>
      </c>
      <c r="G1173" t="n">
        <v>2.1</v>
      </c>
      <c r="H1173" t="n">
        <v>0</v>
      </c>
      <c r="I1173" t="n">
        <v>0</v>
      </c>
      <c r="J1173" t="n">
        <v>0</v>
      </c>
      <c r="K1173" t="n">
        <v>0</v>
      </c>
      <c r="L1173" t="n">
        <v>0</v>
      </c>
      <c r="M1173" t="n">
        <v>0</v>
      </c>
      <c r="N1173" t="n">
        <v>0</v>
      </c>
      <c r="O1173" t="n">
        <v>0</v>
      </c>
      <c r="P1173" t="n">
        <v>0</v>
      </c>
      <c r="Q1173" t="n">
        <v>0</v>
      </c>
      <c r="R1173" s="2" t="inlineStr"/>
    </row>
    <row r="1174" ht="15" customHeight="1">
      <c r="A1174" t="inlineStr">
        <is>
          <t>A 37779-2018</t>
        </is>
      </c>
      <c r="B1174" s="1" t="n">
        <v>43335</v>
      </c>
      <c r="C1174" s="1" t="n">
        <v>45182</v>
      </c>
      <c r="D1174" t="inlineStr">
        <is>
          <t>JÄMTLANDS LÄN</t>
        </is>
      </c>
      <c r="E1174" t="inlineStr">
        <is>
          <t>KROKOM</t>
        </is>
      </c>
      <c r="F1174" t="inlineStr">
        <is>
          <t>Övriga Aktiebolag</t>
        </is>
      </c>
      <c r="G1174" t="n">
        <v>32.2</v>
      </c>
      <c r="H1174" t="n">
        <v>0</v>
      </c>
      <c r="I1174" t="n">
        <v>0</v>
      </c>
      <c r="J1174" t="n">
        <v>0</v>
      </c>
      <c r="K1174" t="n">
        <v>0</v>
      </c>
      <c r="L1174" t="n">
        <v>0</v>
      </c>
      <c r="M1174" t="n">
        <v>0</v>
      </c>
      <c r="N1174" t="n">
        <v>0</v>
      </c>
      <c r="O1174" t="n">
        <v>0</v>
      </c>
      <c r="P1174" t="n">
        <v>0</v>
      </c>
      <c r="Q1174" t="n">
        <v>0</v>
      </c>
      <c r="R1174" s="2" t="inlineStr"/>
    </row>
    <row r="1175" ht="15" customHeight="1">
      <c r="A1175" t="inlineStr">
        <is>
          <t>A 38170-2018</t>
        </is>
      </c>
      <c r="B1175" s="1" t="n">
        <v>43336</v>
      </c>
      <c r="C1175" s="1" t="n">
        <v>45182</v>
      </c>
      <c r="D1175" t="inlineStr">
        <is>
          <t>JÄMTLANDS LÄN</t>
        </is>
      </c>
      <c r="E1175" t="inlineStr">
        <is>
          <t>ÖSTERSUND</t>
        </is>
      </c>
      <c r="F1175" t="inlineStr">
        <is>
          <t>SCA</t>
        </is>
      </c>
      <c r="G1175" t="n">
        <v>3.5</v>
      </c>
      <c r="H1175" t="n">
        <v>0</v>
      </c>
      <c r="I1175" t="n">
        <v>0</v>
      </c>
      <c r="J1175" t="n">
        <v>0</v>
      </c>
      <c r="K1175" t="n">
        <v>0</v>
      </c>
      <c r="L1175" t="n">
        <v>0</v>
      </c>
      <c r="M1175" t="n">
        <v>0</v>
      </c>
      <c r="N1175" t="n">
        <v>0</v>
      </c>
      <c r="O1175" t="n">
        <v>0</v>
      </c>
      <c r="P1175" t="n">
        <v>0</v>
      </c>
      <c r="Q1175" t="n">
        <v>0</v>
      </c>
      <c r="R1175" s="2" t="inlineStr"/>
    </row>
    <row r="1176" ht="15" customHeight="1">
      <c r="A1176" t="inlineStr">
        <is>
          <t>A 38898-2018</t>
        </is>
      </c>
      <c r="B1176" s="1" t="n">
        <v>43336</v>
      </c>
      <c r="C1176" s="1" t="n">
        <v>45182</v>
      </c>
      <c r="D1176" t="inlineStr">
        <is>
          <t>JÄMTLANDS LÄN</t>
        </is>
      </c>
      <c r="E1176" t="inlineStr">
        <is>
          <t>STRÖMSUND</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38754-2018</t>
        </is>
      </c>
      <c r="B1177" s="1" t="n">
        <v>43340</v>
      </c>
      <c r="C1177" s="1" t="n">
        <v>45182</v>
      </c>
      <c r="D1177" t="inlineStr">
        <is>
          <t>JÄMTLANDS LÄN</t>
        </is>
      </c>
      <c r="E1177" t="inlineStr">
        <is>
          <t>HÄRJEDALEN</t>
        </is>
      </c>
      <c r="G1177" t="n">
        <v>4.2</v>
      </c>
      <c r="H1177" t="n">
        <v>0</v>
      </c>
      <c r="I1177" t="n">
        <v>0</v>
      </c>
      <c r="J1177" t="n">
        <v>0</v>
      </c>
      <c r="K1177" t="n">
        <v>0</v>
      </c>
      <c r="L1177" t="n">
        <v>0</v>
      </c>
      <c r="M1177" t="n">
        <v>0</v>
      </c>
      <c r="N1177" t="n">
        <v>0</v>
      </c>
      <c r="O1177" t="n">
        <v>0</v>
      </c>
      <c r="P1177" t="n">
        <v>0</v>
      </c>
      <c r="Q1177" t="n">
        <v>0</v>
      </c>
      <c r="R1177" s="2" t="inlineStr"/>
    </row>
    <row r="1178" ht="15" customHeight="1">
      <c r="A1178" t="inlineStr">
        <is>
          <t>A 39554-2018</t>
        </is>
      </c>
      <c r="B1178" s="1" t="n">
        <v>43340</v>
      </c>
      <c r="C1178" s="1" t="n">
        <v>45182</v>
      </c>
      <c r="D1178" t="inlineStr">
        <is>
          <t>JÄMTLANDS LÄN</t>
        </is>
      </c>
      <c r="E1178" t="inlineStr">
        <is>
          <t>STRÖMSUND</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38753-2018</t>
        </is>
      </c>
      <c r="B1179" s="1" t="n">
        <v>43340</v>
      </c>
      <c r="C1179" s="1" t="n">
        <v>45182</v>
      </c>
      <c r="D1179" t="inlineStr">
        <is>
          <t>JÄMTLANDS LÄN</t>
        </is>
      </c>
      <c r="E1179" t="inlineStr">
        <is>
          <t>HÄRJEDALEN</t>
        </is>
      </c>
      <c r="G1179" t="n">
        <v>3.6</v>
      </c>
      <c r="H1179" t="n">
        <v>0</v>
      </c>
      <c r="I1179" t="n">
        <v>0</v>
      </c>
      <c r="J1179" t="n">
        <v>0</v>
      </c>
      <c r="K1179" t="n">
        <v>0</v>
      </c>
      <c r="L1179" t="n">
        <v>0</v>
      </c>
      <c r="M1179" t="n">
        <v>0</v>
      </c>
      <c r="N1179" t="n">
        <v>0</v>
      </c>
      <c r="O1179" t="n">
        <v>0</v>
      </c>
      <c r="P1179" t="n">
        <v>0</v>
      </c>
      <c r="Q1179" t="n">
        <v>0</v>
      </c>
      <c r="R1179" s="2" t="inlineStr"/>
    </row>
    <row r="1180" ht="15" customHeight="1">
      <c r="A1180" t="inlineStr">
        <is>
          <t>A 39048-2018</t>
        </is>
      </c>
      <c r="B1180" s="1" t="n">
        <v>43340</v>
      </c>
      <c r="C1180" s="1" t="n">
        <v>45182</v>
      </c>
      <c r="D1180" t="inlineStr">
        <is>
          <t>JÄMTLANDS LÄN</t>
        </is>
      </c>
      <c r="E1180" t="inlineStr">
        <is>
          <t>KROKOM</t>
        </is>
      </c>
      <c r="F1180" t="inlineStr">
        <is>
          <t>SCA</t>
        </is>
      </c>
      <c r="G1180" t="n">
        <v>4.7</v>
      </c>
      <c r="H1180" t="n">
        <v>0</v>
      </c>
      <c r="I1180" t="n">
        <v>0</v>
      </c>
      <c r="J1180" t="n">
        <v>0</v>
      </c>
      <c r="K1180" t="n">
        <v>0</v>
      </c>
      <c r="L1180" t="n">
        <v>0</v>
      </c>
      <c r="M1180" t="n">
        <v>0</v>
      </c>
      <c r="N1180" t="n">
        <v>0</v>
      </c>
      <c r="O1180" t="n">
        <v>0</v>
      </c>
      <c r="P1180" t="n">
        <v>0</v>
      </c>
      <c r="Q1180" t="n">
        <v>0</v>
      </c>
      <c r="R1180" s="2" t="inlineStr"/>
    </row>
    <row r="1181" ht="15" customHeight="1">
      <c r="A1181" t="inlineStr">
        <is>
          <t>A 39341-2018</t>
        </is>
      </c>
      <c r="B1181" s="1" t="n">
        <v>43341</v>
      </c>
      <c r="C1181" s="1" t="n">
        <v>45182</v>
      </c>
      <c r="D1181" t="inlineStr">
        <is>
          <t>JÄMTLANDS LÄN</t>
        </is>
      </c>
      <c r="E1181" t="inlineStr">
        <is>
          <t>RAGUNDA</t>
        </is>
      </c>
      <c r="G1181" t="n">
        <v>0.2</v>
      </c>
      <c r="H1181" t="n">
        <v>0</v>
      </c>
      <c r="I1181" t="n">
        <v>0</v>
      </c>
      <c r="J1181" t="n">
        <v>0</v>
      </c>
      <c r="K1181" t="n">
        <v>0</v>
      </c>
      <c r="L1181" t="n">
        <v>0</v>
      </c>
      <c r="M1181" t="n">
        <v>0</v>
      </c>
      <c r="N1181" t="n">
        <v>0</v>
      </c>
      <c r="O1181" t="n">
        <v>0</v>
      </c>
      <c r="P1181" t="n">
        <v>0</v>
      </c>
      <c r="Q1181" t="n">
        <v>0</v>
      </c>
      <c r="R1181" s="2" t="inlineStr"/>
    </row>
    <row r="1182" ht="15" customHeight="1">
      <c r="A1182" t="inlineStr">
        <is>
          <t>A 39655-2018</t>
        </is>
      </c>
      <c r="B1182" s="1" t="n">
        <v>43341</v>
      </c>
      <c r="C1182" s="1" t="n">
        <v>45182</v>
      </c>
      <c r="D1182" t="inlineStr">
        <is>
          <t>JÄMTLANDS LÄN</t>
        </is>
      </c>
      <c r="E1182" t="inlineStr">
        <is>
          <t>BRÄCKE</t>
        </is>
      </c>
      <c r="G1182" t="n">
        <v>3.7</v>
      </c>
      <c r="H1182" t="n">
        <v>0</v>
      </c>
      <c r="I1182" t="n">
        <v>0</v>
      </c>
      <c r="J1182" t="n">
        <v>0</v>
      </c>
      <c r="K1182" t="n">
        <v>0</v>
      </c>
      <c r="L1182" t="n">
        <v>0</v>
      </c>
      <c r="M1182" t="n">
        <v>0</v>
      </c>
      <c r="N1182" t="n">
        <v>0</v>
      </c>
      <c r="O1182" t="n">
        <v>0</v>
      </c>
      <c r="P1182" t="n">
        <v>0</v>
      </c>
      <c r="Q1182" t="n">
        <v>0</v>
      </c>
      <c r="R1182" s="2" t="inlineStr"/>
    </row>
    <row r="1183" ht="15" customHeight="1">
      <c r="A1183" t="inlineStr">
        <is>
          <t>A 39668-2018</t>
        </is>
      </c>
      <c r="B1183" s="1" t="n">
        <v>43342</v>
      </c>
      <c r="C1183" s="1" t="n">
        <v>45182</v>
      </c>
      <c r="D1183" t="inlineStr">
        <is>
          <t>JÄMTLANDS LÄN</t>
        </is>
      </c>
      <c r="E1183" t="inlineStr">
        <is>
          <t>KROKOM</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39775-2018</t>
        </is>
      </c>
      <c r="B1184" s="1" t="n">
        <v>43342</v>
      </c>
      <c r="C1184" s="1" t="n">
        <v>45182</v>
      </c>
      <c r="D1184" t="inlineStr">
        <is>
          <t>JÄMTLANDS LÄN</t>
        </is>
      </c>
      <c r="E1184" t="inlineStr">
        <is>
          <t>KROKOM</t>
        </is>
      </c>
      <c r="G1184" t="n">
        <v>2.6</v>
      </c>
      <c r="H1184" t="n">
        <v>0</v>
      </c>
      <c r="I1184" t="n">
        <v>0</v>
      </c>
      <c r="J1184" t="n">
        <v>0</v>
      </c>
      <c r="K1184" t="n">
        <v>0</v>
      </c>
      <c r="L1184" t="n">
        <v>0</v>
      </c>
      <c r="M1184" t="n">
        <v>0</v>
      </c>
      <c r="N1184" t="n">
        <v>0</v>
      </c>
      <c r="O1184" t="n">
        <v>0</v>
      </c>
      <c r="P1184" t="n">
        <v>0</v>
      </c>
      <c r="Q1184" t="n">
        <v>0</v>
      </c>
      <c r="R1184" s="2" t="inlineStr"/>
    </row>
    <row r="1185" ht="15" customHeight="1">
      <c r="A1185" t="inlineStr">
        <is>
          <t>A 39883-2018</t>
        </is>
      </c>
      <c r="B1185" s="1" t="n">
        <v>43342</v>
      </c>
      <c r="C1185" s="1" t="n">
        <v>45182</v>
      </c>
      <c r="D1185" t="inlineStr">
        <is>
          <t>JÄMTLANDS LÄN</t>
        </is>
      </c>
      <c r="E1185" t="inlineStr">
        <is>
          <t>BERG</t>
        </is>
      </c>
      <c r="G1185" t="n">
        <v>28.8</v>
      </c>
      <c r="H1185" t="n">
        <v>0</v>
      </c>
      <c r="I1185" t="n">
        <v>0</v>
      </c>
      <c r="J1185" t="n">
        <v>0</v>
      </c>
      <c r="K1185" t="n">
        <v>0</v>
      </c>
      <c r="L1185" t="n">
        <v>0</v>
      </c>
      <c r="M1185" t="n">
        <v>0</v>
      </c>
      <c r="N1185" t="n">
        <v>0</v>
      </c>
      <c r="O1185" t="n">
        <v>0</v>
      </c>
      <c r="P1185" t="n">
        <v>0</v>
      </c>
      <c r="Q1185" t="n">
        <v>0</v>
      </c>
      <c r="R1185" s="2" t="inlineStr"/>
    </row>
    <row r="1186" ht="15" customHeight="1">
      <c r="A1186" t="inlineStr">
        <is>
          <t>A 40873-2018</t>
        </is>
      </c>
      <c r="B1186" s="1" t="n">
        <v>43346</v>
      </c>
      <c r="C1186" s="1" t="n">
        <v>45182</v>
      </c>
      <c r="D1186" t="inlineStr">
        <is>
          <t>JÄMTLANDS LÄN</t>
        </is>
      </c>
      <c r="E1186" t="inlineStr">
        <is>
          <t>KROKOM</t>
        </is>
      </c>
      <c r="G1186" t="n">
        <v>2.5</v>
      </c>
      <c r="H1186" t="n">
        <v>0</v>
      </c>
      <c r="I1186" t="n">
        <v>0</v>
      </c>
      <c r="J1186" t="n">
        <v>0</v>
      </c>
      <c r="K1186" t="n">
        <v>0</v>
      </c>
      <c r="L1186" t="n">
        <v>0</v>
      </c>
      <c r="M1186" t="n">
        <v>0</v>
      </c>
      <c r="N1186" t="n">
        <v>0</v>
      </c>
      <c r="O1186" t="n">
        <v>0</v>
      </c>
      <c r="P1186" t="n">
        <v>0</v>
      </c>
      <c r="Q1186" t="n">
        <v>0</v>
      </c>
      <c r="R1186" s="2" t="inlineStr"/>
    </row>
    <row r="1187" ht="15" customHeight="1">
      <c r="A1187" t="inlineStr">
        <is>
          <t>A 42654-2018</t>
        </is>
      </c>
      <c r="B1187" s="1" t="n">
        <v>43350</v>
      </c>
      <c r="C1187" s="1" t="n">
        <v>45182</v>
      </c>
      <c r="D1187" t="inlineStr">
        <is>
          <t>JÄMTLANDS LÄN</t>
        </is>
      </c>
      <c r="E1187" t="inlineStr">
        <is>
          <t>KROKOM</t>
        </is>
      </c>
      <c r="G1187" t="n">
        <v>4.7</v>
      </c>
      <c r="H1187" t="n">
        <v>0</v>
      </c>
      <c r="I1187" t="n">
        <v>0</v>
      </c>
      <c r="J1187" t="n">
        <v>0</v>
      </c>
      <c r="K1187" t="n">
        <v>0</v>
      </c>
      <c r="L1187" t="n">
        <v>0</v>
      </c>
      <c r="M1187" t="n">
        <v>0</v>
      </c>
      <c r="N1187" t="n">
        <v>0</v>
      </c>
      <c r="O1187" t="n">
        <v>0</v>
      </c>
      <c r="P1187" t="n">
        <v>0</v>
      </c>
      <c r="Q1187" t="n">
        <v>0</v>
      </c>
      <c r="R1187" s="2" t="inlineStr"/>
    </row>
    <row r="1188" ht="15" customHeight="1">
      <c r="A1188" t="inlineStr">
        <is>
          <t>A 41979-2018</t>
        </is>
      </c>
      <c r="B1188" s="1" t="n">
        <v>43350</v>
      </c>
      <c r="C1188" s="1" t="n">
        <v>45182</v>
      </c>
      <c r="D1188" t="inlineStr">
        <is>
          <t>JÄMTLANDS LÄN</t>
        </is>
      </c>
      <c r="E1188" t="inlineStr">
        <is>
          <t>HÄRJEDALEN</t>
        </is>
      </c>
      <c r="G1188" t="n">
        <v>50</v>
      </c>
      <c r="H1188" t="n">
        <v>0</v>
      </c>
      <c r="I1188" t="n">
        <v>0</v>
      </c>
      <c r="J1188" t="n">
        <v>0</v>
      </c>
      <c r="K1188" t="n">
        <v>0</v>
      </c>
      <c r="L1188" t="n">
        <v>0</v>
      </c>
      <c r="M1188" t="n">
        <v>0</v>
      </c>
      <c r="N1188" t="n">
        <v>0</v>
      </c>
      <c r="O1188" t="n">
        <v>0</v>
      </c>
      <c r="P1188" t="n">
        <v>0</v>
      </c>
      <c r="Q1188" t="n">
        <v>0</v>
      </c>
      <c r="R1188" s="2" t="inlineStr"/>
    </row>
    <row r="1189" ht="15" customHeight="1">
      <c r="A1189" t="inlineStr">
        <is>
          <t>A 42660-2018</t>
        </is>
      </c>
      <c r="B1189" s="1" t="n">
        <v>43350</v>
      </c>
      <c r="C1189" s="1" t="n">
        <v>45182</v>
      </c>
      <c r="D1189" t="inlineStr">
        <is>
          <t>JÄMTLANDS LÄN</t>
        </is>
      </c>
      <c r="E1189" t="inlineStr">
        <is>
          <t>KROKOM</t>
        </is>
      </c>
      <c r="G1189" t="n">
        <v>6.6</v>
      </c>
      <c r="H1189" t="n">
        <v>0</v>
      </c>
      <c r="I1189" t="n">
        <v>0</v>
      </c>
      <c r="J1189" t="n">
        <v>0</v>
      </c>
      <c r="K1189" t="n">
        <v>0</v>
      </c>
      <c r="L1189" t="n">
        <v>0</v>
      </c>
      <c r="M1189" t="n">
        <v>0</v>
      </c>
      <c r="N1189" t="n">
        <v>0</v>
      </c>
      <c r="O1189" t="n">
        <v>0</v>
      </c>
      <c r="P1189" t="n">
        <v>0</v>
      </c>
      <c r="Q1189" t="n">
        <v>0</v>
      </c>
      <c r="R1189" s="2" t="inlineStr"/>
    </row>
    <row r="1190" ht="15" customHeight="1">
      <c r="A1190" t="inlineStr">
        <is>
          <t>A 42173-2018</t>
        </is>
      </c>
      <c r="B1190" s="1" t="n">
        <v>43353</v>
      </c>
      <c r="C1190" s="1" t="n">
        <v>45182</v>
      </c>
      <c r="D1190" t="inlineStr">
        <is>
          <t>JÄMTLANDS LÄN</t>
        </is>
      </c>
      <c r="E1190" t="inlineStr">
        <is>
          <t>KROKOM</t>
        </is>
      </c>
      <c r="G1190" t="n">
        <v>0.8</v>
      </c>
      <c r="H1190" t="n">
        <v>0</v>
      </c>
      <c r="I1190" t="n">
        <v>0</v>
      </c>
      <c r="J1190" t="n">
        <v>0</v>
      </c>
      <c r="K1190" t="n">
        <v>0</v>
      </c>
      <c r="L1190" t="n">
        <v>0</v>
      </c>
      <c r="M1190" t="n">
        <v>0</v>
      </c>
      <c r="N1190" t="n">
        <v>0</v>
      </c>
      <c r="O1190" t="n">
        <v>0</v>
      </c>
      <c r="P1190" t="n">
        <v>0</v>
      </c>
      <c r="Q1190" t="n">
        <v>0</v>
      </c>
      <c r="R1190" s="2" t="inlineStr"/>
    </row>
    <row r="1191" ht="15" customHeight="1">
      <c r="A1191" t="inlineStr">
        <is>
          <t>A 43244-2018</t>
        </is>
      </c>
      <c r="B1191" s="1" t="n">
        <v>43353</v>
      </c>
      <c r="C1191" s="1" t="n">
        <v>45182</v>
      </c>
      <c r="D1191" t="inlineStr">
        <is>
          <t>JÄMTLANDS LÄN</t>
        </is>
      </c>
      <c r="E1191" t="inlineStr">
        <is>
          <t>ÅRE</t>
        </is>
      </c>
      <c r="F1191" t="inlineStr">
        <is>
          <t>Övriga statliga verk och myndigheter</t>
        </is>
      </c>
      <c r="G1191" t="n">
        <v>12.9</v>
      </c>
      <c r="H1191" t="n">
        <v>0</v>
      </c>
      <c r="I1191" t="n">
        <v>0</v>
      </c>
      <c r="J1191" t="n">
        <v>0</v>
      </c>
      <c r="K1191" t="n">
        <v>0</v>
      </c>
      <c r="L1191" t="n">
        <v>0</v>
      </c>
      <c r="M1191" t="n">
        <v>0</v>
      </c>
      <c r="N1191" t="n">
        <v>0</v>
      </c>
      <c r="O1191" t="n">
        <v>0</v>
      </c>
      <c r="P1191" t="n">
        <v>0</v>
      </c>
      <c r="Q1191" t="n">
        <v>0</v>
      </c>
      <c r="R1191" s="2" t="inlineStr"/>
    </row>
    <row r="1192" ht="15" customHeight="1">
      <c r="A1192" t="inlineStr">
        <is>
          <t>A 42513-2018</t>
        </is>
      </c>
      <c r="B1192" s="1" t="n">
        <v>43354</v>
      </c>
      <c r="C1192" s="1" t="n">
        <v>45182</v>
      </c>
      <c r="D1192" t="inlineStr">
        <is>
          <t>JÄMTLANDS LÄN</t>
        </is>
      </c>
      <c r="E1192" t="inlineStr">
        <is>
          <t>STRÖMSUND</t>
        </is>
      </c>
      <c r="F1192" t="inlineStr">
        <is>
          <t>Holmen skog AB</t>
        </is>
      </c>
      <c r="G1192" t="n">
        <v>14.6</v>
      </c>
      <c r="H1192" t="n">
        <v>0</v>
      </c>
      <c r="I1192" t="n">
        <v>0</v>
      </c>
      <c r="J1192" t="n">
        <v>0</v>
      </c>
      <c r="K1192" t="n">
        <v>0</v>
      </c>
      <c r="L1192" t="n">
        <v>0</v>
      </c>
      <c r="M1192" t="n">
        <v>0</v>
      </c>
      <c r="N1192" t="n">
        <v>0</v>
      </c>
      <c r="O1192" t="n">
        <v>0</v>
      </c>
      <c r="P1192" t="n">
        <v>0</v>
      </c>
      <c r="Q1192" t="n">
        <v>0</v>
      </c>
      <c r="R1192" s="2" t="inlineStr"/>
    </row>
    <row r="1193" ht="15" customHeight="1">
      <c r="A1193" t="inlineStr">
        <is>
          <t>A 44507-2018</t>
        </is>
      </c>
      <c r="B1193" s="1" t="n">
        <v>43355</v>
      </c>
      <c r="C1193" s="1" t="n">
        <v>45182</v>
      </c>
      <c r="D1193" t="inlineStr">
        <is>
          <t>JÄMTLANDS LÄN</t>
        </is>
      </c>
      <c r="E1193" t="inlineStr">
        <is>
          <t>ÅRE</t>
        </is>
      </c>
      <c r="G1193" t="n">
        <v>7.2</v>
      </c>
      <c r="H1193" t="n">
        <v>0</v>
      </c>
      <c r="I1193" t="n">
        <v>0</v>
      </c>
      <c r="J1193" t="n">
        <v>0</v>
      </c>
      <c r="K1193" t="n">
        <v>0</v>
      </c>
      <c r="L1193" t="n">
        <v>0</v>
      </c>
      <c r="M1193" t="n">
        <v>0</v>
      </c>
      <c r="N1193" t="n">
        <v>0</v>
      </c>
      <c r="O1193" t="n">
        <v>0</v>
      </c>
      <c r="P1193" t="n">
        <v>0</v>
      </c>
      <c r="Q1193" t="n">
        <v>0</v>
      </c>
      <c r="R1193" s="2" t="inlineStr"/>
    </row>
    <row r="1194" ht="15" customHeight="1">
      <c r="A1194" t="inlineStr">
        <is>
          <t>A 44558-2018</t>
        </is>
      </c>
      <c r="B1194" s="1" t="n">
        <v>43355</v>
      </c>
      <c r="C1194" s="1" t="n">
        <v>45182</v>
      </c>
      <c r="D1194" t="inlineStr">
        <is>
          <t>JÄMTLANDS LÄN</t>
        </is>
      </c>
      <c r="E1194" t="inlineStr">
        <is>
          <t>ÅRE</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43619-2018</t>
        </is>
      </c>
      <c r="B1195" s="1" t="n">
        <v>43357</v>
      </c>
      <c r="C1195" s="1" t="n">
        <v>45182</v>
      </c>
      <c r="D1195" t="inlineStr">
        <is>
          <t>JÄMTLANDS LÄN</t>
        </is>
      </c>
      <c r="E1195" t="inlineStr">
        <is>
          <t>KROKOM</t>
        </is>
      </c>
      <c r="G1195" t="n">
        <v>30.5</v>
      </c>
      <c r="H1195" t="n">
        <v>0</v>
      </c>
      <c r="I1195" t="n">
        <v>0</v>
      </c>
      <c r="J1195" t="n">
        <v>0</v>
      </c>
      <c r="K1195" t="n">
        <v>0</v>
      </c>
      <c r="L1195" t="n">
        <v>0</v>
      </c>
      <c r="M1195" t="n">
        <v>0</v>
      </c>
      <c r="N1195" t="n">
        <v>0</v>
      </c>
      <c r="O1195" t="n">
        <v>0</v>
      </c>
      <c r="P1195" t="n">
        <v>0</v>
      </c>
      <c r="Q1195" t="n">
        <v>0</v>
      </c>
      <c r="R1195" s="2" t="inlineStr"/>
    </row>
    <row r="1196" ht="15" customHeight="1">
      <c r="A1196" t="inlineStr">
        <is>
          <t>A 43661-2018</t>
        </is>
      </c>
      <c r="B1196" s="1" t="n">
        <v>43357</v>
      </c>
      <c r="C1196" s="1" t="n">
        <v>45182</v>
      </c>
      <c r="D1196" t="inlineStr">
        <is>
          <t>JÄMTLANDS LÄN</t>
        </is>
      </c>
      <c r="E1196" t="inlineStr">
        <is>
          <t>ÅRE</t>
        </is>
      </c>
      <c r="F1196" t="inlineStr">
        <is>
          <t>Övriga Aktiebolag</t>
        </is>
      </c>
      <c r="G1196" t="n">
        <v>21.3</v>
      </c>
      <c r="H1196" t="n">
        <v>0</v>
      </c>
      <c r="I1196" t="n">
        <v>0</v>
      </c>
      <c r="J1196" t="n">
        <v>0</v>
      </c>
      <c r="K1196" t="n">
        <v>0</v>
      </c>
      <c r="L1196" t="n">
        <v>0</v>
      </c>
      <c r="M1196" t="n">
        <v>0</v>
      </c>
      <c r="N1196" t="n">
        <v>0</v>
      </c>
      <c r="O1196" t="n">
        <v>0</v>
      </c>
      <c r="P1196" t="n">
        <v>0</v>
      </c>
      <c r="Q1196" t="n">
        <v>0</v>
      </c>
      <c r="R1196" s="2" t="inlineStr"/>
    </row>
    <row r="1197" ht="15" customHeight="1">
      <c r="A1197" t="inlineStr">
        <is>
          <t>A 43773-2018</t>
        </is>
      </c>
      <c r="B1197" s="1" t="n">
        <v>43357</v>
      </c>
      <c r="C1197" s="1" t="n">
        <v>45182</v>
      </c>
      <c r="D1197" t="inlineStr">
        <is>
          <t>JÄMTLANDS LÄN</t>
        </is>
      </c>
      <c r="E1197" t="inlineStr">
        <is>
          <t>KROKOM</t>
        </is>
      </c>
      <c r="G1197" t="n">
        <v>2.6</v>
      </c>
      <c r="H1197" t="n">
        <v>0</v>
      </c>
      <c r="I1197" t="n">
        <v>0</v>
      </c>
      <c r="J1197" t="n">
        <v>0</v>
      </c>
      <c r="K1197" t="n">
        <v>0</v>
      </c>
      <c r="L1197" t="n">
        <v>0</v>
      </c>
      <c r="M1197" t="n">
        <v>0</v>
      </c>
      <c r="N1197" t="n">
        <v>0</v>
      </c>
      <c r="O1197" t="n">
        <v>0</v>
      </c>
      <c r="P1197" t="n">
        <v>0</v>
      </c>
      <c r="Q1197" t="n">
        <v>0</v>
      </c>
      <c r="R1197" s="2" t="inlineStr"/>
    </row>
    <row r="1198" ht="15" customHeight="1">
      <c r="A1198" t="inlineStr">
        <is>
          <t>A 44692-2018</t>
        </is>
      </c>
      <c r="B1198" s="1" t="n">
        <v>43357</v>
      </c>
      <c r="C1198" s="1" t="n">
        <v>45182</v>
      </c>
      <c r="D1198" t="inlineStr">
        <is>
          <t>JÄMTLANDS LÄN</t>
        </is>
      </c>
      <c r="E1198" t="inlineStr">
        <is>
          <t>STRÖMSUND</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44222-2018</t>
        </is>
      </c>
      <c r="B1199" s="1" t="n">
        <v>43360</v>
      </c>
      <c r="C1199" s="1" t="n">
        <v>45182</v>
      </c>
      <c r="D1199" t="inlineStr">
        <is>
          <t>JÄMTLANDS LÄN</t>
        </is>
      </c>
      <c r="E1199" t="inlineStr">
        <is>
          <t>HÄRJEDALEN</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45365-2018</t>
        </is>
      </c>
      <c r="B1200" s="1" t="n">
        <v>43360</v>
      </c>
      <c r="C1200" s="1" t="n">
        <v>45182</v>
      </c>
      <c r="D1200" t="inlineStr">
        <is>
          <t>JÄMTLANDS LÄN</t>
        </is>
      </c>
      <c r="E1200" t="inlineStr">
        <is>
          <t>RAGUNDA</t>
        </is>
      </c>
      <c r="G1200" t="n">
        <v>7</v>
      </c>
      <c r="H1200" t="n">
        <v>0</v>
      </c>
      <c r="I1200" t="n">
        <v>0</v>
      </c>
      <c r="J1200" t="n">
        <v>0</v>
      </c>
      <c r="K1200" t="n">
        <v>0</v>
      </c>
      <c r="L1200" t="n">
        <v>0</v>
      </c>
      <c r="M1200" t="n">
        <v>0</v>
      </c>
      <c r="N1200" t="n">
        <v>0</v>
      </c>
      <c r="O1200" t="n">
        <v>0</v>
      </c>
      <c r="P1200" t="n">
        <v>0</v>
      </c>
      <c r="Q1200" t="n">
        <v>0</v>
      </c>
      <c r="R1200" s="2" t="inlineStr"/>
    </row>
    <row r="1201" ht="15" customHeight="1">
      <c r="A1201" t="inlineStr">
        <is>
          <t>A 45885-2018</t>
        </is>
      </c>
      <c r="B1201" s="1" t="n">
        <v>43362</v>
      </c>
      <c r="C1201" s="1" t="n">
        <v>45182</v>
      </c>
      <c r="D1201" t="inlineStr">
        <is>
          <t>JÄMTLANDS LÄN</t>
        </is>
      </c>
      <c r="E1201" t="inlineStr">
        <is>
          <t>KROKOM</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45894-2018</t>
        </is>
      </c>
      <c r="B1202" s="1" t="n">
        <v>43362</v>
      </c>
      <c r="C1202" s="1" t="n">
        <v>45182</v>
      </c>
      <c r="D1202" t="inlineStr">
        <is>
          <t>JÄMTLANDS LÄN</t>
        </is>
      </c>
      <c r="E1202" t="inlineStr">
        <is>
          <t>KROKOM</t>
        </is>
      </c>
      <c r="G1202" t="n">
        <v>6.8</v>
      </c>
      <c r="H1202" t="n">
        <v>0</v>
      </c>
      <c r="I1202" t="n">
        <v>0</v>
      </c>
      <c r="J1202" t="n">
        <v>0</v>
      </c>
      <c r="K1202" t="n">
        <v>0</v>
      </c>
      <c r="L1202" t="n">
        <v>0</v>
      </c>
      <c r="M1202" t="n">
        <v>0</v>
      </c>
      <c r="N1202" t="n">
        <v>0</v>
      </c>
      <c r="O1202" t="n">
        <v>0</v>
      </c>
      <c r="P1202" t="n">
        <v>0</v>
      </c>
      <c r="Q1202" t="n">
        <v>0</v>
      </c>
      <c r="R1202" s="2" t="inlineStr"/>
    </row>
    <row r="1203" ht="15" customHeight="1">
      <c r="A1203" t="inlineStr">
        <is>
          <t>A 45886-2018</t>
        </is>
      </c>
      <c r="B1203" s="1" t="n">
        <v>43362</v>
      </c>
      <c r="C1203" s="1" t="n">
        <v>45182</v>
      </c>
      <c r="D1203" t="inlineStr">
        <is>
          <t>JÄMTLANDS LÄN</t>
        </is>
      </c>
      <c r="E1203" t="inlineStr">
        <is>
          <t>KROKOM</t>
        </is>
      </c>
      <c r="G1203" t="n">
        <v>18.5</v>
      </c>
      <c r="H1203" t="n">
        <v>0</v>
      </c>
      <c r="I1203" t="n">
        <v>0</v>
      </c>
      <c r="J1203" t="n">
        <v>0</v>
      </c>
      <c r="K1203" t="n">
        <v>0</v>
      </c>
      <c r="L1203" t="n">
        <v>0</v>
      </c>
      <c r="M1203" t="n">
        <v>0</v>
      </c>
      <c r="N1203" t="n">
        <v>0</v>
      </c>
      <c r="O1203" t="n">
        <v>0</v>
      </c>
      <c r="P1203" t="n">
        <v>0</v>
      </c>
      <c r="Q1203" t="n">
        <v>0</v>
      </c>
      <c r="R1203" s="2" t="inlineStr"/>
    </row>
    <row r="1204" ht="15" customHeight="1">
      <c r="A1204" t="inlineStr">
        <is>
          <t>A 45633-2018</t>
        </is>
      </c>
      <c r="B1204" s="1" t="n">
        <v>43363</v>
      </c>
      <c r="C1204" s="1" t="n">
        <v>45182</v>
      </c>
      <c r="D1204" t="inlineStr">
        <is>
          <t>JÄMTLANDS LÄN</t>
        </is>
      </c>
      <c r="E1204" t="inlineStr">
        <is>
          <t>BERG</t>
        </is>
      </c>
      <c r="F1204" t="inlineStr">
        <is>
          <t>SCA</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45492-2018</t>
        </is>
      </c>
      <c r="B1205" s="1" t="n">
        <v>43363</v>
      </c>
      <c r="C1205" s="1" t="n">
        <v>45182</v>
      </c>
      <c r="D1205" t="inlineStr">
        <is>
          <t>JÄMTLANDS LÄN</t>
        </is>
      </c>
      <c r="E1205" t="inlineStr">
        <is>
          <t>STRÖMSUND</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45583-2018</t>
        </is>
      </c>
      <c r="B1206" s="1" t="n">
        <v>43363</v>
      </c>
      <c r="C1206" s="1" t="n">
        <v>45182</v>
      </c>
      <c r="D1206" t="inlineStr">
        <is>
          <t>JÄMTLANDS LÄN</t>
        </is>
      </c>
      <c r="E1206" t="inlineStr">
        <is>
          <t>BRÄCKE</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46202-2018</t>
        </is>
      </c>
      <c r="B1207" s="1" t="n">
        <v>43364</v>
      </c>
      <c r="C1207" s="1" t="n">
        <v>45182</v>
      </c>
      <c r="D1207" t="inlineStr">
        <is>
          <t>JÄMTLANDS LÄN</t>
        </is>
      </c>
      <c r="E1207" t="inlineStr">
        <is>
          <t>HÄRJEDALEN</t>
        </is>
      </c>
      <c r="G1207" t="n">
        <v>2.4</v>
      </c>
      <c r="H1207" t="n">
        <v>0</v>
      </c>
      <c r="I1207" t="n">
        <v>0</v>
      </c>
      <c r="J1207" t="n">
        <v>0</v>
      </c>
      <c r="K1207" t="n">
        <v>0</v>
      </c>
      <c r="L1207" t="n">
        <v>0</v>
      </c>
      <c r="M1207" t="n">
        <v>0</v>
      </c>
      <c r="N1207" t="n">
        <v>0</v>
      </c>
      <c r="O1207" t="n">
        <v>0</v>
      </c>
      <c r="P1207" t="n">
        <v>0</v>
      </c>
      <c r="Q1207" t="n">
        <v>0</v>
      </c>
      <c r="R1207" s="2" t="inlineStr"/>
    </row>
    <row r="1208" ht="15" customHeight="1">
      <c r="A1208" t="inlineStr">
        <is>
          <t>A 45745-2018</t>
        </is>
      </c>
      <c r="B1208" s="1" t="n">
        <v>43364</v>
      </c>
      <c r="C1208" s="1" t="n">
        <v>45182</v>
      </c>
      <c r="D1208" t="inlineStr">
        <is>
          <t>JÄMTLANDS LÄN</t>
        </is>
      </c>
      <c r="E1208" t="inlineStr">
        <is>
          <t>KROKOM</t>
        </is>
      </c>
      <c r="G1208" t="n">
        <v>15</v>
      </c>
      <c r="H1208" t="n">
        <v>0</v>
      </c>
      <c r="I1208" t="n">
        <v>0</v>
      </c>
      <c r="J1208" t="n">
        <v>0</v>
      </c>
      <c r="K1208" t="n">
        <v>0</v>
      </c>
      <c r="L1208" t="n">
        <v>0</v>
      </c>
      <c r="M1208" t="n">
        <v>0</v>
      </c>
      <c r="N1208" t="n">
        <v>0</v>
      </c>
      <c r="O1208" t="n">
        <v>0</v>
      </c>
      <c r="P1208" t="n">
        <v>0</v>
      </c>
      <c r="Q1208" t="n">
        <v>0</v>
      </c>
      <c r="R1208" s="2" t="inlineStr"/>
    </row>
    <row r="1209" ht="15" customHeight="1">
      <c r="A1209" t="inlineStr">
        <is>
          <t>A 46335-2018</t>
        </is>
      </c>
      <c r="B1209" s="1" t="n">
        <v>43364</v>
      </c>
      <c r="C1209" s="1" t="n">
        <v>45182</v>
      </c>
      <c r="D1209" t="inlineStr">
        <is>
          <t>JÄMTLANDS LÄN</t>
        </is>
      </c>
      <c r="E1209" t="inlineStr">
        <is>
          <t>ÖSTERSUND</t>
        </is>
      </c>
      <c r="G1209" t="n">
        <v>0.6</v>
      </c>
      <c r="H1209" t="n">
        <v>0</v>
      </c>
      <c r="I1209" t="n">
        <v>0</v>
      </c>
      <c r="J1209" t="n">
        <v>0</v>
      </c>
      <c r="K1209" t="n">
        <v>0</v>
      </c>
      <c r="L1209" t="n">
        <v>0</v>
      </c>
      <c r="M1209" t="n">
        <v>0</v>
      </c>
      <c r="N1209" t="n">
        <v>0</v>
      </c>
      <c r="O1209" t="n">
        <v>0</v>
      </c>
      <c r="P1209" t="n">
        <v>0</v>
      </c>
      <c r="Q1209" t="n">
        <v>0</v>
      </c>
      <c r="R1209" s="2" t="inlineStr"/>
    </row>
    <row r="1210" ht="15" customHeight="1">
      <c r="A1210" t="inlineStr">
        <is>
          <t>A 45747-2018</t>
        </is>
      </c>
      <c r="B1210" s="1" t="n">
        <v>43364</v>
      </c>
      <c r="C1210" s="1" t="n">
        <v>45182</v>
      </c>
      <c r="D1210" t="inlineStr">
        <is>
          <t>JÄMTLANDS LÄN</t>
        </is>
      </c>
      <c r="E1210" t="inlineStr">
        <is>
          <t>ÖSTERSUND</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46640-2018</t>
        </is>
      </c>
      <c r="B1211" s="1" t="n">
        <v>43368</v>
      </c>
      <c r="C1211" s="1" t="n">
        <v>45182</v>
      </c>
      <c r="D1211" t="inlineStr">
        <is>
          <t>JÄMTLANDS LÄN</t>
        </is>
      </c>
      <c r="E1211" t="inlineStr">
        <is>
          <t>ÅRE</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47303-2018</t>
        </is>
      </c>
      <c r="B1212" s="1" t="n">
        <v>43369</v>
      </c>
      <c r="C1212" s="1" t="n">
        <v>45182</v>
      </c>
      <c r="D1212" t="inlineStr">
        <is>
          <t>JÄMTLANDS LÄN</t>
        </is>
      </c>
      <c r="E1212" t="inlineStr">
        <is>
          <t>ÅRE</t>
        </is>
      </c>
      <c r="G1212" t="n">
        <v>14.5</v>
      </c>
      <c r="H1212" t="n">
        <v>0</v>
      </c>
      <c r="I1212" t="n">
        <v>0</v>
      </c>
      <c r="J1212" t="n">
        <v>0</v>
      </c>
      <c r="K1212" t="n">
        <v>0</v>
      </c>
      <c r="L1212" t="n">
        <v>0</v>
      </c>
      <c r="M1212" t="n">
        <v>0</v>
      </c>
      <c r="N1212" t="n">
        <v>0</v>
      </c>
      <c r="O1212" t="n">
        <v>0</v>
      </c>
      <c r="P1212" t="n">
        <v>0</v>
      </c>
      <c r="Q1212" t="n">
        <v>0</v>
      </c>
      <c r="R1212" s="2" t="inlineStr"/>
    </row>
    <row r="1213" ht="15" customHeight="1">
      <c r="A1213" t="inlineStr">
        <is>
          <t>A 47412-2018</t>
        </is>
      </c>
      <c r="B1213" s="1" t="n">
        <v>43369</v>
      </c>
      <c r="C1213" s="1" t="n">
        <v>45182</v>
      </c>
      <c r="D1213" t="inlineStr">
        <is>
          <t>JÄMTLANDS LÄN</t>
        </is>
      </c>
      <c r="E1213" t="inlineStr">
        <is>
          <t>HÄRJEDALEN</t>
        </is>
      </c>
      <c r="G1213" t="n">
        <v>20.4</v>
      </c>
      <c r="H1213" t="n">
        <v>0</v>
      </c>
      <c r="I1213" t="n">
        <v>0</v>
      </c>
      <c r="J1213" t="n">
        <v>0</v>
      </c>
      <c r="K1213" t="n">
        <v>0</v>
      </c>
      <c r="L1213" t="n">
        <v>0</v>
      </c>
      <c r="M1213" t="n">
        <v>0</v>
      </c>
      <c r="N1213" t="n">
        <v>0</v>
      </c>
      <c r="O1213" t="n">
        <v>0</v>
      </c>
      <c r="P1213" t="n">
        <v>0</v>
      </c>
      <c r="Q1213" t="n">
        <v>0</v>
      </c>
      <c r="R1213" s="2" t="inlineStr"/>
    </row>
    <row r="1214" ht="15" customHeight="1">
      <c r="A1214" t="inlineStr">
        <is>
          <t>A 47715-2018</t>
        </is>
      </c>
      <c r="B1214" s="1" t="n">
        <v>43369</v>
      </c>
      <c r="C1214" s="1" t="n">
        <v>45182</v>
      </c>
      <c r="D1214" t="inlineStr">
        <is>
          <t>JÄMTLANDS LÄN</t>
        </is>
      </c>
      <c r="E1214" t="inlineStr">
        <is>
          <t>STRÖMSUND</t>
        </is>
      </c>
      <c r="G1214" t="n">
        <v>3.3</v>
      </c>
      <c r="H1214" t="n">
        <v>0</v>
      </c>
      <c r="I1214" t="n">
        <v>0</v>
      </c>
      <c r="J1214" t="n">
        <v>0</v>
      </c>
      <c r="K1214" t="n">
        <v>0</v>
      </c>
      <c r="L1214" t="n">
        <v>0</v>
      </c>
      <c r="M1214" t="n">
        <v>0</v>
      </c>
      <c r="N1214" t="n">
        <v>0</v>
      </c>
      <c r="O1214" t="n">
        <v>0</v>
      </c>
      <c r="P1214" t="n">
        <v>0</v>
      </c>
      <c r="Q1214" t="n">
        <v>0</v>
      </c>
      <c r="R1214" s="2" t="inlineStr"/>
    </row>
    <row r="1215" ht="15" customHeight="1">
      <c r="A1215" t="inlineStr">
        <is>
          <t>A 49046-2018</t>
        </is>
      </c>
      <c r="B1215" s="1" t="n">
        <v>43371</v>
      </c>
      <c r="C1215" s="1" t="n">
        <v>45182</v>
      </c>
      <c r="D1215" t="inlineStr">
        <is>
          <t>JÄMTLANDS LÄN</t>
        </is>
      </c>
      <c r="E1215" t="inlineStr">
        <is>
          <t>ÖSTERSUND</t>
        </is>
      </c>
      <c r="G1215" t="n">
        <v>0.6</v>
      </c>
      <c r="H1215" t="n">
        <v>0</v>
      </c>
      <c r="I1215" t="n">
        <v>0</v>
      </c>
      <c r="J1215" t="n">
        <v>0</v>
      </c>
      <c r="K1215" t="n">
        <v>0</v>
      </c>
      <c r="L1215" t="n">
        <v>0</v>
      </c>
      <c r="M1215" t="n">
        <v>0</v>
      </c>
      <c r="N1215" t="n">
        <v>0</v>
      </c>
      <c r="O1215" t="n">
        <v>0</v>
      </c>
      <c r="P1215" t="n">
        <v>0</v>
      </c>
      <c r="Q1215" t="n">
        <v>0</v>
      </c>
      <c r="R1215" s="2" t="inlineStr"/>
    </row>
    <row r="1216" ht="15" customHeight="1">
      <c r="A1216" t="inlineStr">
        <is>
          <t>A 49055-2018</t>
        </is>
      </c>
      <c r="B1216" s="1" t="n">
        <v>43371</v>
      </c>
      <c r="C1216" s="1" t="n">
        <v>45182</v>
      </c>
      <c r="D1216" t="inlineStr">
        <is>
          <t>JÄMTLANDS LÄN</t>
        </is>
      </c>
      <c r="E1216" t="inlineStr">
        <is>
          <t>ÖSTERSUND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49043-2018</t>
        </is>
      </c>
      <c r="B1217" s="1" t="n">
        <v>43371</v>
      </c>
      <c r="C1217" s="1" t="n">
        <v>45182</v>
      </c>
      <c r="D1217" t="inlineStr">
        <is>
          <t>JÄMTLANDS LÄN</t>
        </is>
      </c>
      <c r="E1217" t="inlineStr">
        <is>
          <t>ÖSTERSUND</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48245-2018</t>
        </is>
      </c>
      <c r="B1218" s="1" t="n">
        <v>43371</v>
      </c>
      <c r="C1218" s="1" t="n">
        <v>45182</v>
      </c>
      <c r="D1218" t="inlineStr">
        <is>
          <t>JÄMTLANDS LÄN</t>
        </is>
      </c>
      <c r="E1218" t="inlineStr">
        <is>
          <t>HÄRJEDALEN</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49061-2018</t>
        </is>
      </c>
      <c r="B1219" s="1" t="n">
        <v>43371</v>
      </c>
      <c r="C1219" s="1" t="n">
        <v>45182</v>
      </c>
      <c r="D1219" t="inlineStr">
        <is>
          <t>JÄMTLANDS LÄN</t>
        </is>
      </c>
      <c r="E1219" t="inlineStr">
        <is>
          <t>ÖSTERSUND</t>
        </is>
      </c>
      <c r="G1219" t="n">
        <v>0.8</v>
      </c>
      <c r="H1219" t="n">
        <v>0</v>
      </c>
      <c r="I1219" t="n">
        <v>0</v>
      </c>
      <c r="J1219" t="n">
        <v>0</v>
      </c>
      <c r="K1219" t="n">
        <v>0</v>
      </c>
      <c r="L1219" t="n">
        <v>0</v>
      </c>
      <c r="M1219" t="n">
        <v>0</v>
      </c>
      <c r="N1219" t="n">
        <v>0</v>
      </c>
      <c r="O1219" t="n">
        <v>0</v>
      </c>
      <c r="P1219" t="n">
        <v>0</v>
      </c>
      <c r="Q1219" t="n">
        <v>0</v>
      </c>
      <c r="R1219" s="2" t="inlineStr"/>
    </row>
    <row r="1220" ht="15" customHeight="1">
      <c r="A1220" t="inlineStr">
        <is>
          <t>A 49130-2018</t>
        </is>
      </c>
      <c r="B1220" s="1" t="n">
        <v>43375</v>
      </c>
      <c r="C1220" s="1" t="n">
        <v>45182</v>
      </c>
      <c r="D1220" t="inlineStr">
        <is>
          <t>JÄMTLANDS LÄN</t>
        </is>
      </c>
      <c r="E1220" t="inlineStr">
        <is>
          <t>HÄRJEDALEN</t>
        </is>
      </c>
      <c r="G1220" t="n">
        <v>6.6</v>
      </c>
      <c r="H1220" t="n">
        <v>0</v>
      </c>
      <c r="I1220" t="n">
        <v>0</v>
      </c>
      <c r="J1220" t="n">
        <v>0</v>
      </c>
      <c r="K1220" t="n">
        <v>0</v>
      </c>
      <c r="L1220" t="n">
        <v>0</v>
      </c>
      <c r="M1220" t="n">
        <v>0</v>
      </c>
      <c r="N1220" t="n">
        <v>0</v>
      </c>
      <c r="O1220" t="n">
        <v>0</v>
      </c>
      <c r="P1220" t="n">
        <v>0</v>
      </c>
      <c r="Q1220" t="n">
        <v>0</v>
      </c>
      <c r="R1220" s="2" t="inlineStr"/>
    </row>
    <row r="1221" ht="15" customHeight="1">
      <c r="A1221" t="inlineStr">
        <is>
          <t>A 50928-2018</t>
        </is>
      </c>
      <c r="B1221" s="1" t="n">
        <v>43375</v>
      </c>
      <c r="C1221" s="1" t="n">
        <v>45182</v>
      </c>
      <c r="D1221" t="inlineStr">
        <is>
          <t>JÄMTLANDS LÄN</t>
        </is>
      </c>
      <c r="E1221" t="inlineStr">
        <is>
          <t>ÅRE</t>
        </is>
      </c>
      <c r="G1221" t="n">
        <v>8.6</v>
      </c>
      <c r="H1221" t="n">
        <v>0</v>
      </c>
      <c r="I1221" t="n">
        <v>0</v>
      </c>
      <c r="J1221" t="n">
        <v>0</v>
      </c>
      <c r="K1221" t="n">
        <v>0</v>
      </c>
      <c r="L1221" t="n">
        <v>0</v>
      </c>
      <c r="M1221" t="n">
        <v>0</v>
      </c>
      <c r="N1221" t="n">
        <v>0</v>
      </c>
      <c r="O1221" t="n">
        <v>0</v>
      </c>
      <c r="P1221" t="n">
        <v>0</v>
      </c>
      <c r="Q1221" t="n">
        <v>0</v>
      </c>
      <c r="R1221" s="2" t="inlineStr"/>
    </row>
    <row r="1222" ht="15" customHeight="1">
      <c r="A1222" t="inlineStr">
        <is>
          <t>A 51794-2018</t>
        </is>
      </c>
      <c r="B1222" s="1" t="n">
        <v>43381</v>
      </c>
      <c r="C1222" s="1" t="n">
        <v>45182</v>
      </c>
      <c r="D1222" t="inlineStr">
        <is>
          <t>JÄMTLANDS LÄN</t>
        </is>
      </c>
      <c r="E1222" t="inlineStr">
        <is>
          <t>ÖSTERSUND</t>
        </is>
      </c>
      <c r="G1222" t="n">
        <v>3.2</v>
      </c>
      <c r="H1222" t="n">
        <v>0</v>
      </c>
      <c r="I1222" t="n">
        <v>0</v>
      </c>
      <c r="J1222" t="n">
        <v>0</v>
      </c>
      <c r="K1222" t="n">
        <v>0</v>
      </c>
      <c r="L1222" t="n">
        <v>0</v>
      </c>
      <c r="M1222" t="n">
        <v>0</v>
      </c>
      <c r="N1222" t="n">
        <v>0</v>
      </c>
      <c r="O1222" t="n">
        <v>0</v>
      </c>
      <c r="P1222" t="n">
        <v>0</v>
      </c>
      <c r="Q1222" t="n">
        <v>0</v>
      </c>
      <c r="R1222" s="2" t="inlineStr"/>
    </row>
    <row r="1223" ht="15" customHeight="1">
      <c r="A1223" t="inlineStr">
        <is>
          <t>A 51450-2018</t>
        </is>
      </c>
      <c r="B1223" s="1" t="n">
        <v>43383</v>
      </c>
      <c r="C1223" s="1" t="n">
        <v>45182</v>
      </c>
      <c r="D1223" t="inlineStr">
        <is>
          <t>JÄMTLANDS LÄN</t>
        </is>
      </c>
      <c r="E1223" t="inlineStr">
        <is>
          <t>HÄRJEDALEN</t>
        </is>
      </c>
      <c r="G1223" t="n">
        <v>16.3</v>
      </c>
      <c r="H1223" t="n">
        <v>0</v>
      </c>
      <c r="I1223" t="n">
        <v>0</v>
      </c>
      <c r="J1223" t="n">
        <v>0</v>
      </c>
      <c r="K1223" t="n">
        <v>0</v>
      </c>
      <c r="L1223" t="n">
        <v>0</v>
      </c>
      <c r="M1223" t="n">
        <v>0</v>
      </c>
      <c r="N1223" t="n">
        <v>0</v>
      </c>
      <c r="O1223" t="n">
        <v>0</v>
      </c>
      <c r="P1223" t="n">
        <v>0</v>
      </c>
      <c r="Q1223" t="n">
        <v>0</v>
      </c>
      <c r="R1223" s="2" t="inlineStr"/>
    </row>
    <row r="1224" ht="15" customHeight="1">
      <c r="A1224" t="inlineStr">
        <is>
          <t>A 51383-2018</t>
        </is>
      </c>
      <c r="B1224" s="1" t="n">
        <v>43383</v>
      </c>
      <c r="C1224" s="1" t="n">
        <v>45182</v>
      </c>
      <c r="D1224" t="inlineStr">
        <is>
          <t>JÄMTLANDS LÄN</t>
        </is>
      </c>
      <c r="E1224" t="inlineStr">
        <is>
          <t>ÅRE</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52842-2018</t>
        </is>
      </c>
      <c r="B1225" s="1" t="n">
        <v>43384</v>
      </c>
      <c r="C1225" s="1" t="n">
        <v>45182</v>
      </c>
      <c r="D1225" t="inlineStr">
        <is>
          <t>JÄMTLANDS LÄN</t>
        </is>
      </c>
      <c r="E1225" t="inlineStr">
        <is>
          <t>ÅRE</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52573-2018</t>
        </is>
      </c>
      <c r="B1226" s="1" t="n">
        <v>43388</v>
      </c>
      <c r="C1226" s="1" t="n">
        <v>45182</v>
      </c>
      <c r="D1226" t="inlineStr">
        <is>
          <t>JÄMTLANDS LÄN</t>
        </is>
      </c>
      <c r="E1226" t="inlineStr">
        <is>
          <t>ÅRE</t>
        </is>
      </c>
      <c r="G1226" t="n">
        <v>4.4</v>
      </c>
      <c r="H1226" t="n">
        <v>0</v>
      </c>
      <c r="I1226" t="n">
        <v>0</v>
      </c>
      <c r="J1226" t="n">
        <v>0</v>
      </c>
      <c r="K1226" t="n">
        <v>0</v>
      </c>
      <c r="L1226" t="n">
        <v>0</v>
      </c>
      <c r="M1226" t="n">
        <v>0</v>
      </c>
      <c r="N1226" t="n">
        <v>0</v>
      </c>
      <c r="O1226" t="n">
        <v>0</v>
      </c>
      <c r="P1226" t="n">
        <v>0</v>
      </c>
      <c r="Q1226" t="n">
        <v>0</v>
      </c>
      <c r="R1226" s="2" t="inlineStr"/>
    </row>
    <row r="1227" ht="15" customHeight="1">
      <c r="A1227" t="inlineStr">
        <is>
          <t>A 52615-2018</t>
        </is>
      </c>
      <c r="B1227" s="1" t="n">
        <v>43389</v>
      </c>
      <c r="C1227" s="1" t="n">
        <v>45182</v>
      </c>
      <c r="D1227" t="inlineStr">
        <is>
          <t>JÄMTLANDS LÄN</t>
        </is>
      </c>
      <c r="E1227" t="inlineStr">
        <is>
          <t>ÅRE</t>
        </is>
      </c>
      <c r="F1227" t="inlineStr">
        <is>
          <t>Övriga Aktiebolag</t>
        </is>
      </c>
      <c r="G1227" t="n">
        <v>65.90000000000001</v>
      </c>
      <c r="H1227" t="n">
        <v>0</v>
      </c>
      <c r="I1227" t="n">
        <v>0</v>
      </c>
      <c r="J1227" t="n">
        <v>0</v>
      </c>
      <c r="K1227" t="n">
        <v>0</v>
      </c>
      <c r="L1227" t="n">
        <v>0</v>
      </c>
      <c r="M1227" t="n">
        <v>0</v>
      </c>
      <c r="N1227" t="n">
        <v>0</v>
      </c>
      <c r="O1227" t="n">
        <v>0</v>
      </c>
      <c r="P1227" t="n">
        <v>0</v>
      </c>
      <c r="Q1227" t="n">
        <v>0</v>
      </c>
      <c r="R1227" s="2" t="inlineStr"/>
    </row>
    <row r="1228" ht="15" customHeight="1">
      <c r="A1228" t="inlineStr">
        <is>
          <t>A 54581-2018</t>
        </is>
      </c>
      <c r="B1228" s="1" t="n">
        <v>43389</v>
      </c>
      <c r="C1228" s="1" t="n">
        <v>45182</v>
      </c>
      <c r="D1228" t="inlineStr">
        <is>
          <t>JÄMTLANDS LÄN</t>
        </is>
      </c>
      <c r="E1228" t="inlineStr">
        <is>
          <t>HÄRJEDALEN</t>
        </is>
      </c>
      <c r="F1228" t="inlineStr">
        <is>
          <t>Övriga statliga verk och myndigheter</t>
        </is>
      </c>
      <c r="G1228" t="n">
        <v>58.9</v>
      </c>
      <c r="H1228" t="n">
        <v>0</v>
      </c>
      <c r="I1228" t="n">
        <v>0</v>
      </c>
      <c r="J1228" t="n">
        <v>0</v>
      </c>
      <c r="K1228" t="n">
        <v>0</v>
      </c>
      <c r="L1228" t="n">
        <v>0</v>
      </c>
      <c r="M1228" t="n">
        <v>0</v>
      </c>
      <c r="N1228" t="n">
        <v>0</v>
      </c>
      <c r="O1228" t="n">
        <v>0</v>
      </c>
      <c r="P1228" t="n">
        <v>0</v>
      </c>
      <c r="Q1228" t="n">
        <v>0</v>
      </c>
      <c r="R1228" s="2" t="inlineStr"/>
    </row>
    <row r="1229" ht="15" customHeight="1">
      <c r="A1229" t="inlineStr">
        <is>
          <t>A 72678-2018</t>
        </is>
      </c>
      <c r="B1229" s="1" t="n">
        <v>43389</v>
      </c>
      <c r="C1229" s="1" t="n">
        <v>45182</v>
      </c>
      <c r="D1229" t="inlineStr">
        <is>
          <t>JÄMTLANDS LÄN</t>
        </is>
      </c>
      <c r="E1229" t="inlineStr">
        <is>
          <t>KROKOM</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54598-2018</t>
        </is>
      </c>
      <c r="B1230" s="1" t="n">
        <v>43389</v>
      </c>
      <c r="C1230" s="1" t="n">
        <v>45182</v>
      </c>
      <c r="D1230" t="inlineStr">
        <is>
          <t>JÄMTLANDS LÄN</t>
        </is>
      </c>
      <c r="E1230" t="inlineStr">
        <is>
          <t>BERG</t>
        </is>
      </c>
      <c r="F1230" t="inlineStr">
        <is>
          <t>Övriga statliga verk och myndigheter</t>
        </is>
      </c>
      <c r="G1230" t="n">
        <v>6.2</v>
      </c>
      <c r="H1230" t="n">
        <v>0</v>
      </c>
      <c r="I1230" t="n">
        <v>0</v>
      </c>
      <c r="J1230" t="n">
        <v>0</v>
      </c>
      <c r="K1230" t="n">
        <v>0</v>
      </c>
      <c r="L1230" t="n">
        <v>0</v>
      </c>
      <c r="M1230" t="n">
        <v>0</v>
      </c>
      <c r="N1230" t="n">
        <v>0</v>
      </c>
      <c r="O1230" t="n">
        <v>0</v>
      </c>
      <c r="P1230" t="n">
        <v>0</v>
      </c>
      <c r="Q1230" t="n">
        <v>0</v>
      </c>
      <c r="R1230" s="2" t="inlineStr"/>
    </row>
    <row r="1231" ht="15" customHeight="1">
      <c r="A1231" t="inlineStr">
        <is>
          <t>A 54538-2018</t>
        </is>
      </c>
      <c r="B1231" s="1" t="n">
        <v>43390</v>
      </c>
      <c r="C1231" s="1" t="n">
        <v>45182</v>
      </c>
      <c r="D1231" t="inlineStr">
        <is>
          <t>JÄMTLANDS LÄN</t>
        </is>
      </c>
      <c r="E1231" t="inlineStr">
        <is>
          <t>HÄRJEDALEN</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54602-2018</t>
        </is>
      </c>
      <c r="B1232" s="1" t="n">
        <v>43390</v>
      </c>
      <c r="C1232" s="1" t="n">
        <v>45182</v>
      </c>
      <c r="D1232" t="inlineStr">
        <is>
          <t>JÄMTLANDS LÄN</t>
        </is>
      </c>
      <c r="E1232" t="inlineStr">
        <is>
          <t>HÄRJEDALEN</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53430-2018</t>
        </is>
      </c>
      <c r="B1233" s="1" t="n">
        <v>43391</v>
      </c>
      <c r="C1233" s="1" t="n">
        <v>45182</v>
      </c>
      <c r="D1233" t="inlineStr">
        <is>
          <t>JÄMTLANDS LÄN</t>
        </is>
      </c>
      <c r="E1233" t="inlineStr">
        <is>
          <t>ÅRE</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54214-2018</t>
        </is>
      </c>
      <c r="B1234" s="1" t="n">
        <v>43392</v>
      </c>
      <c r="C1234" s="1" t="n">
        <v>45182</v>
      </c>
      <c r="D1234" t="inlineStr">
        <is>
          <t>JÄMTLANDS LÄN</t>
        </is>
      </c>
      <c r="E1234" t="inlineStr">
        <is>
          <t>BRÄCKE</t>
        </is>
      </c>
      <c r="F1234" t="inlineStr">
        <is>
          <t>SCA</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54050-2018</t>
        </is>
      </c>
      <c r="B1235" s="1" t="n">
        <v>43392</v>
      </c>
      <c r="C1235" s="1" t="n">
        <v>45182</v>
      </c>
      <c r="D1235" t="inlineStr">
        <is>
          <t>JÄMTLANDS LÄN</t>
        </is>
      </c>
      <c r="E1235" t="inlineStr">
        <is>
          <t>HÄRJEDALEN</t>
        </is>
      </c>
      <c r="F1235" t="inlineStr">
        <is>
          <t>Bergvik skog väst AB</t>
        </is>
      </c>
      <c r="G1235" t="n">
        <v>8.1</v>
      </c>
      <c r="H1235" t="n">
        <v>0</v>
      </c>
      <c r="I1235" t="n">
        <v>0</v>
      </c>
      <c r="J1235" t="n">
        <v>0</v>
      </c>
      <c r="K1235" t="n">
        <v>0</v>
      </c>
      <c r="L1235" t="n">
        <v>0</v>
      </c>
      <c r="M1235" t="n">
        <v>0</v>
      </c>
      <c r="N1235" t="n">
        <v>0</v>
      </c>
      <c r="O1235" t="n">
        <v>0</v>
      </c>
      <c r="P1235" t="n">
        <v>0</v>
      </c>
      <c r="Q1235" t="n">
        <v>0</v>
      </c>
      <c r="R1235" s="2" t="inlineStr"/>
    </row>
    <row r="1236" ht="15" customHeight="1">
      <c r="A1236" t="inlineStr">
        <is>
          <t>A 54204-2018</t>
        </is>
      </c>
      <c r="B1236" s="1" t="n">
        <v>43392</v>
      </c>
      <c r="C1236" s="1" t="n">
        <v>45182</v>
      </c>
      <c r="D1236" t="inlineStr">
        <is>
          <t>JÄMTLANDS LÄN</t>
        </is>
      </c>
      <c r="E1236" t="inlineStr">
        <is>
          <t>BRÄCKE</t>
        </is>
      </c>
      <c r="F1236" t="inlineStr">
        <is>
          <t>SCA</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54218-2018</t>
        </is>
      </c>
      <c r="B1237" s="1" t="n">
        <v>43392</v>
      </c>
      <c r="C1237" s="1" t="n">
        <v>45182</v>
      </c>
      <c r="D1237" t="inlineStr">
        <is>
          <t>JÄMTLANDS LÄN</t>
        </is>
      </c>
      <c r="E1237" t="inlineStr">
        <is>
          <t>BRÄCKE</t>
        </is>
      </c>
      <c r="F1237" t="inlineStr">
        <is>
          <t>SCA</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54083-2018</t>
        </is>
      </c>
      <c r="B1238" s="1" t="n">
        <v>43392</v>
      </c>
      <c r="C1238" s="1" t="n">
        <v>45182</v>
      </c>
      <c r="D1238" t="inlineStr">
        <is>
          <t>JÄMTLANDS LÄN</t>
        </is>
      </c>
      <c r="E1238" t="inlineStr">
        <is>
          <t>KROKOM</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54207-2018</t>
        </is>
      </c>
      <c r="B1239" s="1" t="n">
        <v>43392</v>
      </c>
      <c r="C1239" s="1" t="n">
        <v>45182</v>
      </c>
      <c r="D1239" t="inlineStr">
        <is>
          <t>JÄMTLANDS LÄN</t>
        </is>
      </c>
      <c r="E1239" t="inlineStr">
        <is>
          <t>BRÄCKE</t>
        </is>
      </c>
      <c r="F1239" t="inlineStr">
        <is>
          <t>SCA</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54215-2018</t>
        </is>
      </c>
      <c r="B1240" s="1" t="n">
        <v>43392</v>
      </c>
      <c r="C1240" s="1" t="n">
        <v>45182</v>
      </c>
      <c r="D1240" t="inlineStr">
        <is>
          <t>JÄMTLANDS LÄN</t>
        </is>
      </c>
      <c r="E1240" t="inlineStr">
        <is>
          <t>BRÄCKE</t>
        </is>
      </c>
      <c r="F1240" t="inlineStr">
        <is>
          <t>SCA</t>
        </is>
      </c>
      <c r="G1240" t="n">
        <v>2.6</v>
      </c>
      <c r="H1240" t="n">
        <v>0</v>
      </c>
      <c r="I1240" t="n">
        <v>0</v>
      </c>
      <c r="J1240" t="n">
        <v>0</v>
      </c>
      <c r="K1240" t="n">
        <v>0</v>
      </c>
      <c r="L1240" t="n">
        <v>0</v>
      </c>
      <c r="M1240" t="n">
        <v>0</v>
      </c>
      <c r="N1240" t="n">
        <v>0</v>
      </c>
      <c r="O1240" t="n">
        <v>0</v>
      </c>
      <c r="P1240" t="n">
        <v>0</v>
      </c>
      <c r="Q1240" t="n">
        <v>0</v>
      </c>
      <c r="R1240" s="2" t="inlineStr"/>
    </row>
    <row r="1241" ht="15" customHeight="1">
      <c r="A1241" t="inlineStr">
        <is>
          <t>A 54807-2018</t>
        </is>
      </c>
      <c r="B1241" s="1" t="n">
        <v>43395</v>
      </c>
      <c r="C1241" s="1" t="n">
        <v>45182</v>
      </c>
      <c r="D1241" t="inlineStr">
        <is>
          <t>JÄMTLANDS LÄN</t>
        </is>
      </c>
      <c r="E1241" t="inlineStr">
        <is>
          <t>STRÖMSUND</t>
        </is>
      </c>
      <c r="F1241" t="inlineStr">
        <is>
          <t>SCA</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54584-2018</t>
        </is>
      </c>
      <c r="B1242" s="1" t="n">
        <v>43395</v>
      </c>
      <c r="C1242" s="1" t="n">
        <v>45182</v>
      </c>
      <c r="D1242" t="inlineStr">
        <is>
          <t>JÄMTLANDS LÄN</t>
        </is>
      </c>
      <c r="E1242" t="inlineStr">
        <is>
          <t>ÖSTERSUND</t>
        </is>
      </c>
      <c r="F1242" t="inlineStr">
        <is>
          <t>Övriga Aktiebolag</t>
        </is>
      </c>
      <c r="G1242" t="n">
        <v>22.8</v>
      </c>
      <c r="H1242" t="n">
        <v>0</v>
      </c>
      <c r="I1242" t="n">
        <v>0</v>
      </c>
      <c r="J1242" t="n">
        <v>0</v>
      </c>
      <c r="K1242" t="n">
        <v>0</v>
      </c>
      <c r="L1242" t="n">
        <v>0</v>
      </c>
      <c r="M1242" t="n">
        <v>0</v>
      </c>
      <c r="N1242" t="n">
        <v>0</v>
      </c>
      <c r="O1242" t="n">
        <v>0</v>
      </c>
      <c r="P1242" t="n">
        <v>0</v>
      </c>
      <c r="Q1242" t="n">
        <v>0</v>
      </c>
      <c r="R1242" s="2" t="inlineStr"/>
    </row>
    <row r="1243" ht="15" customHeight="1">
      <c r="A1243" t="inlineStr">
        <is>
          <t>A 54413-2018</t>
        </is>
      </c>
      <c r="B1243" s="1" t="n">
        <v>43395</v>
      </c>
      <c r="C1243" s="1" t="n">
        <v>45182</v>
      </c>
      <c r="D1243" t="inlineStr">
        <is>
          <t>JÄMTLANDS LÄN</t>
        </is>
      </c>
      <c r="E1243" t="inlineStr">
        <is>
          <t>RAGUNDA</t>
        </is>
      </c>
      <c r="G1243" t="n">
        <v>31.2</v>
      </c>
      <c r="H1243" t="n">
        <v>0</v>
      </c>
      <c r="I1243" t="n">
        <v>0</v>
      </c>
      <c r="J1243" t="n">
        <v>0</v>
      </c>
      <c r="K1243" t="n">
        <v>0</v>
      </c>
      <c r="L1243" t="n">
        <v>0</v>
      </c>
      <c r="M1243" t="n">
        <v>0</v>
      </c>
      <c r="N1243" t="n">
        <v>0</v>
      </c>
      <c r="O1243" t="n">
        <v>0</v>
      </c>
      <c r="P1243" t="n">
        <v>0</v>
      </c>
      <c r="Q1243" t="n">
        <v>0</v>
      </c>
      <c r="R1243" s="2" t="inlineStr"/>
    </row>
    <row r="1244" ht="15" customHeight="1">
      <c r="A1244" t="inlineStr">
        <is>
          <t>A 54859-2018</t>
        </is>
      </c>
      <c r="B1244" s="1" t="n">
        <v>43396</v>
      </c>
      <c r="C1244" s="1" t="n">
        <v>45182</v>
      </c>
      <c r="D1244" t="inlineStr">
        <is>
          <t>JÄMTLANDS LÄN</t>
        </is>
      </c>
      <c r="E1244" t="inlineStr">
        <is>
          <t>ÅRE</t>
        </is>
      </c>
      <c r="G1244" t="n">
        <v>2.1</v>
      </c>
      <c r="H1244" t="n">
        <v>0</v>
      </c>
      <c r="I1244" t="n">
        <v>0</v>
      </c>
      <c r="J1244" t="n">
        <v>0</v>
      </c>
      <c r="K1244" t="n">
        <v>0</v>
      </c>
      <c r="L1244" t="n">
        <v>0</v>
      </c>
      <c r="M1244" t="n">
        <v>0</v>
      </c>
      <c r="N1244" t="n">
        <v>0</v>
      </c>
      <c r="O1244" t="n">
        <v>0</v>
      </c>
      <c r="P1244" t="n">
        <v>0</v>
      </c>
      <c r="Q1244" t="n">
        <v>0</v>
      </c>
      <c r="R1244" s="2" t="inlineStr"/>
    </row>
    <row r="1245" ht="15" customHeight="1">
      <c r="A1245" t="inlineStr">
        <is>
          <t>A 55010-2018</t>
        </is>
      </c>
      <c r="B1245" s="1" t="n">
        <v>43396</v>
      </c>
      <c r="C1245" s="1" t="n">
        <v>45182</v>
      </c>
      <c r="D1245" t="inlineStr">
        <is>
          <t>JÄMTLANDS LÄN</t>
        </is>
      </c>
      <c r="E1245" t="inlineStr">
        <is>
          <t>RAGUNDA</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55215-2018</t>
        </is>
      </c>
      <c r="B1246" s="1" t="n">
        <v>43396</v>
      </c>
      <c r="C1246" s="1" t="n">
        <v>45182</v>
      </c>
      <c r="D1246" t="inlineStr">
        <is>
          <t>JÄMTLANDS LÄN</t>
        </is>
      </c>
      <c r="E1246" t="inlineStr">
        <is>
          <t>HÄRJEDALEN</t>
        </is>
      </c>
      <c r="F1246" t="inlineStr">
        <is>
          <t>SCA</t>
        </is>
      </c>
      <c r="G1246" t="n">
        <v>13.1</v>
      </c>
      <c r="H1246" t="n">
        <v>0</v>
      </c>
      <c r="I1246" t="n">
        <v>0</v>
      </c>
      <c r="J1246" t="n">
        <v>0</v>
      </c>
      <c r="K1246" t="n">
        <v>0</v>
      </c>
      <c r="L1246" t="n">
        <v>0</v>
      </c>
      <c r="M1246" t="n">
        <v>0</v>
      </c>
      <c r="N1246" t="n">
        <v>0</v>
      </c>
      <c r="O1246" t="n">
        <v>0</v>
      </c>
      <c r="P1246" t="n">
        <v>0</v>
      </c>
      <c r="Q1246" t="n">
        <v>0</v>
      </c>
      <c r="R1246" s="2" t="inlineStr"/>
    </row>
    <row r="1247" ht="15" customHeight="1">
      <c r="A1247" t="inlineStr">
        <is>
          <t>A 57752-2018</t>
        </is>
      </c>
      <c r="B1247" s="1" t="n">
        <v>43397</v>
      </c>
      <c r="C1247" s="1" t="n">
        <v>45182</v>
      </c>
      <c r="D1247" t="inlineStr">
        <is>
          <t>JÄMTLANDS LÄN</t>
        </is>
      </c>
      <c r="E1247" t="inlineStr">
        <is>
          <t>ÅRE</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55632-2018</t>
        </is>
      </c>
      <c r="B1248" s="1" t="n">
        <v>43397</v>
      </c>
      <c r="C1248" s="1" t="n">
        <v>45182</v>
      </c>
      <c r="D1248" t="inlineStr">
        <is>
          <t>JÄMTLANDS LÄN</t>
        </is>
      </c>
      <c r="E1248" t="inlineStr">
        <is>
          <t>BRÄCKE</t>
        </is>
      </c>
      <c r="F1248" t="inlineStr">
        <is>
          <t>SCA</t>
        </is>
      </c>
      <c r="G1248" t="n">
        <v>4.3</v>
      </c>
      <c r="H1248" t="n">
        <v>0</v>
      </c>
      <c r="I1248" t="n">
        <v>0</v>
      </c>
      <c r="J1248" t="n">
        <v>0</v>
      </c>
      <c r="K1248" t="n">
        <v>0</v>
      </c>
      <c r="L1248" t="n">
        <v>0</v>
      </c>
      <c r="M1248" t="n">
        <v>0</v>
      </c>
      <c r="N1248" t="n">
        <v>0</v>
      </c>
      <c r="O1248" t="n">
        <v>0</v>
      </c>
      <c r="P1248" t="n">
        <v>0</v>
      </c>
      <c r="Q1248" t="n">
        <v>0</v>
      </c>
      <c r="R1248" s="2" t="inlineStr"/>
    </row>
    <row r="1249" ht="15" customHeight="1">
      <c r="A1249" t="inlineStr">
        <is>
          <t>A 55763-2018</t>
        </is>
      </c>
      <c r="B1249" s="1" t="n">
        <v>43398</v>
      </c>
      <c r="C1249" s="1" t="n">
        <v>45182</v>
      </c>
      <c r="D1249" t="inlineStr">
        <is>
          <t>JÄMTLANDS LÄN</t>
        </is>
      </c>
      <c r="E1249" t="inlineStr">
        <is>
          <t>RAGUNDA</t>
        </is>
      </c>
      <c r="G1249" t="n">
        <v>6.4</v>
      </c>
      <c r="H1249" t="n">
        <v>0</v>
      </c>
      <c r="I1249" t="n">
        <v>0</v>
      </c>
      <c r="J1249" t="n">
        <v>0</v>
      </c>
      <c r="K1249" t="n">
        <v>0</v>
      </c>
      <c r="L1249" t="n">
        <v>0</v>
      </c>
      <c r="M1249" t="n">
        <v>0</v>
      </c>
      <c r="N1249" t="n">
        <v>0</v>
      </c>
      <c r="O1249" t="n">
        <v>0</v>
      </c>
      <c r="P1249" t="n">
        <v>0</v>
      </c>
      <c r="Q1249" t="n">
        <v>0</v>
      </c>
      <c r="R1249" s="2" t="inlineStr"/>
    </row>
    <row r="1250" ht="15" customHeight="1">
      <c r="A1250" t="inlineStr">
        <is>
          <t>A 55761-2018</t>
        </is>
      </c>
      <c r="B1250" s="1" t="n">
        <v>43398</v>
      </c>
      <c r="C1250" s="1" t="n">
        <v>45182</v>
      </c>
      <c r="D1250" t="inlineStr">
        <is>
          <t>JÄMTLANDS LÄN</t>
        </is>
      </c>
      <c r="E1250" t="inlineStr">
        <is>
          <t>RAGUNDA</t>
        </is>
      </c>
      <c r="G1250" t="n">
        <v>11.4</v>
      </c>
      <c r="H1250" t="n">
        <v>0</v>
      </c>
      <c r="I1250" t="n">
        <v>0</v>
      </c>
      <c r="J1250" t="n">
        <v>0</v>
      </c>
      <c r="K1250" t="n">
        <v>0</v>
      </c>
      <c r="L1250" t="n">
        <v>0</v>
      </c>
      <c r="M1250" t="n">
        <v>0</v>
      </c>
      <c r="N1250" t="n">
        <v>0</v>
      </c>
      <c r="O1250" t="n">
        <v>0</v>
      </c>
      <c r="P1250" t="n">
        <v>0</v>
      </c>
      <c r="Q1250" t="n">
        <v>0</v>
      </c>
      <c r="R1250" s="2" t="inlineStr"/>
    </row>
    <row r="1251" ht="15" customHeight="1">
      <c r="A1251" t="inlineStr">
        <is>
          <t>A 55969-2018</t>
        </is>
      </c>
      <c r="B1251" s="1" t="n">
        <v>43398</v>
      </c>
      <c r="C1251" s="1" t="n">
        <v>45182</v>
      </c>
      <c r="D1251" t="inlineStr">
        <is>
          <t>JÄMTLANDS LÄN</t>
        </is>
      </c>
      <c r="E1251" t="inlineStr">
        <is>
          <t>ÖSTERSUND</t>
        </is>
      </c>
      <c r="F1251" t="inlineStr">
        <is>
          <t>Övriga Aktiebolag</t>
        </is>
      </c>
      <c r="G1251" t="n">
        <v>29.2</v>
      </c>
      <c r="H1251" t="n">
        <v>0</v>
      </c>
      <c r="I1251" t="n">
        <v>0</v>
      </c>
      <c r="J1251" t="n">
        <v>0</v>
      </c>
      <c r="K1251" t="n">
        <v>0</v>
      </c>
      <c r="L1251" t="n">
        <v>0</v>
      </c>
      <c r="M1251" t="n">
        <v>0</v>
      </c>
      <c r="N1251" t="n">
        <v>0</v>
      </c>
      <c r="O1251" t="n">
        <v>0</v>
      </c>
      <c r="P1251" t="n">
        <v>0</v>
      </c>
      <c r="Q1251" t="n">
        <v>0</v>
      </c>
      <c r="R1251" s="2" t="inlineStr"/>
    </row>
    <row r="1252" ht="15" customHeight="1">
      <c r="A1252" t="inlineStr">
        <is>
          <t>A 55786-2018</t>
        </is>
      </c>
      <c r="B1252" s="1" t="n">
        <v>43398</v>
      </c>
      <c r="C1252" s="1" t="n">
        <v>45182</v>
      </c>
      <c r="D1252" t="inlineStr">
        <is>
          <t>JÄMTLANDS LÄN</t>
        </is>
      </c>
      <c r="E1252" t="inlineStr">
        <is>
          <t>RAGUNDA</t>
        </is>
      </c>
      <c r="G1252" t="n">
        <v>4.4</v>
      </c>
      <c r="H1252" t="n">
        <v>0</v>
      </c>
      <c r="I1252" t="n">
        <v>0</v>
      </c>
      <c r="J1252" t="n">
        <v>0</v>
      </c>
      <c r="K1252" t="n">
        <v>0</v>
      </c>
      <c r="L1252" t="n">
        <v>0</v>
      </c>
      <c r="M1252" t="n">
        <v>0</v>
      </c>
      <c r="N1252" t="n">
        <v>0</v>
      </c>
      <c r="O1252" t="n">
        <v>0</v>
      </c>
      <c r="P1252" t="n">
        <v>0</v>
      </c>
      <c r="Q1252" t="n">
        <v>0</v>
      </c>
      <c r="R1252" s="2" t="inlineStr"/>
    </row>
    <row r="1253" ht="15" customHeight="1">
      <c r="A1253" t="inlineStr">
        <is>
          <t>A 55792-2018</t>
        </is>
      </c>
      <c r="B1253" s="1" t="n">
        <v>43398</v>
      </c>
      <c r="C1253" s="1" t="n">
        <v>45182</v>
      </c>
      <c r="D1253" t="inlineStr">
        <is>
          <t>JÄMTLANDS LÄN</t>
        </is>
      </c>
      <c r="E1253" t="inlineStr">
        <is>
          <t>BRÄCKE</t>
        </is>
      </c>
      <c r="G1253" t="n">
        <v>11.3</v>
      </c>
      <c r="H1253" t="n">
        <v>0</v>
      </c>
      <c r="I1253" t="n">
        <v>0</v>
      </c>
      <c r="J1253" t="n">
        <v>0</v>
      </c>
      <c r="K1253" t="n">
        <v>0</v>
      </c>
      <c r="L1253" t="n">
        <v>0</v>
      </c>
      <c r="M1253" t="n">
        <v>0</v>
      </c>
      <c r="N1253" t="n">
        <v>0</v>
      </c>
      <c r="O1253" t="n">
        <v>0</v>
      </c>
      <c r="P1253" t="n">
        <v>0</v>
      </c>
      <c r="Q1253" t="n">
        <v>0</v>
      </c>
      <c r="R1253" s="2" t="inlineStr"/>
    </row>
    <row r="1254" ht="15" customHeight="1">
      <c r="A1254" t="inlineStr">
        <is>
          <t>A 58104-2018</t>
        </is>
      </c>
      <c r="B1254" s="1" t="n">
        <v>43398</v>
      </c>
      <c r="C1254" s="1" t="n">
        <v>45182</v>
      </c>
      <c r="D1254" t="inlineStr">
        <is>
          <t>JÄMTLANDS LÄN</t>
        </is>
      </c>
      <c r="E1254" t="inlineStr">
        <is>
          <t>ÖSTERSUND</t>
        </is>
      </c>
      <c r="G1254" t="n">
        <v>4.9</v>
      </c>
      <c r="H1254" t="n">
        <v>0</v>
      </c>
      <c r="I1254" t="n">
        <v>0</v>
      </c>
      <c r="J1254" t="n">
        <v>0</v>
      </c>
      <c r="K1254" t="n">
        <v>0</v>
      </c>
      <c r="L1254" t="n">
        <v>0</v>
      </c>
      <c r="M1254" t="n">
        <v>0</v>
      </c>
      <c r="N1254" t="n">
        <v>0</v>
      </c>
      <c r="O1254" t="n">
        <v>0</v>
      </c>
      <c r="P1254" t="n">
        <v>0</v>
      </c>
      <c r="Q1254" t="n">
        <v>0</v>
      </c>
      <c r="R1254" s="2" t="inlineStr"/>
    </row>
    <row r="1255" ht="15" customHeight="1">
      <c r="A1255" t="inlineStr">
        <is>
          <t>A 58730-2018</t>
        </is>
      </c>
      <c r="B1255" s="1" t="n">
        <v>43399</v>
      </c>
      <c r="C1255" s="1" t="n">
        <v>45182</v>
      </c>
      <c r="D1255" t="inlineStr">
        <is>
          <t>JÄMTLANDS LÄN</t>
        </is>
      </c>
      <c r="E1255" t="inlineStr">
        <is>
          <t>STRÖMSUND</t>
        </is>
      </c>
      <c r="G1255" t="n">
        <v>2.3</v>
      </c>
      <c r="H1255" t="n">
        <v>0</v>
      </c>
      <c r="I1255" t="n">
        <v>0</v>
      </c>
      <c r="J1255" t="n">
        <v>0</v>
      </c>
      <c r="K1255" t="n">
        <v>0</v>
      </c>
      <c r="L1255" t="n">
        <v>0</v>
      </c>
      <c r="M1255" t="n">
        <v>0</v>
      </c>
      <c r="N1255" t="n">
        <v>0</v>
      </c>
      <c r="O1255" t="n">
        <v>0</v>
      </c>
      <c r="P1255" t="n">
        <v>0</v>
      </c>
      <c r="Q1255" t="n">
        <v>0</v>
      </c>
      <c r="R1255" s="2" t="inlineStr"/>
    </row>
    <row r="1256" ht="15" customHeight="1">
      <c r="A1256" t="inlineStr">
        <is>
          <t>A 58616-2018</t>
        </is>
      </c>
      <c r="B1256" s="1" t="n">
        <v>43399</v>
      </c>
      <c r="C1256" s="1" t="n">
        <v>45182</v>
      </c>
      <c r="D1256" t="inlineStr">
        <is>
          <t>JÄMTLANDS LÄN</t>
        </is>
      </c>
      <c r="E1256" t="inlineStr">
        <is>
          <t>ÖSTERSUND</t>
        </is>
      </c>
      <c r="G1256" t="n">
        <v>2.8</v>
      </c>
      <c r="H1256" t="n">
        <v>0</v>
      </c>
      <c r="I1256" t="n">
        <v>0</v>
      </c>
      <c r="J1256" t="n">
        <v>0</v>
      </c>
      <c r="K1256" t="n">
        <v>0</v>
      </c>
      <c r="L1256" t="n">
        <v>0</v>
      </c>
      <c r="M1256" t="n">
        <v>0</v>
      </c>
      <c r="N1256" t="n">
        <v>0</v>
      </c>
      <c r="O1256" t="n">
        <v>0</v>
      </c>
      <c r="P1256" t="n">
        <v>0</v>
      </c>
      <c r="Q1256" t="n">
        <v>0</v>
      </c>
      <c r="R1256" s="2" t="inlineStr"/>
    </row>
    <row r="1257" ht="15" customHeight="1">
      <c r="A1257" t="inlineStr">
        <is>
          <t>A 56473-2018</t>
        </is>
      </c>
      <c r="B1257" s="1" t="n">
        <v>43399</v>
      </c>
      <c r="C1257" s="1" t="n">
        <v>45182</v>
      </c>
      <c r="D1257" t="inlineStr">
        <is>
          <t>JÄMTLANDS LÄN</t>
        </is>
      </c>
      <c r="E1257" t="inlineStr">
        <is>
          <t>HÄRJEDALEN</t>
        </is>
      </c>
      <c r="F1257" t="inlineStr">
        <is>
          <t>Bergvik skog väst AB</t>
        </is>
      </c>
      <c r="G1257" t="n">
        <v>6</v>
      </c>
      <c r="H1257" t="n">
        <v>0</v>
      </c>
      <c r="I1257" t="n">
        <v>0</v>
      </c>
      <c r="J1257" t="n">
        <v>0</v>
      </c>
      <c r="K1257" t="n">
        <v>0</v>
      </c>
      <c r="L1257" t="n">
        <v>0</v>
      </c>
      <c r="M1257" t="n">
        <v>0</v>
      </c>
      <c r="N1257" t="n">
        <v>0</v>
      </c>
      <c r="O1257" t="n">
        <v>0</v>
      </c>
      <c r="P1257" t="n">
        <v>0</v>
      </c>
      <c r="Q1257" t="n">
        <v>0</v>
      </c>
      <c r="R1257" s="2" t="inlineStr"/>
    </row>
    <row r="1258" ht="15" customHeight="1">
      <c r="A1258" t="inlineStr">
        <is>
          <t>A 56780-2018</t>
        </is>
      </c>
      <c r="B1258" s="1" t="n">
        <v>43402</v>
      </c>
      <c r="C1258" s="1" t="n">
        <v>45182</v>
      </c>
      <c r="D1258" t="inlineStr">
        <is>
          <t>JÄMTLANDS LÄN</t>
        </is>
      </c>
      <c r="E1258" t="inlineStr">
        <is>
          <t>ÅRE</t>
        </is>
      </c>
      <c r="G1258" t="n">
        <v>45.1</v>
      </c>
      <c r="H1258" t="n">
        <v>0</v>
      </c>
      <c r="I1258" t="n">
        <v>0</v>
      </c>
      <c r="J1258" t="n">
        <v>0</v>
      </c>
      <c r="K1258" t="n">
        <v>0</v>
      </c>
      <c r="L1258" t="n">
        <v>0</v>
      </c>
      <c r="M1258" t="n">
        <v>0</v>
      </c>
      <c r="N1258" t="n">
        <v>0</v>
      </c>
      <c r="O1258" t="n">
        <v>0</v>
      </c>
      <c r="P1258" t="n">
        <v>0</v>
      </c>
      <c r="Q1258" t="n">
        <v>0</v>
      </c>
      <c r="R1258" s="2" t="inlineStr"/>
    </row>
    <row r="1259" ht="15" customHeight="1">
      <c r="A1259" t="inlineStr">
        <is>
          <t>A 56834-2018</t>
        </is>
      </c>
      <c r="B1259" s="1" t="n">
        <v>43402</v>
      </c>
      <c r="C1259" s="1" t="n">
        <v>45182</v>
      </c>
      <c r="D1259" t="inlineStr">
        <is>
          <t>JÄMTLANDS LÄN</t>
        </is>
      </c>
      <c r="E1259" t="inlineStr">
        <is>
          <t>BERG</t>
        </is>
      </c>
      <c r="F1259" t="inlineStr">
        <is>
          <t>SCA</t>
        </is>
      </c>
      <c r="G1259" t="n">
        <v>11.9</v>
      </c>
      <c r="H1259" t="n">
        <v>0</v>
      </c>
      <c r="I1259" t="n">
        <v>0</v>
      </c>
      <c r="J1259" t="n">
        <v>0</v>
      </c>
      <c r="K1259" t="n">
        <v>0</v>
      </c>
      <c r="L1259" t="n">
        <v>0</v>
      </c>
      <c r="M1259" t="n">
        <v>0</v>
      </c>
      <c r="N1259" t="n">
        <v>0</v>
      </c>
      <c r="O1259" t="n">
        <v>0</v>
      </c>
      <c r="P1259" t="n">
        <v>0</v>
      </c>
      <c r="Q1259" t="n">
        <v>0</v>
      </c>
      <c r="R1259" s="2" t="inlineStr"/>
    </row>
    <row r="1260" ht="15" customHeight="1">
      <c r="A1260" t="inlineStr">
        <is>
          <t>A 57347-2018</t>
        </is>
      </c>
      <c r="B1260" s="1" t="n">
        <v>43402</v>
      </c>
      <c r="C1260" s="1" t="n">
        <v>45182</v>
      </c>
      <c r="D1260" t="inlineStr">
        <is>
          <t>JÄMTLANDS LÄN</t>
        </is>
      </c>
      <c r="E1260" t="inlineStr">
        <is>
          <t>STRÖMSUND</t>
        </is>
      </c>
      <c r="G1260" t="n">
        <v>22.9</v>
      </c>
      <c r="H1260" t="n">
        <v>0</v>
      </c>
      <c r="I1260" t="n">
        <v>0</v>
      </c>
      <c r="J1260" t="n">
        <v>0</v>
      </c>
      <c r="K1260" t="n">
        <v>0</v>
      </c>
      <c r="L1260" t="n">
        <v>0</v>
      </c>
      <c r="M1260" t="n">
        <v>0</v>
      </c>
      <c r="N1260" t="n">
        <v>0</v>
      </c>
      <c r="O1260" t="n">
        <v>0</v>
      </c>
      <c r="P1260" t="n">
        <v>0</v>
      </c>
      <c r="Q1260" t="n">
        <v>0</v>
      </c>
      <c r="R1260" s="2" t="inlineStr"/>
    </row>
    <row r="1261" ht="15" customHeight="1">
      <c r="A1261" t="inlineStr">
        <is>
          <t>A 59019-2018</t>
        </is>
      </c>
      <c r="B1261" s="1" t="n">
        <v>43402</v>
      </c>
      <c r="C1261" s="1" t="n">
        <v>45182</v>
      </c>
      <c r="D1261" t="inlineStr">
        <is>
          <t>JÄMTLANDS LÄN</t>
        </is>
      </c>
      <c r="E1261" t="inlineStr">
        <is>
          <t>ÖSTERSUND</t>
        </is>
      </c>
      <c r="G1261" t="n">
        <v>5</v>
      </c>
      <c r="H1261" t="n">
        <v>0</v>
      </c>
      <c r="I1261" t="n">
        <v>0</v>
      </c>
      <c r="J1261" t="n">
        <v>0</v>
      </c>
      <c r="K1261" t="n">
        <v>0</v>
      </c>
      <c r="L1261" t="n">
        <v>0</v>
      </c>
      <c r="M1261" t="n">
        <v>0</v>
      </c>
      <c r="N1261" t="n">
        <v>0</v>
      </c>
      <c r="O1261" t="n">
        <v>0</v>
      </c>
      <c r="P1261" t="n">
        <v>0</v>
      </c>
      <c r="Q1261" t="n">
        <v>0</v>
      </c>
      <c r="R1261" s="2" t="inlineStr"/>
    </row>
    <row r="1262" ht="15" customHeight="1">
      <c r="A1262" t="inlineStr">
        <is>
          <t>A 56835-2018</t>
        </is>
      </c>
      <c r="B1262" s="1" t="n">
        <v>43402</v>
      </c>
      <c r="C1262" s="1" t="n">
        <v>45182</v>
      </c>
      <c r="D1262" t="inlineStr">
        <is>
          <t>JÄMTLANDS LÄN</t>
        </is>
      </c>
      <c r="E1262" t="inlineStr">
        <is>
          <t>BERG</t>
        </is>
      </c>
      <c r="F1262" t="inlineStr">
        <is>
          <t>SCA</t>
        </is>
      </c>
      <c r="G1262" t="n">
        <v>7</v>
      </c>
      <c r="H1262" t="n">
        <v>0</v>
      </c>
      <c r="I1262" t="n">
        <v>0</v>
      </c>
      <c r="J1262" t="n">
        <v>0</v>
      </c>
      <c r="K1262" t="n">
        <v>0</v>
      </c>
      <c r="L1262" t="n">
        <v>0</v>
      </c>
      <c r="M1262" t="n">
        <v>0</v>
      </c>
      <c r="N1262" t="n">
        <v>0</v>
      </c>
      <c r="O1262" t="n">
        <v>0</v>
      </c>
      <c r="P1262" t="n">
        <v>0</v>
      </c>
      <c r="Q1262" t="n">
        <v>0</v>
      </c>
      <c r="R1262" s="2" t="inlineStr"/>
    </row>
    <row r="1263" ht="15" customHeight="1">
      <c r="A1263" t="inlineStr">
        <is>
          <t>A 59045-2018</t>
        </is>
      </c>
      <c r="B1263" s="1" t="n">
        <v>43402</v>
      </c>
      <c r="C1263" s="1" t="n">
        <v>45182</v>
      </c>
      <c r="D1263" t="inlineStr">
        <is>
          <t>JÄMTLANDS LÄN</t>
        </is>
      </c>
      <c r="E1263" t="inlineStr">
        <is>
          <t>STRÖMSUND</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56693-2018</t>
        </is>
      </c>
      <c r="B1264" s="1" t="n">
        <v>43402</v>
      </c>
      <c r="C1264" s="1" t="n">
        <v>45182</v>
      </c>
      <c r="D1264" t="inlineStr">
        <is>
          <t>JÄMTLANDS LÄN</t>
        </is>
      </c>
      <c r="E1264" t="inlineStr">
        <is>
          <t>HÄRJEDALEN</t>
        </is>
      </c>
      <c r="G1264" t="n">
        <v>2.6</v>
      </c>
      <c r="H1264" t="n">
        <v>0</v>
      </c>
      <c r="I1264" t="n">
        <v>0</v>
      </c>
      <c r="J1264" t="n">
        <v>0</v>
      </c>
      <c r="K1264" t="n">
        <v>0</v>
      </c>
      <c r="L1264" t="n">
        <v>0</v>
      </c>
      <c r="M1264" t="n">
        <v>0</v>
      </c>
      <c r="N1264" t="n">
        <v>0</v>
      </c>
      <c r="O1264" t="n">
        <v>0</v>
      </c>
      <c r="P1264" t="n">
        <v>0</v>
      </c>
      <c r="Q1264" t="n">
        <v>0</v>
      </c>
      <c r="R1264" s="2" t="inlineStr"/>
    </row>
    <row r="1265" ht="15" customHeight="1">
      <c r="A1265" t="inlineStr">
        <is>
          <t>A 57238-2018</t>
        </is>
      </c>
      <c r="B1265" s="1" t="n">
        <v>43403</v>
      </c>
      <c r="C1265" s="1" t="n">
        <v>45182</v>
      </c>
      <c r="D1265" t="inlineStr">
        <is>
          <t>JÄMTLANDS LÄN</t>
        </is>
      </c>
      <c r="E1265" t="inlineStr">
        <is>
          <t>RAGUNDA</t>
        </is>
      </c>
      <c r="F1265" t="inlineStr">
        <is>
          <t>SCA</t>
        </is>
      </c>
      <c r="G1265" t="n">
        <v>10.2</v>
      </c>
      <c r="H1265" t="n">
        <v>0</v>
      </c>
      <c r="I1265" t="n">
        <v>0</v>
      </c>
      <c r="J1265" t="n">
        <v>0</v>
      </c>
      <c r="K1265" t="n">
        <v>0</v>
      </c>
      <c r="L1265" t="n">
        <v>0</v>
      </c>
      <c r="M1265" t="n">
        <v>0</v>
      </c>
      <c r="N1265" t="n">
        <v>0</v>
      </c>
      <c r="O1265" t="n">
        <v>0</v>
      </c>
      <c r="P1265" t="n">
        <v>0</v>
      </c>
      <c r="Q1265" t="n">
        <v>0</v>
      </c>
      <c r="R1265" s="2" t="inlineStr"/>
    </row>
    <row r="1266" ht="15" customHeight="1">
      <c r="A1266" t="inlineStr">
        <is>
          <t>A 64983-2018</t>
        </is>
      </c>
      <c r="B1266" s="1" t="n">
        <v>43403</v>
      </c>
      <c r="C1266" s="1" t="n">
        <v>45182</v>
      </c>
      <c r="D1266" t="inlineStr">
        <is>
          <t>JÄMTLANDS LÄN</t>
        </is>
      </c>
      <c r="E1266" t="inlineStr">
        <is>
          <t>RAGUNDA</t>
        </is>
      </c>
      <c r="F1266" t="inlineStr">
        <is>
          <t>SCA</t>
        </is>
      </c>
      <c r="G1266" t="n">
        <v>12.8</v>
      </c>
      <c r="H1266" t="n">
        <v>0</v>
      </c>
      <c r="I1266" t="n">
        <v>0</v>
      </c>
      <c r="J1266" t="n">
        <v>0</v>
      </c>
      <c r="K1266" t="n">
        <v>0</v>
      </c>
      <c r="L1266" t="n">
        <v>0</v>
      </c>
      <c r="M1266" t="n">
        <v>0</v>
      </c>
      <c r="N1266" t="n">
        <v>0</v>
      </c>
      <c r="O1266" t="n">
        <v>0</v>
      </c>
      <c r="P1266" t="n">
        <v>0</v>
      </c>
      <c r="Q1266" t="n">
        <v>0</v>
      </c>
      <c r="R1266" s="2" t="inlineStr"/>
    </row>
    <row r="1267" ht="15" customHeight="1">
      <c r="A1267" t="inlineStr">
        <is>
          <t>A 57236-2018</t>
        </is>
      </c>
      <c r="B1267" s="1" t="n">
        <v>43403</v>
      </c>
      <c r="C1267" s="1" t="n">
        <v>45182</v>
      </c>
      <c r="D1267" t="inlineStr">
        <is>
          <t>JÄMTLANDS LÄN</t>
        </is>
      </c>
      <c r="E1267" t="inlineStr">
        <is>
          <t>BRÄCKE</t>
        </is>
      </c>
      <c r="F1267" t="inlineStr">
        <is>
          <t>SCA</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57227-2018</t>
        </is>
      </c>
      <c r="B1268" s="1" t="n">
        <v>43403</v>
      </c>
      <c r="C1268" s="1" t="n">
        <v>45182</v>
      </c>
      <c r="D1268" t="inlineStr">
        <is>
          <t>JÄMTLANDS LÄN</t>
        </is>
      </c>
      <c r="E1268" t="inlineStr">
        <is>
          <t>BRÄCKE</t>
        </is>
      </c>
      <c r="F1268" t="inlineStr">
        <is>
          <t>SCA</t>
        </is>
      </c>
      <c r="G1268" t="n">
        <v>3.9</v>
      </c>
      <c r="H1268" t="n">
        <v>0</v>
      </c>
      <c r="I1268" t="n">
        <v>0</v>
      </c>
      <c r="J1268" t="n">
        <v>0</v>
      </c>
      <c r="K1268" t="n">
        <v>0</v>
      </c>
      <c r="L1268" t="n">
        <v>0</v>
      </c>
      <c r="M1268" t="n">
        <v>0</v>
      </c>
      <c r="N1268" t="n">
        <v>0</v>
      </c>
      <c r="O1268" t="n">
        <v>0</v>
      </c>
      <c r="P1268" t="n">
        <v>0</v>
      </c>
      <c r="Q1268" t="n">
        <v>0</v>
      </c>
      <c r="R1268" s="2" t="inlineStr"/>
    </row>
    <row r="1269" ht="15" customHeight="1">
      <c r="A1269" t="inlineStr">
        <is>
          <t>A 57237-2018</t>
        </is>
      </c>
      <c r="B1269" s="1" t="n">
        <v>43403</v>
      </c>
      <c r="C1269" s="1" t="n">
        <v>45182</v>
      </c>
      <c r="D1269" t="inlineStr">
        <is>
          <t>JÄMTLANDS LÄN</t>
        </is>
      </c>
      <c r="E1269" t="inlineStr">
        <is>
          <t>RAGUNDA</t>
        </is>
      </c>
      <c r="F1269" t="inlineStr">
        <is>
          <t>SCA</t>
        </is>
      </c>
      <c r="G1269" t="n">
        <v>20.7</v>
      </c>
      <c r="H1269" t="n">
        <v>0</v>
      </c>
      <c r="I1269" t="n">
        <v>0</v>
      </c>
      <c r="J1269" t="n">
        <v>0</v>
      </c>
      <c r="K1269" t="n">
        <v>0</v>
      </c>
      <c r="L1269" t="n">
        <v>0</v>
      </c>
      <c r="M1269" t="n">
        <v>0</v>
      </c>
      <c r="N1269" t="n">
        <v>0</v>
      </c>
      <c r="O1269" t="n">
        <v>0</v>
      </c>
      <c r="P1269" t="n">
        <v>0</v>
      </c>
      <c r="Q1269" t="n">
        <v>0</v>
      </c>
      <c r="R1269" s="2" t="inlineStr"/>
    </row>
    <row r="1270" ht="15" customHeight="1">
      <c r="A1270" t="inlineStr">
        <is>
          <t>A 57422-2018</t>
        </is>
      </c>
      <c r="B1270" s="1" t="n">
        <v>43404</v>
      </c>
      <c r="C1270" s="1" t="n">
        <v>45182</v>
      </c>
      <c r="D1270" t="inlineStr">
        <is>
          <t>JÄMTLANDS LÄN</t>
        </is>
      </c>
      <c r="E1270" t="inlineStr">
        <is>
          <t>STRÖMSUND</t>
        </is>
      </c>
      <c r="F1270" t="inlineStr">
        <is>
          <t>Holmen skog AB</t>
        </is>
      </c>
      <c r="G1270" t="n">
        <v>17.4</v>
      </c>
      <c r="H1270" t="n">
        <v>0</v>
      </c>
      <c r="I1270" t="n">
        <v>0</v>
      </c>
      <c r="J1270" t="n">
        <v>0</v>
      </c>
      <c r="K1270" t="n">
        <v>0</v>
      </c>
      <c r="L1270" t="n">
        <v>0</v>
      </c>
      <c r="M1270" t="n">
        <v>0</v>
      </c>
      <c r="N1270" t="n">
        <v>0</v>
      </c>
      <c r="O1270" t="n">
        <v>0</v>
      </c>
      <c r="P1270" t="n">
        <v>0</v>
      </c>
      <c r="Q1270" t="n">
        <v>0</v>
      </c>
      <c r="R1270" s="2" t="inlineStr"/>
    </row>
    <row r="1271" ht="15" customHeight="1">
      <c r="A1271" t="inlineStr">
        <is>
          <t>A 57655-2018</t>
        </is>
      </c>
      <c r="B1271" s="1" t="n">
        <v>43404</v>
      </c>
      <c r="C1271" s="1" t="n">
        <v>45182</v>
      </c>
      <c r="D1271" t="inlineStr">
        <is>
          <t>JÄMTLANDS LÄN</t>
        </is>
      </c>
      <c r="E1271" t="inlineStr">
        <is>
          <t>STRÖMSUND</t>
        </is>
      </c>
      <c r="F1271" t="inlineStr">
        <is>
          <t>SCA</t>
        </is>
      </c>
      <c r="G1271" t="n">
        <v>1.8</v>
      </c>
      <c r="H1271" t="n">
        <v>0</v>
      </c>
      <c r="I1271" t="n">
        <v>0</v>
      </c>
      <c r="J1271" t="n">
        <v>0</v>
      </c>
      <c r="K1271" t="n">
        <v>0</v>
      </c>
      <c r="L1271" t="n">
        <v>0</v>
      </c>
      <c r="M1271" t="n">
        <v>0</v>
      </c>
      <c r="N1271" t="n">
        <v>0</v>
      </c>
      <c r="O1271" t="n">
        <v>0</v>
      </c>
      <c r="P1271" t="n">
        <v>0</v>
      </c>
      <c r="Q1271" t="n">
        <v>0</v>
      </c>
      <c r="R1271" s="2" t="inlineStr"/>
    </row>
    <row r="1272" ht="15" customHeight="1">
      <c r="A1272" t="inlineStr">
        <is>
          <t>A 57622-2018</t>
        </is>
      </c>
      <c r="B1272" s="1" t="n">
        <v>43404</v>
      </c>
      <c r="C1272" s="1" t="n">
        <v>45182</v>
      </c>
      <c r="D1272" t="inlineStr">
        <is>
          <t>JÄMTLANDS LÄN</t>
        </is>
      </c>
      <c r="E1272" t="inlineStr">
        <is>
          <t>STRÖMSUND</t>
        </is>
      </c>
      <c r="G1272" t="n">
        <v>20.4</v>
      </c>
      <c r="H1272" t="n">
        <v>0</v>
      </c>
      <c r="I1272" t="n">
        <v>0</v>
      </c>
      <c r="J1272" t="n">
        <v>0</v>
      </c>
      <c r="K1272" t="n">
        <v>0</v>
      </c>
      <c r="L1272" t="n">
        <v>0</v>
      </c>
      <c r="M1272" t="n">
        <v>0</v>
      </c>
      <c r="N1272" t="n">
        <v>0</v>
      </c>
      <c r="O1272" t="n">
        <v>0</v>
      </c>
      <c r="P1272" t="n">
        <v>0</v>
      </c>
      <c r="Q1272" t="n">
        <v>0</v>
      </c>
      <c r="R1272" s="2" t="inlineStr"/>
    </row>
    <row r="1273" ht="15" customHeight="1">
      <c r="A1273" t="inlineStr">
        <is>
          <t>A 57667-2018</t>
        </is>
      </c>
      <c r="B1273" s="1" t="n">
        <v>43404</v>
      </c>
      <c r="C1273" s="1" t="n">
        <v>45182</v>
      </c>
      <c r="D1273" t="inlineStr">
        <is>
          <t>JÄMTLANDS LÄN</t>
        </is>
      </c>
      <c r="E1273" t="inlineStr">
        <is>
          <t>HÄRJEDALEN</t>
        </is>
      </c>
      <c r="G1273" t="n">
        <v>46.5</v>
      </c>
      <c r="H1273" t="n">
        <v>0</v>
      </c>
      <c r="I1273" t="n">
        <v>0</v>
      </c>
      <c r="J1273" t="n">
        <v>0</v>
      </c>
      <c r="K1273" t="n">
        <v>0</v>
      </c>
      <c r="L1273" t="n">
        <v>0</v>
      </c>
      <c r="M1273" t="n">
        <v>0</v>
      </c>
      <c r="N1273" t="n">
        <v>0</v>
      </c>
      <c r="O1273" t="n">
        <v>0</v>
      </c>
      <c r="P1273" t="n">
        <v>0</v>
      </c>
      <c r="Q1273" t="n">
        <v>0</v>
      </c>
      <c r="R1273" s="2" t="inlineStr"/>
    </row>
    <row r="1274" ht="15" customHeight="1">
      <c r="A1274" t="inlineStr">
        <is>
          <t>A 57604-2018</t>
        </is>
      </c>
      <c r="B1274" s="1" t="n">
        <v>43404</v>
      </c>
      <c r="C1274" s="1" t="n">
        <v>45182</v>
      </c>
      <c r="D1274" t="inlineStr">
        <is>
          <t>JÄMTLANDS LÄN</t>
        </is>
      </c>
      <c r="E1274" t="inlineStr">
        <is>
          <t>BERG</t>
        </is>
      </c>
      <c r="F1274" t="inlineStr">
        <is>
          <t>SCA</t>
        </is>
      </c>
      <c r="G1274" t="n">
        <v>7</v>
      </c>
      <c r="H1274" t="n">
        <v>0</v>
      </c>
      <c r="I1274" t="n">
        <v>0</v>
      </c>
      <c r="J1274" t="n">
        <v>0</v>
      </c>
      <c r="K1274" t="n">
        <v>0</v>
      </c>
      <c r="L1274" t="n">
        <v>0</v>
      </c>
      <c r="M1274" t="n">
        <v>0</v>
      </c>
      <c r="N1274" t="n">
        <v>0</v>
      </c>
      <c r="O1274" t="n">
        <v>0</v>
      </c>
      <c r="P1274" t="n">
        <v>0</v>
      </c>
      <c r="Q1274" t="n">
        <v>0</v>
      </c>
      <c r="R1274" s="2" t="inlineStr"/>
    </row>
    <row r="1275" ht="15" customHeight="1">
      <c r="A1275" t="inlineStr">
        <is>
          <t>A 57644-2018</t>
        </is>
      </c>
      <c r="B1275" s="1" t="n">
        <v>43404</v>
      </c>
      <c r="C1275" s="1" t="n">
        <v>45182</v>
      </c>
      <c r="D1275" t="inlineStr">
        <is>
          <t>JÄMTLANDS LÄN</t>
        </is>
      </c>
      <c r="E1275" t="inlineStr">
        <is>
          <t>STRÖMSUND</t>
        </is>
      </c>
      <c r="F1275" t="inlineStr">
        <is>
          <t>SCA</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57488-2018</t>
        </is>
      </c>
      <c r="B1276" s="1" t="n">
        <v>43404</v>
      </c>
      <c r="C1276" s="1" t="n">
        <v>45182</v>
      </c>
      <c r="D1276" t="inlineStr">
        <is>
          <t>JÄMTLANDS LÄN</t>
        </is>
      </c>
      <c r="E1276" t="inlineStr">
        <is>
          <t>STRÖMSUND</t>
        </is>
      </c>
      <c r="F1276" t="inlineStr">
        <is>
          <t>Holmen skog AB</t>
        </is>
      </c>
      <c r="G1276" t="n">
        <v>2.7</v>
      </c>
      <c r="H1276" t="n">
        <v>0</v>
      </c>
      <c r="I1276" t="n">
        <v>0</v>
      </c>
      <c r="J1276" t="n">
        <v>0</v>
      </c>
      <c r="K1276" t="n">
        <v>0</v>
      </c>
      <c r="L1276" t="n">
        <v>0</v>
      </c>
      <c r="M1276" t="n">
        <v>0</v>
      </c>
      <c r="N1276" t="n">
        <v>0</v>
      </c>
      <c r="O1276" t="n">
        <v>0</v>
      </c>
      <c r="P1276" t="n">
        <v>0</v>
      </c>
      <c r="Q1276" t="n">
        <v>0</v>
      </c>
      <c r="R1276" s="2" t="inlineStr"/>
    </row>
    <row r="1277" ht="15" customHeight="1">
      <c r="A1277" t="inlineStr">
        <is>
          <t>A 57704-2018</t>
        </is>
      </c>
      <c r="B1277" s="1" t="n">
        <v>43405</v>
      </c>
      <c r="C1277" s="1" t="n">
        <v>45182</v>
      </c>
      <c r="D1277" t="inlineStr">
        <is>
          <t>JÄMTLANDS LÄN</t>
        </is>
      </c>
      <c r="E1277" t="inlineStr">
        <is>
          <t>STRÖMSUND</t>
        </is>
      </c>
      <c r="F1277" t="inlineStr">
        <is>
          <t>Holmen skog AB</t>
        </is>
      </c>
      <c r="G1277" t="n">
        <v>2.2</v>
      </c>
      <c r="H1277" t="n">
        <v>0</v>
      </c>
      <c r="I1277" t="n">
        <v>0</v>
      </c>
      <c r="J1277" t="n">
        <v>0</v>
      </c>
      <c r="K1277" t="n">
        <v>0</v>
      </c>
      <c r="L1277" t="n">
        <v>0</v>
      </c>
      <c r="M1277" t="n">
        <v>0</v>
      </c>
      <c r="N1277" t="n">
        <v>0</v>
      </c>
      <c r="O1277" t="n">
        <v>0</v>
      </c>
      <c r="P1277" t="n">
        <v>0</v>
      </c>
      <c r="Q1277" t="n">
        <v>0</v>
      </c>
      <c r="R1277" s="2" t="inlineStr"/>
    </row>
    <row r="1278" ht="15" customHeight="1">
      <c r="A1278" t="inlineStr">
        <is>
          <t>A 57992-2018</t>
        </is>
      </c>
      <c r="B1278" s="1" t="n">
        <v>43405</v>
      </c>
      <c r="C1278" s="1" t="n">
        <v>45182</v>
      </c>
      <c r="D1278" t="inlineStr">
        <is>
          <t>JÄMTLANDS LÄN</t>
        </is>
      </c>
      <c r="E1278" t="inlineStr">
        <is>
          <t>RAGUNDA</t>
        </is>
      </c>
      <c r="F1278" t="inlineStr">
        <is>
          <t>SCA</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57699-2018</t>
        </is>
      </c>
      <c r="B1279" s="1" t="n">
        <v>43405</v>
      </c>
      <c r="C1279" s="1" t="n">
        <v>45182</v>
      </c>
      <c r="D1279" t="inlineStr">
        <is>
          <t>JÄMTLANDS LÄN</t>
        </is>
      </c>
      <c r="E1279" t="inlineStr">
        <is>
          <t>STRÖMSUND</t>
        </is>
      </c>
      <c r="F1279" t="inlineStr">
        <is>
          <t>Holmen skog AB</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58088-2018</t>
        </is>
      </c>
      <c r="B1280" s="1" t="n">
        <v>43406</v>
      </c>
      <c r="C1280" s="1" t="n">
        <v>45182</v>
      </c>
      <c r="D1280" t="inlineStr">
        <is>
          <t>JÄMTLANDS LÄN</t>
        </is>
      </c>
      <c r="E1280" t="inlineStr">
        <is>
          <t>HÄRJEDALEN</t>
        </is>
      </c>
      <c r="G1280" t="n">
        <v>6.6</v>
      </c>
      <c r="H1280" t="n">
        <v>0</v>
      </c>
      <c r="I1280" t="n">
        <v>0</v>
      </c>
      <c r="J1280" t="n">
        <v>0</v>
      </c>
      <c r="K1280" t="n">
        <v>0</v>
      </c>
      <c r="L1280" t="n">
        <v>0</v>
      </c>
      <c r="M1280" t="n">
        <v>0</v>
      </c>
      <c r="N1280" t="n">
        <v>0</v>
      </c>
      <c r="O1280" t="n">
        <v>0</v>
      </c>
      <c r="P1280" t="n">
        <v>0</v>
      </c>
      <c r="Q1280" t="n">
        <v>0</v>
      </c>
      <c r="R1280" s="2" t="inlineStr"/>
    </row>
    <row r="1281" ht="15" customHeight="1">
      <c r="A1281" t="inlineStr">
        <is>
          <t>A 58172-2018</t>
        </is>
      </c>
      <c r="B1281" s="1" t="n">
        <v>43406</v>
      </c>
      <c r="C1281" s="1" t="n">
        <v>45182</v>
      </c>
      <c r="D1281" t="inlineStr">
        <is>
          <t>JÄMTLANDS LÄN</t>
        </is>
      </c>
      <c r="E1281" t="inlineStr">
        <is>
          <t>RAGUNDA</t>
        </is>
      </c>
      <c r="F1281" t="inlineStr">
        <is>
          <t>SCA</t>
        </is>
      </c>
      <c r="G1281" t="n">
        <v>12.8</v>
      </c>
      <c r="H1281" t="n">
        <v>0</v>
      </c>
      <c r="I1281" t="n">
        <v>0</v>
      </c>
      <c r="J1281" t="n">
        <v>0</v>
      </c>
      <c r="K1281" t="n">
        <v>0</v>
      </c>
      <c r="L1281" t="n">
        <v>0</v>
      </c>
      <c r="M1281" t="n">
        <v>0</v>
      </c>
      <c r="N1281" t="n">
        <v>0</v>
      </c>
      <c r="O1281" t="n">
        <v>0</v>
      </c>
      <c r="P1281" t="n">
        <v>0</v>
      </c>
      <c r="Q1281" t="n">
        <v>0</v>
      </c>
      <c r="R1281" s="2" t="inlineStr"/>
    </row>
    <row r="1282" ht="15" customHeight="1">
      <c r="A1282" t="inlineStr">
        <is>
          <t>A 58135-2018</t>
        </is>
      </c>
      <c r="B1282" s="1" t="n">
        <v>43406</v>
      </c>
      <c r="C1282" s="1" t="n">
        <v>45182</v>
      </c>
      <c r="D1282" t="inlineStr">
        <is>
          <t>JÄMTLANDS LÄN</t>
        </is>
      </c>
      <c r="E1282" t="inlineStr">
        <is>
          <t>STRÖMSUND</t>
        </is>
      </c>
      <c r="F1282" t="inlineStr">
        <is>
          <t>Holmen skog AB</t>
        </is>
      </c>
      <c r="G1282" t="n">
        <v>4.6</v>
      </c>
      <c r="H1282" t="n">
        <v>0</v>
      </c>
      <c r="I1282" t="n">
        <v>0</v>
      </c>
      <c r="J1282" t="n">
        <v>0</v>
      </c>
      <c r="K1282" t="n">
        <v>0</v>
      </c>
      <c r="L1282" t="n">
        <v>0</v>
      </c>
      <c r="M1282" t="n">
        <v>0</v>
      </c>
      <c r="N1282" t="n">
        <v>0</v>
      </c>
      <c r="O1282" t="n">
        <v>0</v>
      </c>
      <c r="P1282" t="n">
        <v>0</v>
      </c>
      <c r="Q1282" t="n">
        <v>0</v>
      </c>
      <c r="R1282" s="2" t="inlineStr"/>
    </row>
    <row r="1283" ht="15" customHeight="1">
      <c r="A1283" t="inlineStr">
        <is>
          <t>A 58132-2018</t>
        </is>
      </c>
      <c r="B1283" s="1" t="n">
        <v>43406</v>
      </c>
      <c r="C1283" s="1" t="n">
        <v>45182</v>
      </c>
      <c r="D1283" t="inlineStr">
        <is>
          <t>JÄMTLANDS LÄN</t>
        </is>
      </c>
      <c r="E1283" t="inlineStr">
        <is>
          <t>STRÖMSUND</t>
        </is>
      </c>
      <c r="F1283" t="inlineStr">
        <is>
          <t>Holmen skog AB</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58149-2018</t>
        </is>
      </c>
      <c r="B1284" s="1" t="n">
        <v>43406</v>
      </c>
      <c r="C1284" s="1" t="n">
        <v>45182</v>
      </c>
      <c r="D1284" t="inlineStr">
        <is>
          <t>JÄMTLANDS LÄN</t>
        </is>
      </c>
      <c r="E1284" t="inlineStr">
        <is>
          <t>STRÖMSUND</t>
        </is>
      </c>
      <c r="G1284" t="n">
        <v>6.5</v>
      </c>
      <c r="H1284" t="n">
        <v>0</v>
      </c>
      <c r="I1284" t="n">
        <v>0</v>
      </c>
      <c r="J1284" t="n">
        <v>0</v>
      </c>
      <c r="K1284" t="n">
        <v>0</v>
      </c>
      <c r="L1284" t="n">
        <v>0</v>
      </c>
      <c r="M1284" t="n">
        <v>0</v>
      </c>
      <c r="N1284" t="n">
        <v>0</v>
      </c>
      <c r="O1284" t="n">
        <v>0</v>
      </c>
      <c r="P1284" t="n">
        <v>0</v>
      </c>
      <c r="Q1284" t="n">
        <v>0</v>
      </c>
      <c r="R1284" s="2" t="inlineStr"/>
    </row>
    <row r="1285" ht="15" customHeight="1">
      <c r="A1285" t="inlineStr">
        <is>
          <t>A 58272-2018</t>
        </is>
      </c>
      <c r="B1285" s="1" t="n">
        <v>43409</v>
      </c>
      <c r="C1285" s="1" t="n">
        <v>45182</v>
      </c>
      <c r="D1285" t="inlineStr">
        <is>
          <t>JÄMTLANDS LÄN</t>
        </is>
      </c>
      <c r="E1285" t="inlineStr">
        <is>
          <t>STRÖMSUND</t>
        </is>
      </c>
      <c r="F1285" t="inlineStr">
        <is>
          <t>Holmen skog AB</t>
        </is>
      </c>
      <c r="G1285" t="n">
        <v>11.8</v>
      </c>
      <c r="H1285" t="n">
        <v>0</v>
      </c>
      <c r="I1285" t="n">
        <v>0</v>
      </c>
      <c r="J1285" t="n">
        <v>0</v>
      </c>
      <c r="K1285" t="n">
        <v>0</v>
      </c>
      <c r="L1285" t="n">
        <v>0</v>
      </c>
      <c r="M1285" t="n">
        <v>0</v>
      </c>
      <c r="N1285" t="n">
        <v>0</v>
      </c>
      <c r="O1285" t="n">
        <v>0</v>
      </c>
      <c r="P1285" t="n">
        <v>0</v>
      </c>
      <c r="Q1285" t="n">
        <v>0</v>
      </c>
      <c r="R1285" s="2" t="inlineStr"/>
    </row>
    <row r="1286" ht="15" customHeight="1">
      <c r="A1286" t="inlineStr">
        <is>
          <t>A 58408-2018</t>
        </is>
      </c>
      <c r="B1286" s="1" t="n">
        <v>43409</v>
      </c>
      <c r="C1286" s="1" t="n">
        <v>45182</v>
      </c>
      <c r="D1286" t="inlineStr">
        <is>
          <t>JÄMTLANDS LÄN</t>
        </is>
      </c>
      <c r="E1286" t="inlineStr">
        <is>
          <t>BERG</t>
        </is>
      </c>
      <c r="G1286" t="n">
        <v>11.7</v>
      </c>
      <c r="H1286" t="n">
        <v>0</v>
      </c>
      <c r="I1286" t="n">
        <v>0</v>
      </c>
      <c r="J1286" t="n">
        <v>0</v>
      </c>
      <c r="K1286" t="n">
        <v>0</v>
      </c>
      <c r="L1286" t="n">
        <v>0</v>
      </c>
      <c r="M1286" t="n">
        <v>0</v>
      </c>
      <c r="N1286" t="n">
        <v>0</v>
      </c>
      <c r="O1286" t="n">
        <v>0</v>
      </c>
      <c r="P1286" t="n">
        <v>0</v>
      </c>
      <c r="Q1286" t="n">
        <v>0</v>
      </c>
      <c r="R1286" s="2" t="inlineStr"/>
    </row>
    <row r="1287" ht="15" customHeight="1">
      <c r="A1287" t="inlineStr">
        <is>
          <t>A 60544-2018</t>
        </is>
      </c>
      <c r="B1287" s="1" t="n">
        <v>43409</v>
      </c>
      <c r="C1287" s="1" t="n">
        <v>45182</v>
      </c>
      <c r="D1287" t="inlineStr">
        <is>
          <t>JÄMTLANDS LÄN</t>
        </is>
      </c>
      <c r="E1287" t="inlineStr">
        <is>
          <t>BERG</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58274-2018</t>
        </is>
      </c>
      <c r="B1288" s="1" t="n">
        <v>43409</v>
      </c>
      <c r="C1288" s="1" t="n">
        <v>45182</v>
      </c>
      <c r="D1288" t="inlineStr">
        <is>
          <t>JÄMTLANDS LÄN</t>
        </is>
      </c>
      <c r="E1288" t="inlineStr">
        <is>
          <t>STRÖMSUND</t>
        </is>
      </c>
      <c r="F1288" t="inlineStr">
        <is>
          <t>Holmen skog AB</t>
        </is>
      </c>
      <c r="G1288" t="n">
        <v>11.8</v>
      </c>
      <c r="H1288" t="n">
        <v>0</v>
      </c>
      <c r="I1288" t="n">
        <v>0</v>
      </c>
      <c r="J1288" t="n">
        <v>0</v>
      </c>
      <c r="K1288" t="n">
        <v>0</v>
      </c>
      <c r="L1288" t="n">
        <v>0</v>
      </c>
      <c r="M1288" t="n">
        <v>0</v>
      </c>
      <c r="N1288" t="n">
        <v>0</v>
      </c>
      <c r="O1288" t="n">
        <v>0</v>
      </c>
      <c r="P1288" t="n">
        <v>0</v>
      </c>
      <c r="Q1288" t="n">
        <v>0</v>
      </c>
      <c r="R1288" s="2" t="inlineStr"/>
    </row>
    <row r="1289" ht="15" customHeight="1">
      <c r="A1289" t="inlineStr">
        <is>
          <t>A 58400-2018</t>
        </is>
      </c>
      <c r="B1289" s="1" t="n">
        <v>43409</v>
      </c>
      <c r="C1289" s="1" t="n">
        <v>45182</v>
      </c>
      <c r="D1289" t="inlineStr">
        <is>
          <t>JÄMTLANDS LÄN</t>
        </is>
      </c>
      <c r="E1289" t="inlineStr">
        <is>
          <t>STRÖMSUND</t>
        </is>
      </c>
      <c r="F1289" t="inlineStr">
        <is>
          <t>Holmen skog AB</t>
        </is>
      </c>
      <c r="G1289" t="n">
        <v>12</v>
      </c>
      <c r="H1289" t="n">
        <v>0</v>
      </c>
      <c r="I1289" t="n">
        <v>0</v>
      </c>
      <c r="J1289" t="n">
        <v>0</v>
      </c>
      <c r="K1289" t="n">
        <v>0</v>
      </c>
      <c r="L1289" t="n">
        <v>0</v>
      </c>
      <c r="M1289" t="n">
        <v>0</v>
      </c>
      <c r="N1289" t="n">
        <v>0</v>
      </c>
      <c r="O1289" t="n">
        <v>0</v>
      </c>
      <c r="P1289" t="n">
        <v>0</v>
      </c>
      <c r="Q1289" t="n">
        <v>0</v>
      </c>
      <c r="R1289" s="2" t="inlineStr"/>
    </row>
    <row r="1290" ht="15" customHeight="1">
      <c r="A1290" t="inlineStr">
        <is>
          <t>A 58944-2018</t>
        </is>
      </c>
      <c r="B1290" s="1" t="n">
        <v>43410</v>
      </c>
      <c r="C1290" s="1" t="n">
        <v>45182</v>
      </c>
      <c r="D1290" t="inlineStr">
        <is>
          <t>JÄMTLANDS LÄN</t>
        </is>
      </c>
      <c r="E1290" t="inlineStr">
        <is>
          <t>STRÖMSUND</t>
        </is>
      </c>
      <c r="F1290" t="inlineStr">
        <is>
          <t>SCA</t>
        </is>
      </c>
      <c r="G1290" t="n">
        <v>4.1</v>
      </c>
      <c r="H1290" t="n">
        <v>0</v>
      </c>
      <c r="I1290" t="n">
        <v>0</v>
      </c>
      <c r="J1290" t="n">
        <v>0</v>
      </c>
      <c r="K1290" t="n">
        <v>0</v>
      </c>
      <c r="L1290" t="n">
        <v>0</v>
      </c>
      <c r="M1290" t="n">
        <v>0</v>
      </c>
      <c r="N1290" t="n">
        <v>0</v>
      </c>
      <c r="O1290" t="n">
        <v>0</v>
      </c>
      <c r="P1290" t="n">
        <v>0</v>
      </c>
      <c r="Q1290" t="n">
        <v>0</v>
      </c>
      <c r="R1290" s="2" t="inlineStr"/>
    </row>
    <row r="1291" ht="15" customHeight="1">
      <c r="A1291" t="inlineStr">
        <is>
          <t>A 58934-2018</t>
        </is>
      </c>
      <c r="B1291" s="1" t="n">
        <v>43410</v>
      </c>
      <c r="C1291" s="1" t="n">
        <v>45182</v>
      </c>
      <c r="D1291" t="inlineStr">
        <is>
          <t>JÄMTLANDS LÄN</t>
        </is>
      </c>
      <c r="E1291" t="inlineStr">
        <is>
          <t>STRÖMSUND</t>
        </is>
      </c>
      <c r="F1291" t="inlineStr">
        <is>
          <t>SCA</t>
        </is>
      </c>
      <c r="G1291" t="n">
        <v>3.1</v>
      </c>
      <c r="H1291" t="n">
        <v>0</v>
      </c>
      <c r="I1291" t="n">
        <v>0</v>
      </c>
      <c r="J1291" t="n">
        <v>0</v>
      </c>
      <c r="K1291" t="n">
        <v>0</v>
      </c>
      <c r="L1291" t="n">
        <v>0</v>
      </c>
      <c r="M1291" t="n">
        <v>0</v>
      </c>
      <c r="N1291" t="n">
        <v>0</v>
      </c>
      <c r="O1291" t="n">
        <v>0</v>
      </c>
      <c r="P1291" t="n">
        <v>0</v>
      </c>
      <c r="Q1291" t="n">
        <v>0</v>
      </c>
      <c r="R1291" s="2" t="inlineStr"/>
    </row>
    <row r="1292" ht="15" customHeight="1">
      <c r="A1292" t="inlineStr">
        <is>
          <t>A 58869-2018</t>
        </is>
      </c>
      <c r="B1292" s="1" t="n">
        <v>43410</v>
      </c>
      <c r="C1292" s="1" t="n">
        <v>45182</v>
      </c>
      <c r="D1292" t="inlineStr">
        <is>
          <t>JÄMTLANDS LÄN</t>
        </is>
      </c>
      <c r="E1292" t="inlineStr">
        <is>
          <t>STRÖMSUND</t>
        </is>
      </c>
      <c r="F1292" t="inlineStr">
        <is>
          <t>Holmen skog AB</t>
        </is>
      </c>
      <c r="G1292" t="n">
        <v>8.4</v>
      </c>
      <c r="H1292" t="n">
        <v>0</v>
      </c>
      <c r="I1292" t="n">
        <v>0</v>
      </c>
      <c r="J1292" t="n">
        <v>0</v>
      </c>
      <c r="K1292" t="n">
        <v>0</v>
      </c>
      <c r="L1292" t="n">
        <v>0</v>
      </c>
      <c r="M1292" t="n">
        <v>0</v>
      </c>
      <c r="N1292" t="n">
        <v>0</v>
      </c>
      <c r="O1292" t="n">
        <v>0</v>
      </c>
      <c r="P1292" t="n">
        <v>0</v>
      </c>
      <c r="Q1292" t="n">
        <v>0</v>
      </c>
      <c r="R1292" s="2" t="inlineStr"/>
    </row>
    <row r="1293" ht="15" customHeight="1">
      <c r="A1293" t="inlineStr">
        <is>
          <t>A 58929-2018</t>
        </is>
      </c>
      <c r="B1293" s="1" t="n">
        <v>43410</v>
      </c>
      <c r="C1293" s="1" t="n">
        <v>45182</v>
      </c>
      <c r="D1293" t="inlineStr">
        <is>
          <t>JÄMTLANDS LÄN</t>
        </is>
      </c>
      <c r="E1293" t="inlineStr">
        <is>
          <t>RAGUNDA</t>
        </is>
      </c>
      <c r="F1293" t="inlineStr">
        <is>
          <t>SCA</t>
        </is>
      </c>
      <c r="G1293" t="n">
        <v>12.8</v>
      </c>
      <c r="H1293" t="n">
        <v>0</v>
      </c>
      <c r="I1293" t="n">
        <v>0</v>
      </c>
      <c r="J1293" t="n">
        <v>0</v>
      </c>
      <c r="K1293" t="n">
        <v>0</v>
      </c>
      <c r="L1293" t="n">
        <v>0</v>
      </c>
      <c r="M1293" t="n">
        <v>0</v>
      </c>
      <c r="N1293" t="n">
        <v>0</v>
      </c>
      <c r="O1293" t="n">
        <v>0</v>
      </c>
      <c r="P1293" t="n">
        <v>0</v>
      </c>
      <c r="Q1293" t="n">
        <v>0</v>
      </c>
      <c r="R1293" s="2" t="inlineStr"/>
    </row>
    <row r="1294" ht="15" customHeight="1">
      <c r="A1294" t="inlineStr">
        <is>
          <t>A 58938-2018</t>
        </is>
      </c>
      <c r="B1294" s="1" t="n">
        <v>43410</v>
      </c>
      <c r="C1294" s="1" t="n">
        <v>45182</v>
      </c>
      <c r="D1294" t="inlineStr">
        <is>
          <t>JÄMTLANDS LÄN</t>
        </is>
      </c>
      <c r="E1294" t="inlineStr">
        <is>
          <t>STRÖMSUND</t>
        </is>
      </c>
      <c r="F1294" t="inlineStr">
        <is>
          <t>SCA</t>
        </is>
      </c>
      <c r="G1294" t="n">
        <v>3.5</v>
      </c>
      <c r="H1294" t="n">
        <v>0</v>
      </c>
      <c r="I1294" t="n">
        <v>0</v>
      </c>
      <c r="J1294" t="n">
        <v>0</v>
      </c>
      <c r="K1294" t="n">
        <v>0</v>
      </c>
      <c r="L1294" t="n">
        <v>0</v>
      </c>
      <c r="M1294" t="n">
        <v>0</v>
      </c>
      <c r="N1294" t="n">
        <v>0</v>
      </c>
      <c r="O1294" t="n">
        <v>0</v>
      </c>
      <c r="P1294" t="n">
        <v>0</v>
      </c>
      <c r="Q1294" t="n">
        <v>0</v>
      </c>
      <c r="R1294" s="2" t="inlineStr"/>
    </row>
    <row r="1295" ht="15" customHeight="1">
      <c r="A1295" t="inlineStr">
        <is>
          <t>A 59114-2018</t>
        </is>
      </c>
      <c r="B1295" s="1" t="n">
        <v>43411</v>
      </c>
      <c r="C1295" s="1" t="n">
        <v>45182</v>
      </c>
      <c r="D1295" t="inlineStr">
        <is>
          <t>JÄMTLANDS LÄN</t>
        </is>
      </c>
      <c r="E1295" t="inlineStr">
        <is>
          <t>RAGUNDA</t>
        </is>
      </c>
      <c r="G1295" t="n">
        <v>0.7</v>
      </c>
      <c r="H1295" t="n">
        <v>0</v>
      </c>
      <c r="I1295" t="n">
        <v>0</v>
      </c>
      <c r="J1295" t="n">
        <v>0</v>
      </c>
      <c r="K1295" t="n">
        <v>0</v>
      </c>
      <c r="L1295" t="n">
        <v>0</v>
      </c>
      <c r="M1295" t="n">
        <v>0</v>
      </c>
      <c r="N1295" t="n">
        <v>0</v>
      </c>
      <c r="O1295" t="n">
        <v>0</v>
      </c>
      <c r="P1295" t="n">
        <v>0</v>
      </c>
      <c r="Q1295" t="n">
        <v>0</v>
      </c>
      <c r="R1295" s="2" t="inlineStr"/>
    </row>
    <row r="1296" ht="15" customHeight="1">
      <c r="A1296" t="inlineStr">
        <is>
          <t>A 59297-2018</t>
        </is>
      </c>
      <c r="B1296" s="1" t="n">
        <v>43411</v>
      </c>
      <c r="C1296" s="1" t="n">
        <v>45182</v>
      </c>
      <c r="D1296" t="inlineStr">
        <is>
          <t>JÄMTLANDS LÄN</t>
        </is>
      </c>
      <c r="E1296" t="inlineStr">
        <is>
          <t>STRÖMSUND</t>
        </is>
      </c>
      <c r="F1296" t="inlineStr">
        <is>
          <t>Holmen skog AB</t>
        </is>
      </c>
      <c r="G1296" t="n">
        <v>6.2</v>
      </c>
      <c r="H1296" t="n">
        <v>0</v>
      </c>
      <c r="I1296" t="n">
        <v>0</v>
      </c>
      <c r="J1296" t="n">
        <v>0</v>
      </c>
      <c r="K1296" t="n">
        <v>0</v>
      </c>
      <c r="L1296" t="n">
        <v>0</v>
      </c>
      <c r="M1296" t="n">
        <v>0</v>
      </c>
      <c r="N1296" t="n">
        <v>0</v>
      </c>
      <c r="O1296" t="n">
        <v>0</v>
      </c>
      <c r="P1296" t="n">
        <v>0</v>
      </c>
      <c r="Q1296" t="n">
        <v>0</v>
      </c>
      <c r="R1296" s="2" t="inlineStr"/>
    </row>
    <row r="1297" ht="15" customHeight="1">
      <c r="A1297" t="inlineStr">
        <is>
          <t>A 59324-2018</t>
        </is>
      </c>
      <c r="B1297" s="1" t="n">
        <v>43411</v>
      </c>
      <c r="C1297" s="1" t="n">
        <v>45182</v>
      </c>
      <c r="D1297" t="inlineStr">
        <is>
          <t>JÄMTLANDS LÄN</t>
        </is>
      </c>
      <c r="E1297" t="inlineStr">
        <is>
          <t>ÖSTERSUND</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59979-2018</t>
        </is>
      </c>
      <c r="B1298" s="1" t="n">
        <v>43411</v>
      </c>
      <c r="C1298" s="1" t="n">
        <v>45182</v>
      </c>
      <c r="D1298" t="inlineStr">
        <is>
          <t>JÄMTLANDS LÄN</t>
        </is>
      </c>
      <c r="E1298" t="inlineStr">
        <is>
          <t>RAGUNDA</t>
        </is>
      </c>
      <c r="F1298" t="inlineStr">
        <is>
          <t>SCA</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59983-2018</t>
        </is>
      </c>
      <c r="B1299" s="1" t="n">
        <v>43411</v>
      </c>
      <c r="C1299" s="1" t="n">
        <v>45182</v>
      </c>
      <c r="D1299" t="inlineStr">
        <is>
          <t>JÄMTLANDS LÄN</t>
        </is>
      </c>
      <c r="E1299" t="inlineStr">
        <is>
          <t>STRÖMSUND</t>
        </is>
      </c>
      <c r="F1299" t="inlineStr">
        <is>
          <t>SCA</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59999-2018</t>
        </is>
      </c>
      <c r="B1300" s="1" t="n">
        <v>43411</v>
      </c>
      <c r="C1300" s="1" t="n">
        <v>45182</v>
      </c>
      <c r="D1300" t="inlineStr">
        <is>
          <t>JÄMTLANDS LÄN</t>
        </is>
      </c>
      <c r="E1300" t="inlineStr">
        <is>
          <t>STRÖMSUND</t>
        </is>
      </c>
      <c r="F1300" t="inlineStr">
        <is>
          <t>SCA</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59296-2018</t>
        </is>
      </c>
      <c r="B1301" s="1" t="n">
        <v>43411</v>
      </c>
      <c r="C1301" s="1" t="n">
        <v>45182</v>
      </c>
      <c r="D1301" t="inlineStr">
        <is>
          <t>JÄMTLANDS LÄN</t>
        </is>
      </c>
      <c r="E1301" t="inlineStr">
        <is>
          <t>STRÖMSUND</t>
        </is>
      </c>
      <c r="F1301" t="inlineStr">
        <is>
          <t>Holmen skog AB</t>
        </is>
      </c>
      <c r="G1301" t="n">
        <v>6.2</v>
      </c>
      <c r="H1301" t="n">
        <v>0</v>
      </c>
      <c r="I1301" t="n">
        <v>0</v>
      </c>
      <c r="J1301" t="n">
        <v>0</v>
      </c>
      <c r="K1301" t="n">
        <v>0</v>
      </c>
      <c r="L1301" t="n">
        <v>0</v>
      </c>
      <c r="M1301" t="n">
        <v>0</v>
      </c>
      <c r="N1301" t="n">
        <v>0</v>
      </c>
      <c r="O1301" t="n">
        <v>0</v>
      </c>
      <c r="P1301" t="n">
        <v>0</v>
      </c>
      <c r="Q1301" t="n">
        <v>0</v>
      </c>
      <c r="R1301" s="2" t="inlineStr"/>
    </row>
    <row r="1302" ht="15" customHeight="1">
      <c r="A1302" t="inlineStr">
        <is>
          <t>A 59978-2018</t>
        </is>
      </c>
      <c r="B1302" s="1" t="n">
        <v>43411</v>
      </c>
      <c r="C1302" s="1" t="n">
        <v>45182</v>
      </c>
      <c r="D1302" t="inlineStr">
        <is>
          <t>JÄMTLANDS LÄN</t>
        </is>
      </c>
      <c r="E1302" t="inlineStr">
        <is>
          <t>RAGUNDA</t>
        </is>
      </c>
      <c r="F1302" t="inlineStr">
        <is>
          <t>SCA</t>
        </is>
      </c>
      <c r="G1302" t="n">
        <v>5.4</v>
      </c>
      <c r="H1302" t="n">
        <v>0</v>
      </c>
      <c r="I1302" t="n">
        <v>0</v>
      </c>
      <c r="J1302" t="n">
        <v>0</v>
      </c>
      <c r="K1302" t="n">
        <v>0</v>
      </c>
      <c r="L1302" t="n">
        <v>0</v>
      </c>
      <c r="M1302" t="n">
        <v>0</v>
      </c>
      <c r="N1302" t="n">
        <v>0</v>
      </c>
      <c r="O1302" t="n">
        <v>0</v>
      </c>
      <c r="P1302" t="n">
        <v>0</v>
      </c>
      <c r="Q1302" t="n">
        <v>0</v>
      </c>
      <c r="R1302" s="2" t="inlineStr"/>
    </row>
    <row r="1303" ht="15" customHeight="1">
      <c r="A1303" t="inlineStr">
        <is>
          <t>A 59982-2018</t>
        </is>
      </c>
      <c r="B1303" s="1" t="n">
        <v>43411</v>
      </c>
      <c r="C1303" s="1" t="n">
        <v>45182</v>
      </c>
      <c r="D1303" t="inlineStr">
        <is>
          <t>JÄMTLANDS LÄN</t>
        </is>
      </c>
      <c r="E1303" t="inlineStr">
        <is>
          <t>STRÖMSUND</t>
        </is>
      </c>
      <c r="F1303" t="inlineStr">
        <is>
          <t>SCA</t>
        </is>
      </c>
      <c r="G1303" t="n">
        <v>1.9</v>
      </c>
      <c r="H1303" t="n">
        <v>0</v>
      </c>
      <c r="I1303" t="n">
        <v>0</v>
      </c>
      <c r="J1303" t="n">
        <v>0</v>
      </c>
      <c r="K1303" t="n">
        <v>0</v>
      </c>
      <c r="L1303" t="n">
        <v>0</v>
      </c>
      <c r="M1303" t="n">
        <v>0</v>
      </c>
      <c r="N1303" t="n">
        <v>0</v>
      </c>
      <c r="O1303" t="n">
        <v>0</v>
      </c>
      <c r="P1303" t="n">
        <v>0</v>
      </c>
      <c r="Q1303" t="n">
        <v>0</v>
      </c>
      <c r="R1303" s="2" t="inlineStr"/>
    </row>
    <row r="1304" ht="15" customHeight="1">
      <c r="A1304" t="inlineStr">
        <is>
          <t>A 59993-2018</t>
        </is>
      </c>
      <c r="B1304" s="1" t="n">
        <v>43411</v>
      </c>
      <c r="C1304" s="1" t="n">
        <v>45182</v>
      </c>
      <c r="D1304" t="inlineStr">
        <is>
          <t>JÄMTLANDS LÄN</t>
        </is>
      </c>
      <c r="E1304" t="inlineStr">
        <is>
          <t>STRÖMSUND</t>
        </is>
      </c>
      <c r="F1304" t="inlineStr">
        <is>
          <t>SCA</t>
        </is>
      </c>
      <c r="G1304" t="n">
        <v>7.6</v>
      </c>
      <c r="H1304" t="n">
        <v>0</v>
      </c>
      <c r="I1304" t="n">
        <v>0</v>
      </c>
      <c r="J1304" t="n">
        <v>0</v>
      </c>
      <c r="K1304" t="n">
        <v>0</v>
      </c>
      <c r="L1304" t="n">
        <v>0</v>
      </c>
      <c r="M1304" t="n">
        <v>0</v>
      </c>
      <c r="N1304" t="n">
        <v>0</v>
      </c>
      <c r="O1304" t="n">
        <v>0</v>
      </c>
      <c r="P1304" t="n">
        <v>0</v>
      </c>
      <c r="Q1304" t="n">
        <v>0</v>
      </c>
      <c r="R1304" s="2" t="inlineStr"/>
    </row>
    <row r="1305" ht="15" customHeight="1">
      <c r="A1305" t="inlineStr">
        <is>
          <t>A 60003-2018</t>
        </is>
      </c>
      <c r="B1305" s="1" t="n">
        <v>43411</v>
      </c>
      <c r="C1305" s="1" t="n">
        <v>45182</v>
      </c>
      <c r="D1305" t="inlineStr">
        <is>
          <t>JÄMTLANDS LÄN</t>
        </is>
      </c>
      <c r="E1305" t="inlineStr">
        <is>
          <t>STRÖMSUND</t>
        </is>
      </c>
      <c r="F1305" t="inlineStr">
        <is>
          <t>SCA</t>
        </is>
      </c>
      <c r="G1305" t="n">
        <v>2.7</v>
      </c>
      <c r="H1305" t="n">
        <v>0</v>
      </c>
      <c r="I1305" t="n">
        <v>0</v>
      </c>
      <c r="J1305" t="n">
        <v>0</v>
      </c>
      <c r="K1305" t="n">
        <v>0</v>
      </c>
      <c r="L1305" t="n">
        <v>0</v>
      </c>
      <c r="M1305" t="n">
        <v>0</v>
      </c>
      <c r="N1305" t="n">
        <v>0</v>
      </c>
      <c r="O1305" t="n">
        <v>0</v>
      </c>
      <c r="P1305" t="n">
        <v>0</v>
      </c>
      <c r="Q1305" t="n">
        <v>0</v>
      </c>
      <c r="R1305" s="2" t="inlineStr"/>
    </row>
    <row r="1306" ht="15" customHeight="1">
      <c r="A1306" t="inlineStr">
        <is>
          <t>A 59977-2018</t>
        </is>
      </c>
      <c r="B1306" s="1" t="n">
        <v>43411</v>
      </c>
      <c r="C1306" s="1" t="n">
        <v>45182</v>
      </c>
      <c r="D1306" t="inlineStr">
        <is>
          <t>JÄMTLANDS LÄN</t>
        </is>
      </c>
      <c r="E1306" t="inlineStr">
        <is>
          <t>RAGUNDA</t>
        </is>
      </c>
      <c r="F1306" t="inlineStr">
        <is>
          <t>SCA</t>
        </is>
      </c>
      <c r="G1306" t="n">
        <v>15.5</v>
      </c>
      <c r="H1306" t="n">
        <v>0</v>
      </c>
      <c r="I1306" t="n">
        <v>0</v>
      </c>
      <c r="J1306" t="n">
        <v>0</v>
      </c>
      <c r="K1306" t="n">
        <v>0</v>
      </c>
      <c r="L1306" t="n">
        <v>0</v>
      </c>
      <c r="M1306" t="n">
        <v>0</v>
      </c>
      <c r="N1306" t="n">
        <v>0</v>
      </c>
      <c r="O1306" t="n">
        <v>0</v>
      </c>
      <c r="P1306" t="n">
        <v>0</v>
      </c>
      <c r="Q1306" t="n">
        <v>0</v>
      </c>
      <c r="R1306" s="2" t="inlineStr"/>
    </row>
    <row r="1307" ht="15" customHeight="1">
      <c r="A1307" t="inlineStr">
        <is>
          <t>A 59981-2018</t>
        </is>
      </c>
      <c r="B1307" s="1" t="n">
        <v>43411</v>
      </c>
      <c r="C1307" s="1" t="n">
        <v>45182</v>
      </c>
      <c r="D1307" t="inlineStr">
        <is>
          <t>JÄMTLANDS LÄN</t>
        </is>
      </c>
      <c r="E1307" t="inlineStr">
        <is>
          <t>RAGUNDA</t>
        </is>
      </c>
      <c r="F1307" t="inlineStr">
        <is>
          <t>SCA</t>
        </is>
      </c>
      <c r="G1307" t="n">
        <v>18.9</v>
      </c>
      <c r="H1307" t="n">
        <v>0</v>
      </c>
      <c r="I1307" t="n">
        <v>0</v>
      </c>
      <c r="J1307" t="n">
        <v>0</v>
      </c>
      <c r="K1307" t="n">
        <v>0</v>
      </c>
      <c r="L1307" t="n">
        <v>0</v>
      </c>
      <c r="M1307" t="n">
        <v>0</v>
      </c>
      <c r="N1307" t="n">
        <v>0</v>
      </c>
      <c r="O1307" t="n">
        <v>0</v>
      </c>
      <c r="P1307" t="n">
        <v>0</v>
      </c>
      <c r="Q1307" t="n">
        <v>0</v>
      </c>
      <c r="R1307" s="2" t="inlineStr"/>
    </row>
    <row r="1308" ht="15" customHeight="1">
      <c r="A1308" t="inlineStr">
        <is>
          <t>A 59986-2018</t>
        </is>
      </c>
      <c r="B1308" s="1" t="n">
        <v>43411</v>
      </c>
      <c r="C1308" s="1" t="n">
        <v>45182</v>
      </c>
      <c r="D1308" t="inlineStr">
        <is>
          <t>JÄMTLANDS LÄN</t>
        </is>
      </c>
      <c r="E1308" t="inlineStr">
        <is>
          <t>STRÖMSUND</t>
        </is>
      </c>
      <c r="F1308" t="inlineStr">
        <is>
          <t>SCA</t>
        </is>
      </c>
      <c r="G1308" t="n">
        <v>3.1</v>
      </c>
      <c r="H1308" t="n">
        <v>0</v>
      </c>
      <c r="I1308" t="n">
        <v>0</v>
      </c>
      <c r="J1308" t="n">
        <v>0</v>
      </c>
      <c r="K1308" t="n">
        <v>0</v>
      </c>
      <c r="L1308" t="n">
        <v>0</v>
      </c>
      <c r="M1308" t="n">
        <v>0</v>
      </c>
      <c r="N1308" t="n">
        <v>0</v>
      </c>
      <c r="O1308" t="n">
        <v>0</v>
      </c>
      <c r="P1308" t="n">
        <v>0</v>
      </c>
      <c r="Q1308" t="n">
        <v>0</v>
      </c>
      <c r="R1308" s="2" t="inlineStr"/>
    </row>
    <row r="1309" ht="15" customHeight="1">
      <c r="A1309" t="inlineStr">
        <is>
          <t>A 59997-2018</t>
        </is>
      </c>
      <c r="B1309" s="1" t="n">
        <v>43411</v>
      </c>
      <c r="C1309" s="1" t="n">
        <v>45182</v>
      </c>
      <c r="D1309" t="inlineStr">
        <is>
          <t>JÄMTLANDS LÄN</t>
        </is>
      </c>
      <c r="E1309" t="inlineStr">
        <is>
          <t>STRÖMSUND</t>
        </is>
      </c>
      <c r="F1309" t="inlineStr">
        <is>
          <t>SCA</t>
        </is>
      </c>
      <c r="G1309" t="n">
        <v>2.1</v>
      </c>
      <c r="H1309" t="n">
        <v>0</v>
      </c>
      <c r="I1309" t="n">
        <v>0</v>
      </c>
      <c r="J1309" t="n">
        <v>0</v>
      </c>
      <c r="K1309" t="n">
        <v>0</v>
      </c>
      <c r="L1309" t="n">
        <v>0</v>
      </c>
      <c r="M1309" t="n">
        <v>0</v>
      </c>
      <c r="N1309" t="n">
        <v>0</v>
      </c>
      <c r="O1309" t="n">
        <v>0</v>
      </c>
      <c r="P1309" t="n">
        <v>0</v>
      </c>
      <c r="Q1309" t="n">
        <v>0</v>
      </c>
      <c r="R1309" s="2" t="inlineStr"/>
    </row>
    <row r="1310" ht="15" customHeight="1">
      <c r="A1310" t="inlineStr">
        <is>
          <t>A 60001-2018</t>
        </is>
      </c>
      <c r="B1310" s="1" t="n">
        <v>43411</v>
      </c>
      <c r="C1310" s="1" t="n">
        <v>45182</v>
      </c>
      <c r="D1310" t="inlineStr">
        <is>
          <t>JÄMTLANDS LÄN</t>
        </is>
      </c>
      <c r="E1310" t="inlineStr">
        <is>
          <t>STRÖMSUND</t>
        </is>
      </c>
      <c r="F1310" t="inlineStr">
        <is>
          <t>SCA</t>
        </is>
      </c>
      <c r="G1310" t="n">
        <v>2.5</v>
      </c>
      <c r="H1310" t="n">
        <v>0</v>
      </c>
      <c r="I1310" t="n">
        <v>0</v>
      </c>
      <c r="J1310" t="n">
        <v>0</v>
      </c>
      <c r="K1310" t="n">
        <v>0</v>
      </c>
      <c r="L1310" t="n">
        <v>0</v>
      </c>
      <c r="M1310" t="n">
        <v>0</v>
      </c>
      <c r="N1310" t="n">
        <v>0</v>
      </c>
      <c r="O1310" t="n">
        <v>0</v>
      </c>
      <c r="P1310" t="n">
        <v>0</v>
      </c>
      <c r="Q1310" t="n">
        <v>0</v>
      </c>
      <c r="R1310" s="2" t="inlineStr"/>
    </row>
    <row r="1311" ht="15" customHeight="1">
      <c r="A1311" t="inlineStr">
        <is>
          <t>A 59980-2018</t>
        </is>
      </c>
      <c r="B1311" s="1" t="n">
        <v>43411</v>
      </c>
      <c r="C1311" s="1" t="n">
        <v>45182</v>
      </c>
      <c r="D1311" t="inlineStr">
        <is>
          <t>JÄMTLANDS LÄN</t>
        </is>
      </c>
      <c r="E1311" t="inlineStr">
        <is>
          <t>RAGUNDA</t>
        </is>
      </c>
      <c r="F1311" t="inlineStr">
        <is>
          <t>SCA</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59991-2018</t>
        </is>
      </c>
      <c r="B1312" s="1" t="n">
        <v>43411</v>
      </c>
      <c r="C1312" s="1" t="n">
        <v>45182</v>
      </c>
      <c r="D1312" t="inlineStr">
        <is>
          <t>JÄMTLANDS LÄN</t>
        </is>
      </c>
      <c r="E1312" t="inlineStr">
        <is>
          <t>RAGUNDA</t>
        </is>
      </c>
      <c r="G1312" t="n">
        <v>0.6</v>
      </c>
      <c r="H1312" t="n">
        <v>0</v>
      </c>
      <c r="I1312" t="n">
        <v>0</v>
      </c>
      <c r="J1312" t="n">
        <v>0</v>
      </c>
      <c r="K1312" t="n">
        <v>0</v>
      </c>
      <c r="L1312" t="n">
        <v>0</v>
      </c>
      <c r="M1312" t="n">
        <v>0</v>
      </c>
      <c r="N1312" t="n">
        <v>0</v>
      </c>
      <c r="O1312" t="n">
        <v>0</v>
      </c>
      <c r="P1312" t="n">
        <v>0</v>
      </c>
      <c r="Q1312" t="n">
        <v>0</v>
      </c>
      <c r="R1312" s="2" t="inlineStr"/>
    </row>
    <row r="1313" ht="15" customHeight="1">
      <c r="A1313" t="inlineStr">
        <is>
          <t>A 59996-2018</t>
        </is>
      </c>
      <c r="B1313" s="1" t="n">
        <v>43411</v>
      </c>
      <c r="C1313" s="1" t="n">
        <v>45182</v>
      </c>
      <c r="D1313" t="inlineStr">
        <is>
          <t>JÄMTLANDS LÄN</t>
        </is>
      </c>
      <c r="E1313" t="inlineStr">
        <is>
          <t>STRÖMSUND</t>
        </is>
      </c>
      <c r="F1313" t="inlineStr">
        <is>
          <t>SCA</t>
        </is>
      </c>
      <c r="G1313" t="n">
        <v>3.4</v>
      </c>
      <c r="H1313" t="n">
        <v>0</v>
      </c>
      <c r="I1313" t="n">
        <v>0</v>
      </c>
      <c r="J1313" t="n">
        <v>0</v>
      </c>
      <c r="K1313" t="n">
        <v>0</v>
      </c>
      <c r="L1313" t="n">
        <v>0</v>
      </c>
      <c r="M1313" t="n">
        <v>0</v>
      </c>
      <c r="N1313" t="n">
        <v>0</v>
      </c>
      <c r="O1313" t="n">
        <v>0</v>
      </c>
      <c r="P1313" t="n">
        <v>0</v>
      </c>
      <c r="Q1313" t="n">
        <v>0</v>
      </c>
      <c r="R1313" s="2" t="inlineStr"/>
    </row>
    <row r="1314" ht="15" customHeight="1">
      <c r="A1314" t="inlineStr">
        <is>
          <t>A 60000-2018</t>
        </is>
      </c>
      <c r="B1314" s="1" t="n">
        <v>43411</v>
      </c>
      <c r="C1314" s="1" t="n">
        <v>45182</v>
      </c>
      <c r="D1314" t="inlineStr">
        <is>
          <t>JÄMTLANDS LÄN</t>
        </is>
      </c>
      <c r="E1314" t="inlineStr">
        <is>
          <t>STRÖMSUND</t>
        </is>
      </c>
      <c r="F1314" t="inlineStr">
        <is>
          <t>SCA</t>
        </is>
      </c>
      <c r="G1314" t="n">
        <v>0.9</v>
      </c>
      <c r="H1314" t="n">
        <v>0</v>
      </c>
      <c r="I1314" t="n">
        <v>0</v>
      </c>
      <c r="J1314" t="n">
        <v>0</v>
      </c>
      <c r="K1314" t="n">
        <v>0</v>
      </c>
      <c r="L1314" t="n">
        <v>0</v>
      </c>
      <c r="M1314" t="n">
        <v>0</v>
      </c>
      <c r="N1314" t="n">
        <v>0</v>
      </c>
      <c r="O1314" t="n">
        <v>0</v>
      </c>
      <c r="P1314" t="n">
        <v>0</v>
      </c>
      <c r="Q1314" t="n">
        <v>0</v>
      </c>
      <c r="R1314" s="2" t="inlineStr"/>
    </row>
    <row r="1315" ht="15" customHeight="1">
      <c r="A1315" t="inlineStr">
        <is>
          <t>A 60210-2018</t>
        </is>
      </c>
      <c r="B1315" s="1" t="n">
        <v>43412</v>
      </c>
      <c r="C1315" s="1" t="n">
        <v>45182</v>
      </c>
      <c r="D1315" t="inlineStr">
        <is>
          <t>JÄMTLANDS LÄN</t>
        </is>
      </c>
      <c r="E1315" t="inlineStr">
        <is>
          <t>STRÖMSUND</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60253-2018</t>
        </is>
      </c>
      <c r="B1316" s="1" t="n">
        <v>43412</v>
      </c>
      <c r="C1316" s="1" t="n">
        <v>45182</v>
      </c>
      <c r="D1316" t="inlineStr">
        <is>
          <t>JÄMTLANDS LÄN</t>
        </is>
      </c>
      <c r="E1316" t="inlineStr">
        <is>
          <t>KROKOM</t>
        </is>
      </c>
      <c r="F1316" t="inlineStr">
        <is>
          <t>Övriga Aktiebolag</t>
        </is>
      </c>
      <c r="G1316" t="n">
        <v>33.6</v>
      </c>
      <c r="H1316" t="n">
        <v>0</v>
      </c>
      <c r="I1316" t="n">
        <v>0</v>
      </c>
      <c r="J1316" t="n">
        <v>0</v>
      </c>
      <c r="K1316" t="n">
        <v>0</v>
      </c>
      <c r="L1316" t="n">
        <v>0</v>
      </c>
      <c r="M1316" t="n">
        <v>0</v>
      </c>
      <c r="N1316" t="n">
        <v>0</v>
      </c>
      <c r="O1316" t="n">
        <v>0</v>
      </c>
      <c r="P1316" t="n">
        <v>0</v>
      </c>
      <c r="Q1316" t="n">
        <v>0</v>
      </c>
      <c r="R1316" s="2" t="inlineStr"/>
    </row>
    <row r="1317" ht="15" customHeight="1">
      <c r="A1317" t="inlineStr">
        <is>
          <t>A 61191-2018</t>
        </is>
      </c>
      <c r="B1317" s="1" t="n">
        <v>43412</v>
      </c>
      <c r="C1317" s="1" t="n">
        <v>45182</v>
      </c>
      <c r="D1317" t="inlineStr">
        <is>
          <t>JÄMTLANDS LÄN</t>
        </is>
      </c>
      <c r="E1317" t="inlineStr">
        <is>
          <t>KROKOM</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60131-2018</t>
        </is>
      </c>
      <c r="B1318" s="1" t="n">
        <v>43412</v>
      </c>
      <c r="C1318" s="1" t="n">
        <v>45182</v>
      </c>
      <c r="D1318" t="inlineStr">
        <is>
          <t>JÄMTLANDS LÄN</t>
        </is>
      </c>
      <c r="E1318" t="inlineStr">
        <is>
          <t>STRÖMSUND</t>
        </is>
      </c>
      <c r="G1318" t="n">
        <v>3.6</v>
      </c>
      <c r="H1318" t="n">
        <v>0</v>
      </c>
      <c r="I1318" t="n">
        <v>0</v>
      </c>
      <c r="J1318" t="n">
        <v>0</v>
      </c>
      <c r="K1318" t="n">
        <v>0</v>
      </c>
      <c r="L1318" t="n">
        <v>0</v>
      </c>
      <c r="M1318" t="n">
        <v>0</v>
      </c>
      <c r="N1318" t="n">
        <v>0</v>
      </c>
      <c r="O1318" t="n">
        <v>0</v>
      </c>
      <c r="P1318" t="n">
        <v>0</v>
      </c>
      <c r="Q1318" t="n">
        <v>0</v>
      </c>
      <c r="R1318" s="2" t="inlineStr"/>
    </row>
    <row r="1319" ht="15" customHeight="1">
      <c r="A1319" t="inlineStr">
        <is>
          <t>A 60205-2018</t>
        </is>
      </c>
      <c r="B1319" s="1" t="n">
        <v>43412</v>
      </c>
      <c r="C1319" s="1" t="n">
        <v>45182</v>
      </c>
      <c r="D1319" t="inlineStr">
        <is>
          <t>JÄMTLANDS LÄN</t>
        </is>
      </c>
      <c r="E1319" t="inlineStr">
        <is>
          <t>STRÖMSUND</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61055-2018</t>
        </is>
      </c>
      <c r="B1320" s="1" t="n">
        <v>43412</v>
      </c>
      <c r="C1320" s="1" t="n">
        <v>45182</v>
      </c>
      <c r="D1320" t="inlineStr">
        <is>
          <t>JÄMTLANDS LÄN</t>
        </is>
      </c>
      <c r="E1320" t="inlineStr">
        <is>
          <t>ÖSTERSUND</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61197-2018</t>
        </is>
      </c>
      <c r="B1321" s="1" t="n">
        <v>43412</v>
      </c>
      <c r="C1321" s="1" t="n">
        <v>45182</v>
      </c>
      <c r="D1321" t="inlineStr">
        <is>
          <t>JÄMTLANDS LÄN</t>
        </is>
      </c>
      <c r="E1321" t="inlineStr">
        <is>
          <t>KROKOM</t>
        </is>
      </c>
      <c r="G1321" t="n">
        <v>3.5</v>
      </c>
      <c r="H1321" t="n">
        <v>0</v>
      </c>
      <c r="I1321" t="n">
        <v>0</v>
      </c>
      <c r="J1321" t="n">
        <v>0</v>
      </c>
      <c r="K1321" t="n">
        <v>0</v>
      </c>
      <c r="L1321" t="n">
        <v>0</v>
      </c>
      <c r="M1321" t="n">
        <v>0</v>
      </c>
      <c r="N1321" t="n">
        <v>0</v>
      </c>
      <c r="O1321" t="n">
        <v>0</v>
      </c>
      <c r="P1321" t="n">
        <v>0</v>
      </c>
      <c r="Q1321" t="n">
        <v>0</v>
      </c>
      <c r="R1321" s="2" t="inlineStr"/>
    </row>
    <row r="1322" ht="15" customHeight="1">
      <c r="A1322" t="inlineStr">
        <is>
          <t>A 62513-2018</t>
        </is>
      </c>
      <c r="B1322" s="1" t="n">
        <v>43413</v>
      </c>
      <c r="C1322" s="1" t="n">
        <v>45182</v>
      </c>
      <c r="D1322" t="inlineStr">
        <is>
          <t>JÄMTLANDS LÄN</t>
        </is>
      </c>
      <c r="E1322" t="inlineStr">
        <is>
          <t>STRÖMSUND</t>
        </is>
      </c>
      <c r="F1322" t="inlineStr">
        <is>
          <t>SCA</t>
        </is>
      </c>
      <c r="G1322" t="n">
        <v>7.3</v>
      </c>
      <c r="H1322" t="n">
        <v>0</v>
      </c>
      <c r="I1322" t="n">
        <v>0</v>
      </c>
      <c r="J1322" t="n">
        <v>0</v>
      </c>
      <c r="K1322" t="n">
        <v>0</v>
      </c>
      <c r="L1322" t="n">
        <v>0</v>
      </c>
      <c r="M1322" t="n">
        <v>0</v>
      </c>
      <c r="N1322" t="n">
        <v>0</v>
      </c>
      <c r="O1322" t="n">
        <v>0</v>
      </c>
      <c r="P1322" t="n">
        <v>0</v>
      </c>
      <c r="Q1322" t="n">
        <v>0</v>
      </c>
      <c r="R1322" s="2" t="inlineStr"/>
    </row>
    <row r="1323" ht="15" customHeight="1">
      <c r="A1323" t="inlineStr">
        <is>
          <t>A 62521-2018</t>
        </is>
      </c>
      <c r="B1323" s="1" t="n">
        <v>43413</v>
      </c>
      <c r="C1323" s="1" t="n">
        <v>45182</v>
      </c>
      <c r="D1323" t="inlineStr">
        <is>
          <t>JÄMTLANDS LÄN</t>
        </is>
      </c>
      <c r="E1323" t="inlineStr">
        <is>
          <t>STRÖMSUND</t>
        </is>
      </c>
      <c r="F1323" t="inlineStr">
        <is>
          <t>SCA</t>
        </is>
      </c>
      <c r="G1323" t="n">
        <v>7</v>
      </c>
      <c r="H1323" t="n">
        <v>0</v>
      </c>
      <c r="I1323" t="n">
        <v>0</v>
      </c>
      <c r="J1323" t="n">
        <v>0</v>
      </c>
      <c r="K1323" t="n">
        <v>0</v>
      </c>
      <c r="L1323" t="n">
        <v>0</v>
      </c>
      <c r="M1323" t="n">
        <v>0</v>
      </c>
      <c r="N1323" t="n">
        <v>0</v>
      </c>
      <c r="O1323" t="n">
        <v>0</v>
      </c>
      <c r="P1323" t="n">
        <v>0</v>
      </c>
      <c r="Q1323" t="n">
        <v>0</v>
      </c>
      <c r="R1323" s="2" t="inlineStr"/>
    </row>
    <row r="1324" ht="15" customHeight="1">
      <c r="A1324" t="inlineStr">
        <is>
          <t>A 62638-2018</t>
        </is>
      </c>
      <c r="B1324" s="1" t="n">
        <v>43413</v>
      </c>
      <c r="C1324" s="1" t="n">
        <v>45182</v>
      </c>
      <c r="D1324" t="inlineStr">
        <is>
          <t>JÄMTLANDS LÄN</t>
        </is>
      </c>
      <c r="E1324" t="inlineStr">
        <is>
          <t>STRÖMSUND</t>
        </is>
      </c>
      <c r="F1324" t="inlineStr">
        <is>
          <t>SCA</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62654-2018</t>
        </is>
      </c>
      <c r="B1325" s="1" t="n">
        <v>43413</v>
      </c>
      <c r="C1325" s="1" t="n">
        <v>45182</v>
      </c>
      <c r="D1325" t="inlineStr">
        <is>
          <t>JÄMTLANDS LÄN</t>
        </is>
      </c>
      <c r="E1325" t="inlineStr">
        <is>
          <t>BRÄCKE</t>
        </is>
      </c>
      <c r="G1325" t="n">
        <v>15.5</v>
      </c>
      <c r="H1325" t="n">
        <v>0</v>
      </c>
      <c r="I1325" t="n">
        <v>0</v>
      </c>
      <c r="J1325" t="n">
        <v>0</v>
      </c>
      <c r="K1325" t="n">
        <v>0</v>
      </c>
      <c r="L1325" t="n">
        <v>0</v>
      </c>
      <c r="M1325" t="n">
        <v>0</v>
      </c>
      <c r="N1325" t="n">
        <v>0</v>
      </c>
      <c r="O1325" t="n">
        <v>0</v>
      </c>
      <c r="P1325" t="n">
        <v>0</v>
      </c>
      <c r="Q1325" t="n">
        <v>0</v>
      </c>
      <c r="R1325" s="2" t="inlineStr"/>
    </row>
    <row r="1326" ht="15" customHeight="1">
      <c r="A1326" t="inlineStr">
        <is>
          <t>A 60276-2018</t>
        </is>
      </c>
      <c r="B1326" s="1" t="n">
        <v>43413</v>
      </c>
      <c r="C1326" s="1" t="n">
        <v>45182</v>
      </c>
      <c r="D1326" t="inlineStr">
        <is>
          <t>JÄMTLANDS LÄN</t>
        </is>
      </c>
      <c r="E1326" t="inlineStr">
        <is>
          <t>BRÄCKE</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61683-2018</t>
        </is>
      </c>
      <c r="B1327" s="1" t="n">
        <v>43413</v>
      </c>
      <c r="C1327" s="1" t="n">
        <v>45182</v>
      </c>
      <c r="D1327" t="inlineStr">
        <is>
          <t>JÄMTLANDS LÄN</t>
        </is>
      </c>
      <c r="E1327" t="inlineStr">
        <is>
          <t>RAGUNDA</t>
        </is>
      </c>
      <c r="G1327" t="n">
        <v>3.2</v>
      </c>
      <c r="H1327" t="n">
        <v>0</v>
      </c>
      <c r="I1327" t="n">
        <v>0</v>
      </c>
      <c r="J1327" t="n">
        <v>0</v>
      </c>
      <c r="K1327" t="n">
        <v>0</v>
      </c>
      <c r="L1327" t="n">
        <v>0</v>
      </c>
      <c r="M1327" t="n">
        <v>0</v>
      </c>
      <c r="N1327" t="n">
        <v>0</v>
      </c>
      <c r="O1327" t="n">
        <v>0</v>
      </c>
      <c r="P1327" t="n">
        <v>0</v>
      </c>
      <c r="Q1327" t="n">
        <v>0</v>
      </c>
      <c r="R1327" s="2" t="inlineStr"/>
    </row>
    <row r="1328" ht="15" customHeight="1">
      <c r="A1328" t="inlineStr">
        <is>
          <t>A 61879-2018</t>
        </is>
      </c>
      <c r="B1328" s="1" t="n">
        <v>43413</v>
      </c>
      <c r="C1328" s="1" t="n">
        <v>45182</v>
      </c>
      <c r="D1328" t="inlineStr">
        <is>
          <t>JÄMTLANDS LÄN</t>
        </is>
      </c>
      <c r="E1328" t="inlineStr">
        <is>
          <t>KROKOM</t>
        </is>
      </c>
      <c r="F1328" t="inlineStr">
        <is>
          <t>Övriga Aktiebolag</t>
        </is>
      </c>
      <c r="G1328" t="n">
        <v>28</v>
      </c>
      <c r="H1328" t="n">
        <v>0</v>
      </c>
      <c r="I1328" t="n">
        <v>0</v>
      </c>
      <c r="J1328" t="n">
        <v>0</v>
      </c>
      <c r="K1328" t="n">
        <v>0</v>
      </c>
      <c r="L1328" t="n">
        <v>0</v>
      </c>
      <c r="M1328" t="n">
        <v>0</v>
      </c>
      <c r="N1328" t="n">
        <v>0</v>
      </c>
      <c r="O1328" t="n">
        <v>0</v>
      </c>
      <c r="P1328" t="n">
        <v>0</v>
      </c>
      <c r="Q1328" t="n">
        <v>0</v>
      </c>
      <c r="R1328" s="2" t="inlineStr"/>
    </row>
    <row r="1329" ht="15" customHeight="1">
      <c r="A1329" t="inlineStr">
        <is>
          <t>A 62515-2018</t>
        </is>
      </c>
      <c r="B1329" s="1" t="n">
        <v>43413</v>
      </c>
      <c r="C1329" s="1" t="n">
        <v>45182</v>
      </c>
      <c r="D1329" t="inlineStr">
        <is>
          <t>JÄMTLANDS LÄN</t>
        </is>
      </c>
      <c r="E1329" t="inlineStr">
        <is>
          <t>STRÖMSUND</t>
        </is>
      </c>
      <c r="F1329" t="inlineStr">
        <is>
          <t>SCA</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62640-2018</t>
        </is>
      </c>
      <c r="B1330" s="1" t="n">
        <v>43413</v>
      </c>
      <c r="C1330" s="1" t="n">
        <v>45182</v>
      </c>
      <c r="D1330" t="inlineStr">
        <is>
          <t>JÄMTLANDS LÄN</t>
        </is>
      </c>
      <c r="E1330" t="inlineStr">
        <is>
          <t>STRÖMSUND</t>
        </is>
      </c>
      <c r="F1330" t="inlineStr">
        <is>
          <t>SCA</t>
        </is>
      </c>
      <c r="G1330" t="n">
        <v>1.9</v>
      </c>
      <c r="H1330" t="n">
        <v>0</v>
      </c>
      <c r="I1330" t="n">
        <v>0</v>
      </c>
      <c r="J1330" t="n">
        <v>0</v>
      </c>
      <c r="K1330" t="n">
        <v>0</v>
      </c>
      <c r="L1330" t="n">
        <v>0</v>
      </c>
      <c r="M1330" t="n">
        <v>0</v>
      </c>
      <c r="N1330" t="n">
        <v>0</v>
      </c>
      <c r="O1330" t="n">
        <v>0</v>
      </c>
      <c r="P1330" t="n">
        <v>0</v>
      </c>
      <c r="Q1330" t="n">
        <v>0</v>
      </c>
      <c r="R1330" s="2" t="inlineStr"/>
    </row>
    <row r="1331" ht="15" customHeight="1">
      <c r="A1331" t="inlineStr">
        <is>
          <t>A 62713-2018</t>
        </is>
      </c>
      <c r="B1331" s="1" t="n">
        <v>43413</v>
      </c>
      <c r="C1331" s="1" t="n">
        <v>45182</v>
      </c>
      <c r="D1331" t="inlineStr">
        <is>
          <t>JÄMTLANDS LÄN</t>
        </is>
      </c>
      <c r="E1331" t="inlineStr">
        <is>
          <t>KROKOM</t>
        </is>
      </c>
      <c r="F1331" t="inlineStr">
        <is>
          <t>Övriga Aktiebolag</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62512-2018</t>
        </is>
      </c>
      <c r="B1332" s="1" t="n">
        <v>43413</v>
      </c>
      <c r="C1332" s="1" t="n">
        <v>45182</v>
      </c>
      <c r="D1332" t="inlineStr">
        <is>
          <t>JÄMTLANDS LÄN</t>
        </is>
      </c>
      <c r="E1332" t="inlineStr">
        <is>
          <t>STRÖMSUND</t>
        </is>
      </c>
      <c r="F1332" t="inlineStr">
        <is>
          <t>SCA</t>
        </is>
      </c>
      <c r="G1332" t="n">
        <v>10.4</v>
      </c>
      <c r="H1332" t="n">
        <v>0</v>
      </c>
      <c r="I1332" t="n">
        <v>0</v>
      </c>
      <c r="J1332" t="n">
        <v>0</v>
      </c>
      <c r="K1332" t="n">
        <v>0</v>
      </c>
      <c r="L1332" t="n">
        <v>0</v>
      </c>
      <c r="M1332" t="n">
        <v>0</v>
      </c>
      <c r="N1332" t="n">
        <v>0</v>
      </c>
      <c r="O1332" t="n">
        <v>0</v>
      </c>
      <c r="P1332" t="n">
        <v>0</v>
      </c>
      <c r="Q1332" t="n">
        <v>0</v>
      </c>
      <c r="R1332" s="2" t="inlineStr"/>
    </row>
    <row r="1333" ht="15" customHeight="1">
      <c r="A1333" t="inlineStr">
        <is>
          <t>A 62647-2018</t>
        </is>
      </c>
      <c r="B1333" s="1" t="n">
        <v>43413</v>
      </c>
      <c r="C1333" s="1" t="n">
        <v>45182</v>
      </c>
      <c r="D1333" t="inlineStr">
        <is>
          <t>JÄMTLANDS LÄN</t>
        </is>
      </c>
      <c r="E1333" t="inlineStr">
        <is>
          <t>STRÖMSUND</t>
        </is>
      </c>
      <c r="F1333" t="inlineStr">
        <is>
          <t>SCA</t>
        </is>
      </c>
      <c r="G1333" t="n">
        <v>9.4</v>
      </c>
      <c r="H1333" t="n">
        <v>0</v>
      </c>
      <c r="I1333" t="n">
        <v>0</v>
      </c>
      <c r="J1333" t="n">
        <v>0</v>
      </c>
      <c r="K1333" t="n">
        <v>0</v>
      </c>
      <c r="L1333" t="n">
        <v>0</v>
      </c>
      <c r="M1333" t="n">
        <v>0</v>
      </c>
      <c r="N1333" t="n">
        <v>0</v>
      </c>
      <c r="O1333" t="n">
        <v>0</v>
      </c>
      <c r="P1333" t="n">
        <v>0</v>
      </c>
      <c r="Q1333" t="n">
        <v>0</v>
      </c>
      <c r="R1333" s="2" t="inlineStr"/>
    </row>
    <row r="1334" ht="15" customHeight="1">
      <c r="A1334" t="inlineStr">
        <is>
          <t>A 62724-2018</t>
        </is>
      </c>
      <c r="B1334" s="1" t="n">
        <v>43413</v>
      </c>
      <c r="C1334" s="1" t="n">
        <v>45182</v>
      </c>
      <c r="D1334" t="inlineStr">
        <is>
          <t>JÄMTLANDS LÄN</t>
        </is>
      </c>
      <c r="E1334" t="inlineStr">
        <is>
          <t>KROKOM</t>
        </is>
      </c>
      <c r="F1334" t="inlineStr">
        <is>
          <t>Övriga Aktiebolag</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62514-2018</t>
        </is>
      </c>
      <c r="B1335" s="1" t="n">
        <v>43413</v>
      </c>
      <c r="C1335" s="1" t="n">
        <v>45182</v>
      </c>
      <c r="D1335" t="inlineStr">
        <is>
          <t>JÄMTLANDS LÄN</t>
        </is>
      </c>
      <c r="E1335" t="inlineStr">
        <is>
          <t>STRÖMSUND</t>
        </is>
      </c>
      <c r="F1335" t="inlineStr">
        <is>
          <t>SCA</t>
        </is>
      </c>
      <c r="G1335" t="n">
        <v>2.7</v>
      </c>
      <c r="H1335" t="n">
        <v>0</v>
      </c>
      <c r="I1335" t="n">
        <v>0</v>
      </c>
      <c r="J1335" t="n">
        <v>0</v>
      </c>
      <c r="K1335" t="n">
        <v>0</v>
      </c>
      <c r="L1335" t="n">
        <v>0</v>
      </c>
      <c r="M1335" t="n">
        <v>0</v>
      </c>
      <c r="N1335" t="n">
        <v>0</v>
      </c>
      <c r="O1335" t="n">
        <v>0</v>
      </c>
      <c r="P1335" t="n">
        <v>0</v>
      </c>
      <c r="Q1335" t="n">
        <v>0</v>
      </c>
      <c r="R1335" s="2" t="inlineStr"/>
    </row>
    <row r="1336" ht="15" customHeight="1">
      <c r="A1336" t="inlineStr">
        <is>
          <t>A 62639-2018</t>
        </is>
      </c>
      <c r="B1336" s="1" t="n">
        <v>43413</v>
      </c>
      <c r="C1336" s="1" t="n">
        <v>45182</v>
      </c>
      <c r="D1336" t="inlineStr">
        <is>
          <t>JÄMTLANDS LÄN</t>
        </is>
      </c>
      <c r="E1336" t="inlineStr">
        <is>
          <t>STRÖMSUND</t>
        </is>
      </c>
      <c r="F1336" t="inlineStr">
        <is>
          <t>SCA</t>
        </is>
      </c>
      <c r="G1336" t="n">
        <v>2.1</v>
      </c>
      <c r="H1336" t="n">
        <v>0</v>
      </c>
      <c r="I1336" t="n">
        <v>0</v>
      </c>
      <c r="J1336" t="n">
        <v>0</v>
      </c>
      <c r="K1336" t="n">
        <v>0</v>
      </c>
      <c r="L1336" t="n">
        <v>0</v>
      </c>
      <c r="M1336" t="n">
        <v>0</v>
      </c>
      <c r="N1336" t="n">
        <v>0</v>
      </c>
      <c r="O1336" t="n">
        <v>0</v>
      </c>
      <c r="P1336" t="n">
        <v>0</v>
      </c>
      <c r="Q1336" t="n">
        <v>0</v>
      </c>
      <c r="R1336" s="2" t="inlineStr"/>
    </row>
    <row r="1337" ht="15" customHeight="1">
      <c r="A1337" t="inlineStr">
        <is>
          <t>A 62498-2018</t>
        </is>
      </c>
      <c r="B1337" s="1" t="n">
        <v>43414</v>
      </c>
      <c r="C1337" s="1" t="n">
        <v>45182</v>
      </c>
      <c r="D1337" t="inlineStr">
        <is>
          <t>JÄMTLANDS LÄN</t>
        </is>
      </c>
      <c r="E1337" t="inlineStr">
        <is>
          <t>STRÖMSUND</t>
        </is>
      </c>
      <c r="G1337" t="n">
        <v>6.9</v>
      </c>
      <c r="H1337" t="n">
        <v>0</v>
      </c>
      <c r="I1337" t="n">
        <v>0</v>
      </c>
      <c r="J1337" t="n">
        <v>0</v>
      </c>
      <c r="K1337" t="n">
        <v>0</v>
      </c>
      <c r="L1337" t="n">
        <v>0</v>
      </c>
      <c r="M1337" t="n">
        <v>0</v>
      </c>
      <c r="N1337" t="n">
        <v>0</v>
      </c>
      <c r="O1337" t="n">
        <v>0</v>
      </c>
      <c r="P1337" t="n">
        <v>0</v>
      </c>
      <c r="Q1337" t="n">
        <v>0</v>
      </c>
      <c r="R1337" s="2" t="inlineStr"/>
    </row>
    <row r="1338" ht="15" customHeight="1">
      <c r="A1338" t="inlineStr">
        <is>
          <t>A 62449-2018</t>
        </is>
      </c>
      <c r="B1338" s="1" t="n">
        <v>43415</v>
      </c>
      <c r="C1338" s="1" t="n">
        <v>45182</v>
      </c>
      <c r="D1338" t="inlineStr">
        <is>
          <t>JÄMTLANDS LÄN</t>
        </is>
      </c>
      <c r="E1338" t="inlineStr">
        <is>
          <t>BRÄCKE</t>
        </is>
      </c>
      <c r="G1338" t="n">
        <v>3</v>
      </c>
      <c r="H1338" t="n">
        <v>0</v>
      </c>
      <c r="I1338" t="n">
        <v>0</v>
      </c>
      <c r="J1338" t="n">
        <v>0</v>
      </c>
      <c r="K1338" t="n">
        <v>0</v>
      </c>
      <c r="L1338" t="n">
        <v>0</v>
      </c>
      <c r="M1338" t="n">
        <v>0</v>
      </c>
      <c r="N1338" t="n">
        <v>0</v>
      </c>
      <c r="O1338" t="n">
        <v>0</v>
      </c>
      <c r="P1338" t="n">
        <v>0</v>
      </c>
      <c r="Q1338" t="n">
        <v>0</v>
      </c>
      <c r="R1338" s="2" t="inlineStr"/>
    </row>
    <row r="1339" ht="15" customHeight="1">
      <c r="A1339" t="inlineStr">
        <is>
          <t>A 62016-2018</t>
        </is>
      </c>
      <c r="B1339" s="1" t="n">
        <v>43416</v>
      </c>
      <c r="C1339" s="1" t="n">
        <v>45182</v>
      </c>
      <c r="D1339" t="inlineStr">
        <is>
          <t>JÄMTLANDS LÄN</t>
        </is>
      </c>
      <c r="E1339" t="inlineStr">
        <is>
          <t>HÄRJEDALEN</t>
        </is>
      </c>
      <c r="G1339" t="n">
        <v>9.699999999999999</v>
      </c>
      <c r="H1339" t="n">
        <v>0</v>
      </c>
      <c r="I1339" t="n">
        <v>0</v>
      </c>
      <c r="J1339" t="n">
        <v>0</v>
      </c>
      <c r="K1339" t="n">
        <v>0</v>
      </c>
      <c r="L1339" t="n">
        <v>0</v>
      </c>
      <c r="M1339" t="n">
        <v>0</v>
      </c>
      <c r="N1339" t="n">
        <v>0</v>
      </c>
      <c r="O1339" t="n">
        <v>0</v>
      </c>
      <c r="P1339" t="n">
        <v>0</v>
      </c>
      <c r="Q1339" t="n">
        <v>0</v>
      </c>
      <c r="R1339" s="2" t="inlineStr"/>
    </row>
    <row r="1340" ht="15" customHeight="1">
      <c r="A1340" t="inlineStr">
        <is>
          <t>A 63555-2018</t>
        </is>
      </c>
      <c r="B1340" s="1" t="n">
        <v>43416</v>
      </c>
      <c r="C1340" s="1" t="n">
        <v>45182</v>
      </c>
      <c r="D1340" t="inlineStr">
        <is>
          <t>JÄMTLANDS LÄN</t>
        </is>
      </c>
      <c r="E1340" t="inlineStr">
        <is>
          <t>BRÄCKE</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59178-2018</t>
        </is>
      </c>
      <c r="B1341" s="1" t="n">
        <v>43417</v>
      </c>
      <c r="C1341" s="1" t="n">
        <v>45182</v>
      </c>
      <c r="D1341" t="inlineStr">
        <is>
          <t>JÄMTLANDS LÄN</t>
        </is>
      </c>
      <c r="E1341" t="inlineStr">
        <is>
          <t>STRÖMSUND</t>
        </is>
      </c>
      <c r="F1341" t="inlineStr">
        <is>
          <t>Holmen skog AB</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59212-2018</t>
        </is>
      </c>
      <c r="B1342" s="1" t="n">
        <v>43417</v>
      </c>
      <c r="C1342" s="1" t="n">
        <v>45182</v>
      </c>
      <c r="D1342" t="inlineStr">
        <is>
          <t>JÄMTLANDS LÄN</t>
        </is>
      </c>
      <c r="E1342" t="inlineStr">
        <is>
          <t>BRÄCKE</t>
        </is>
      </c>
      <c r="G1342" t="n">
        <v>3.2</v>
      </c>
      <c r="H1342" t="n">
        <v>0</v>
      </c>
      <c r="I1342" t="n">
        <v>0</v>
      </c>
      <c r="J1342" t="n">
        <v>0</v>
      </c>
      <c r="K1342" t="n">
        <v>0</v>
      </c>
      <c r="L1342" t="n">
        <v>0</v>
      </c>
      <c r="M1342" t="n">
        <v>0</v>
      </c>
      <c r="N1342" t="n">
        <v>0</v>
      </c>
      <c r="O1342" t="n">
        <v>0</v>
      </c>
      <c r="P1342" t="n">
        <v>0</v>
      </c>
      <c r="Q1342" t="n">
        <v>0</v>
      </c>
      <c r="R1342" s="2" t="inlineStr"/>
    </row>
    <row r="1343" ht="15" customHeight="1">
      <c r="A1343" t="inlineStr">
        <is>
          <t>A 61994-2018</t>
        </is>
      </c>
      <c r="B1343" s="1" t="n">
        <v>43417</v>
      </c>
      <c r="C1343" s="1" t="n">
        <v>45182</v>
      </c>
      <c r="D1343" t="inlineStr">
        <is>
          <t>JÄMTLANDS LÄN</t>
        </is>
      </c>
      <c r="E1343" t="inlineStr">
        <is>
          <t>KROKOM</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62807-2018</t>
        </is>
      </c>
      <c r="B1344" s="1" t="n">
        <v>43417</v>
      </c>
      <c r="C1344" s="1" t="n">
        <v>45182</v>
      </c>
      <c r="D1344" t="inlineStr">
        <is>
          <t>JÄMTLANDS LÄN</t>
        </is>
      </c>
      <c r="E1344" t="inlineStr">
        <is>
          <t>STRÖMSUND</t>
        </is>
      </c>
      <c r="G1344" t="n">
        <v>0.9</v>
      </c>
      <c r="H1344" t="n">
        <v>0</v>
      </c>
      <c r="I1344" t="n">
        <v>0</v>
      </c>
      <c r="J1344" t="n">
        <v>0</v>
      </c>
      <c r="K1344" t="n">
        <v>0</v>
      </c>
      <c r="L1344" t="n">
        <v>0</v>
      </c>
      <c r="M1344" t="n">
        <v>0</v>
      </c>
      <c r="N1344" t="n">
        <v>0</v>
      </c>
      <c r="O1344" t="n">
        <v>0</v>
      </c>
      <c r="P1344" t="n">
        <v>0</v>
      </c>
      <c r="Q1344" t="n">
        <v>0</v>
      </c>
      <c r="R1344" s="2" t="inlineStr"/>
    </row>
    <row r="1345" ht="15" customHeight="1">
      <c r="A1345" t="inlineStr">
        <is>
          <t>A 59358-2018</t>
        </is>
      </c>
      <c r="B1345" s="1" t="n">
        <v>43418</v>
      </c>
      <c r="C1345" s="1" t="n">
        <v>45182</v>
      </c>
      <c r="D1345" t="inlineStr">
        <is>
          <t>JÄMTLANDS LÄN</t>
        </is>
      </c>
      <c r="E1345" t="inlineStr">
        <is>
          <t>HÄRJEDALEN</t>
        </is>
      </c>
      <c r="G1345" t="n">
        <v>6.2</v>
      </c>
      <c r="H1345" t="n">
        <v>0</v>
      </c>
      <c r="I1345" t="n">
        <v>0</v>
      </c>
      <c r="J1345" t="n">
        <v>0</v>
      </c>
      <c r="K1345" t="n">
        <v>0</v>
      </c>
      <c r="L1345" t="n">
        <v>0</v>
      </c>
      <c r="M1345" t="n">
        <v>0</v>
      </c>
      <c r="N1345" t="n">
        <v>0</v>
      </c>
      <c r="O1345" t="n">
        <v>0</v>
      </c>
      <c r="P1345" t="n">
        <v>0</v>
      </c>
      <c r="Q1345" t="n">
        <v>0</v>
      </c>
      <c r="R1345" s="2" t="inlineStr"/>
    </row>
    <row r="1346" ht="15" customHeight="1">
      <c r="A1346" t="inlineStr">
        <is>
          <t>A 59396-2018</t>
        </is>
      </c>
      <c r="B1346" s="1" t="n">
        <v>43418</v>
      </c>
      <c r="C1346" s="1" t="n">
        <v>45182</v>
      </c>
      <c r="D1346" t="inlineStr">
        <is>
          <t>JÄMTLANDS LÄN</t>
        </is>
      </c>
      <c r="E1346" t="inlineStr">
        <is>
          <t>HÄRJEDALEN</t>
        </is>
      </c>
      <c r="G1346" t="n">
        <v>2.2</v>
      </c>
      <c r="H1346" t="n">
        <v>0</v>
      </c>
      <c r="I1346" t="n">
        <v>0</v>
      </c>
      <c r="J1346" t="n">
        <v>0</v>
      </c>
      <c r="K1346" t="n">
        <v>0</v>
      </c>
      <c r="L1346" t="n">
        <v>0</v>
      </c>
      <c r="M1346" t="n">
        <v>0</v>
      </c>
      <c r="N1346" t="n">
        <v>0</v>
      </c>
      <c r="O1346" t="n">
        <v>0</v>
      </c>
      <c r="P1346" t="n">
        <v>0</v>
      </c>
      <c r="Q1346" t="n">
        <v>0</v>
      </c>
      <c r="R1346" s="2" t="inlineStr"/>
    </row>
    <row r="1347" ht="15" customHeight="1">
      <c r="A1347" t="inlineStr">
        <is>
          <t>A 59398-2018</t>
        </is>
      </c>
      <c r="B1347" s="1" t="n">
        <v>43418</v>
      </c>
      <c r="C1347" s="1" t="n">
        <v>45182</v>
      </c>
      <c r="D1347" t="inlineStr">
        <is>
          <t>JÄMTLANDS LÄN</t>
        </is>
      </c>
      <c r="E1347" t="inlineStr">
        <is>
          <t>HÄRJEDALEN</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63072-2018</t>
        </is>
      </c>
      <c r="B1348" s="1" t="n">
        <v>43418</v>
      </c>
      <c r="C1348" s="1" t="n">
        <v>45182</v>
      </c>
      <c r="D1348" t="inlineStr">
        <is>
          <t>JÄMTLANDS LÄN</t>
        </is>
      </c>
      <c r="E1348" t="inlineStr">
        <is>
          <t>RAGUNDA</t>
        </is>
      </c>
      <c r="G1348" t="n">
        <v>6.6</v>
      </c>
      <c r="H1348" t="n">
        <v>0</v>
      </c>
      <c r="I1348" t="n">
        <v>0</v>
      </c>
      <c r="J1348" t="n">
        <v>0</v>
      </c>
      <c r="K1348" t="n">
        <v>0</v>
      </c>
      <c r="L1348" t="n">
        <v>0</v>
      </c>
      <c r="M1348" t="n">
        <v>0</v>
      </c>
      <c r="N1348" t="n">
        <v>0</v>
      </c>
      <c r="O1348" t="n">
        <v>0</v>
      </c>
      <c r="P1348" t="n">
        <v>0</v>
      </c>
      <c r="Q1348" t="n">
        <v>0</v>
      </c>
      <c r="R1348" s="2" t="inlineStr"/>
    </row>
    <row r="1349" ht="15" customHeight="1">
      <c r="A1349" t="inlineStr">
        <is>
          <t>A 63100-2018</t>
        </is>
      </c>
      <c r="B1349" s="1" t="n">
        <v>43418</v>
      </c>
      <c r="C1349" s="1" t="n">
        <v>45182</v>
      </c>
      <c r="D1349" t="inlineStr">
        <is>
          <t>JÄMTLANDS LÄN</t>
        </is>
      </c>
      <c r="E1349" t="inlineStr">
        <is>
          <t>BRÄCKE</t>
        </is>
      </c>
      <c r="G1349" t="n">
        <v>6.1</v>
      </c>
      <c r="H1349" t="n">
        <v>0</v>
      </c>
      <c r="I1349" t="n">
        <v>0</v>
      </c>
      <c r="J1349" t="n">
        <v>0</v>
      </c>
      <c r="K1349" t="n">
        <v>0</v>
      </c>
      <c r="L1349" t="n">
        <v>0</v>
      </c>
      <c r="M1349" t="n">
        <v>0</v>
      </c>
      <c r="N1349" t="n">
        <v>0</v>
      </c>
      <c r="O1349" t="n">
        <v>0</v>
      </c>
      <c r="P1349" t="n">
        <v>0</v>
      </c>
      <c r="Q1349" t="n">
        <v>0</v>
      </c>
      <c r="R1349" s="2" t="inlineStr"/>
    </row>
    <row r="1350" ht="15" customHeight="1">
      <c r="A1350" t="inlineStr">
        <is>
          <t>A 63160-2018</t>
        </is>
      </c>
      <c r="B1350" s="1" t="n">
        <v>43418</v>
      </c>
      <c r="C1350" s="1" t="n">
        <v>45182</v>
      </c>
      <c r="D1350" t="inlineStr">
        <is>
          <t>JÄMTLANDS LÄN</t>
        </is>
      </c>
      <c r="E1350" t="inlineStr">
        <is>
          <t>HÄRJEDALEN</t>
        </is>
      </c>
      <c r="G1350" t="n">
        <v>22.6</v>
      </c>
      <c r="H1350" t="n">
        <v>0</v>
      </c>
      <c r="I1350" t="n">
        <v>0</v>
      </c>
      <c r="J1350" t="n">
        <v>0</v>
      </c>
      <c r="K1350" t="n">
        <v>0</v>
      </c>
      <c r="L1350" t="n">
        <v>0</v>
      </c>
      <c r="M1350" t="n">
        <v>0</v>
      </c>
      <c r="N1350" t="n">
        <v>0</v>
      </c>
      <c r="O1350" t="n">
        <v>0</v>
      </c>
      <c r="P1350" t="n">
        <v>0</v>
      </c>
      <c r="Q1350" t="n">
        <v>0</v>
      </c>
      <c r="R1350" s="2" t="inlineStr"/>
    </row>
    <row r="1351" ht="15" customHeight="1">
      <c r="A1351" t="inlineStr">
        <is>
          <t>A 59916-2018</t>
        </is>
      </c>
      <c r="B1351" s="1" t="n">
        <v>43419</v>
      </c>
      <c r="C1351" s="1" t="n">
        <v>45182</v>
      </c>
      <c r="D1351" t="inlineStr">
        <is>
          <t>JÄMTLANDS LÄN</t>
        </is>
      </c>
      <c r="E1351" t="inlineStr">
        <is>
          <t>STRÖMSUND</t>
        </is>
      </c>
      <c r="F1351" t="inlineStr">
        <is>
          <t>SCA</t>
        </is>
      </c>
      <c r="G1351" t="n">
        <v>3.8</v>
      </c>
      <c r="H1351" t="n">
        <v>0</v>
      </c>
      <c r="I1351" t="n">
        <v>0</v>
      </c>
      <c r="J1351" t="n">
        <v>0</v>
      </c>
      <c r="K1351" t="n">
        <v>0</v>
      </c>
      <c r="L1351" t="n">
        <v>0</v>
      </c>
      <c r="M1351" t="n">
        <v>0</v>
      </c>
      <c r="N1351" t="n">
        <v>0</v>
      </c>
      <c r="O1351" t="n">
        <v>0</v>
      </c>
      <c r="P1351" t="n">
        <v>0</v>
      </c>
      <c r="Q1351" t="n">
        <v>0</v>
      </c>
      <c r="R1351" s="2" t="inlineStr"/>
    </row>
    <row r="1352" ht="15" customHeight="1">
      <c r="A1352" t="inlineStr">
        <is>
          <t>A 59923-2018</t>
        </is>
      </c>
      <c r="B1352" s="1" t="n">
        <v>43419</v>
      </c>
      <c r="C1352" s="1" t="n">
        <v>45182</v>
      </c>
      <c r="D1352" t="inlineStr">
        <is>
          <t>JÄMTLANDS LÄN</t>
        </is>
      </c>
      <c r="E1352" t="inlineStr">
        <is>
          <t>STRÖMSUND</t>
        </is>
      </c>
      <c r="F1352" t="inlineStr">
        <is>
          <t>SCA</t>
        </is>
      </c>
      <c r="G1352" t="n">
        <v>12.4</v>
      </c>
      <c r="H1352" t="n">
        <v>0</v>
      </c>
      <c r="I1352" t="n">
        <v>0</v>
      </c>
      <c r="J1352" t="n">
        <v>0</v>
      </c>
      <c r="K1352" t="n">
        <v>0</v>
      </c>
      <c r="L1352" t="n">
        <v>0</v>
      </c>
      <c r="M1352" t="n">
        <v>0</v>
      </c>
      <c r="N1352" t="n">
        <v>0</v>
      </c>
      <c r="O1352" t="n">
        <v>0</v>
      </c>
      <c r="P1352" t="n">
        <v>0</v>
      </c>
      <c r="Q1352" t="n">
        <v>0</v>
      </c>
      <c r="R1352" s="2" t="inlineStr"/>
    </row>
    <row r="1353" ht="15" customHeight="1">
      <c r="A1353" t="inlineStr">
        <is>
          <t>A 59931-2018</t>
        </is>
      </c>
      <c r="B1353" s="1" t="n">
        <v>43419</v>
      </c>
      <c r="C1353" s="1" t="n">
        <v>45182</v>
      </c>
      <c r="D1353" t="inlineStr">
        <is>
          <t>JÄMTLANDS LÄN</t>
        </is>
      </c>
      <c r="E1353" t="inlineStr">
        <is>
          <t>STRÖMSUND</t>
        </is>
      </c>
      <c r="F1353" t="inlineStr">
        <is>
          <t>SCA</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64205-2018</t>
        </is>
      </c>
      <c r="B1354" s="1" t="n">
        <v>43419</v>
      </c>
      <c r="C1354" s="1" t="n">
        <v>45182</v>
      </c>
      <c r="D1354" t="inlineStr">
        <is>
          <t>JÄMTLANDS LÄN</t>
        </is>
      </c>
      <c r="E1354" t="inlineStr">
        <is>
          <t>RAGUNDA</t>
        </is>
      </c>
      <c r="G1354" t="n">
        <v>3.5</v>
      </c>
      <c r="H1354" t="n">
        <v>0</v>
      </c>
      <c r="I1354" t="n">
        <v>0</v>
      </c>
      <c r="J1354" t="n">
        <v>0</v>
      </c>
      <c r="K1354" t="n">
        <v>0</v>
      </c>
      <c r="L1354" t="n">
        <v>0</v>
      </c>
      <c r="M1354" t="n">
        <v>0</v>
      </c>
      <c r="N1354" t="n">
        <v>0</v>
      </c>
      <c r="O1354" t="n">
        <v>0</v>
      </c>
      <c r="P1354" t="n">
        <v>0</v>
      </c>
      <c r="Q1354" t="n">
        <v>0</v>
      </c>
      <c r="R1354" s="2" t="inlineStr"/>
    </row>
    <row r="1355" ht="15" customHeight="1">
      <c r="A1355" t="inlineStr">
        <is>
          <t>A 64473-2018</t>
        </is>
      </c>
      <c r="B1355" s="1" t="n">
        <v>43419</v>
      </c>
      <c r="C1355" s="1" t="n">
        <v>45182</v>
      </c>
      <c r="D1355" t="inlineStr">
        <is>
          <t>JÄMTLANDS LÄN</t>
        </is>
      </c>
      <c r="E1355" t="inlineStr">
        <is>
          <t>ÖSTERSUND</t>
        </is>
      </c>
      <c r="G1355" t="n">
        <v>4.4</v>
      </c>
      <c r="H1355" t="n">
        <v>0</v>
      </c>
      <c r="I1355" t="n">
        <v>0</v>
      </c>
      <c r="J1355" t="n">
        <v>0</v>
      </c>
      <c r="K1355" t="n">
        <v>0</v>
      </c>
      <c r="L1355" t="n">
        <v>0</v>
      </c>
      <c r="M1355" t="n">
        <v>0</v>
      </c>
      <c r="N1355" t="n">
        <v>0</v>
      </c>
      <c r="O1355" t="n">
        <v>0</v>
      </c>
      <c r="P1355" t="n">
        <v>0</v>
      </c>
      <c r="Q1355" t="n">
        <v>0</v>
      </c>
      <c r="R1355" s="2" t="inlineStr"/>
    </row>
    <row r="1356" ht="15" customHeight="1">
      <c r="A1356" t="inlineStr">
        <is>
          <t>A 59918-2018</t>
        </is>
      </c>
      <c r="B1356" s="1" t="n">
        <v>43419</v>
      </c>
      <c r="C1356" s="1" t="n">
        <v>45182</v>
      </c>
      <c r="D1356" t="inlineStr">
        <is>
          <t>JÄMTLANDS LÄN</t>
        </is>
      </c>
      <c r="E1356" t="inlineStr">
        <is>
          <t>STRÖMSUND</t>
        </is>
      </c>
      <c r="F1356" t="inlineStr">
        <is>
          <t>SCA</t>
        </is>
      </c>
      <c r="G1356" t="n">
        <v>6.9</v>
      </c>
      <c r="H1356" t="n">
        <v>0</v>
      </c>
      <c r="I1356" t="n">
        <v>0</v>
      </c>
      <c r="J1356" t="n">
        <v>0</v>
      </c>
      <c r="K1356" t="n">
        <v>0</v>
      </c>
      <c r="L1356" t="n">
        <v>0</v>
      </c>
      <c r="M1356" t="n">
        <v>0</v>
      </c>
      <c r="N1356" t="n">
        <v>0</v>
      </c>
      <c r="O1356" t="n">
        <v>0</v>
      </c>
      <c r="P1356" t="n">
        <v>0</v>
      </c>
      <c r="Q1356" t="n">
        <v>0</v>
      </c>
      <c r="R1356" s="2" t="inlineStr"/>
    </row>
    <row r="1357" ht="15" customHeight="1">
      <c r="A1357" t="inlineStr">
        <is>
          <t>A 59927-2018</t>
        </is>
      </c>
      <c r="B1357" s="1" t="n">
        <v>43419</v>
      </c>
      <c r="C1357" s="1" t="n">
        <v>45182</v>
      </c>
      <c r="D1357" t="inlineStr">
        <is>
          <t>JÄMTLANDS LÄN</t>
        </is>
      </c>
      <c r="E1357" t="inlineStr">
        <is>
          <t>STRÖMSUND</t>
        </is>
      </c>
      <c r="F1357" t="inlineStr">
        <is>
          <t>SCA</t>
        </is>
      </c>
      <c r="G1357" t="n">
        <v>5.5</v>
      </c>
      <c r="H1357" t="n">
        <v>0</v>
      </c>
      <c r="I1357" t="n">
        <v>0</v>
      </c>
      <c r="J1357" t="n">
        <v>0</v>
      </c>
      <c r="K1357" t="n">
        <v>0</v>
      </c>
      <c r="L1357" t="n">
        <v>0</v>
      </c>
      <c r="M1357" t="n">
        <v>0</v>
      </c>
      <c r="N1357" t="n">
        <v>0</v>
      </c>
      <c r="O1357" t="n">
        <v>0</v>
      </c>
      <c r="P1357" t="n">
        <v>0</v>
      </c>
      <c r="Q1357" t="n">
        <v>0</v>
      </c>
      <c r="R1357" s="2" t="inlineStr"/>
    </row>
    <row r="1358" ht="15" customHeight="1">
      <c r="A1358" t="inlineStr">
        <is>
          <t>A 59683-2018</t>
        </is>
      </c>
      <c r="B1358" s="1" t="n">
        <v>43419</v>
      </c>
      <c r="C1358" s="1" t="n">
        <v>45182</v>
      </c>
      <c r="D1358" t="inlineStr">
        <is>
          <t>JÄMTLANDS LÄN</t>
        </is>
      </c>
      <c r="E1358" t="inlineStr">
        <is>
          <t>HÄRJEDALEN</t>
        </is>
      </c>
      <c r="F1358" t="inlineStr">
        <is>
          <t>Bergvik skog väst AB</t>
        </is>
      </c>
      <c r="G1358" t="n">
        <v>6.2</v>
      </c>
      <c r="H1358" t="n">
        <v>0</v>
      </c>
      <c r="I1358" t="n">
        <v>0</v>
      </c>
      <c r="J1358" t="n">
        <v>0</v>
      </c>
      <c r="K1358" t="n">
        <v>0</v>
      </c>
      <c r="L1358" t="n">
        <v>0</v>
      </c>
      <c r="M1358" t="n">
        <v>0</v>
      </c>
      <c r="N1358" t="n">
        <v>0</v>
      </c>
      <c r="O1358" t="n">
        <v>0</v>
      </c>
      <c r="P1358" t="n">
        <v>0</v>
      </c>
      <c r="Q1358" t="n">
        <v>0</v>
      </c>
      <c r="R1358" s="2" t="inlineStr"/>
    </row>
    <row r="1359" ht="15" customHeight="1">
      <c r="A1359" t="inlineStr">
        <is>
          <t>A 59898-2018</t>
        </is>
      </c>
      <c r="B1359" s="1" t="n">
        <v>43419</v>
      </c>
      <c r="C1359" s="1" t="n">
        <v>45182</v>
      </c>
      <c r="D1359" t="inlineStr">
        <is>
          <t>JÄMTLANDS LÄN</t>
        </is>
      </c>
      <c r="E1359" t="inlineStr">
        <is>
          <t>BERG</t>
        </is>
      </c>
      <c r="G1359" t="n">
        <v>7.2</v>
      </c>
      <c r="H1359" t="n">
        <v>0</v>
      </c>
      <c r="I1359" t="n">
        <v>0</v>
      </c>
      <c r="J1359" t="n">
        <v>0</v>
      </c>
      <c r="K1359" t="n">
        <v>0</v>
      </c>
      <c r="L1359" t="n">
        <v>0</v>
      </c>
      <c r="M1359" t="n">
        <v>0</v>
      </c>
      <c r="N1359" t="n">
        <v>0</v>
      </c>
      <c r="O1359" t="n">
        <v>0</v>
      </c>
      <c r="P1359" t="n">
        <v>0</v>
      </c>
      <c r="Q1359" t="n">
        <v>0</v>
      </c>
      <c r="R1359" s="2" t="inlineStr"/>
    </row>
    <row r="1360" ht="15" customHeight="1">
      <c r="A1360" t="inlineStr">
        <is>
          <t>A 59914-2018</t>
        </is>
      </c>
      <c r="B1360" s="1" t="n">
        <v>43419</v>
      </c>
      <c r="C1360" s="1" t="n">
        <v>45182</v>
      </c>
      <c r="D1360" t="inlineStr">
        <is>
          <t>JÄMTLANDS LÄN</t>
        </is>
      </c>
      <c r="E1360" t="inlineStr">
        <is>
          <t>STRÖMSUND</t>
        </is>
      </c>
      <c r="F1360" t="inlineStr">
        <is>
          <t>SCA</t>
        </is>
      </c>
      <c r="G1360" t="n">
        <v>14.2</v>
      </c>
      <c r="H1360" t="n">
        <v>0</v>
      </c>
      <c r="I1360" t="n">
        <v>0</v>
      </c>
      <c r="J1360" t="n">
        <v>0</v>
      </c>
      <c r="K1360" t="n">
        <v>0</v>
      </c>
      <c r="L1360" t="n">
        <v>0</v>
      </c>
      <c r="M1360" t="n">
        <v>0</v>
      </c>
      <c r="N1360" t="n">
        <v>0</v>
      </c>
      <c r="O1360" t="n">
        <v>0</v>
      </c>
      <c r="P1360" t="n">
        <v>0</v>
      </c>
      <c r="Q1360" t="n">
        <v>0</v>
      </c>
      <c r="R1360" s="2" t="inlineStr"/>
    </row>
    <row r="1361" ht="15" customHeight="1">
      <c r="A1361" t="inlineStr">
        <is>
          <t>A 59921-2018</t>
        </is>
      </c>
      <c r="B1361" s="1" t="n">
        <v>43419</v>
      </c>
      <c r="C1361" s="1" t="n">
        <v>45182</v>
      </c>
      <c r="D1361" t="inlineStr">
        <is>
          <t>JÄMTLANDS LÄN</t>
        </is>
      </c>
      <c r="E1361" t="inlineStr">
        <is>
          <t>STRÖMSUND</t>
        </is>
      </c>
      <c r="F1361" t="inlineStr">
        <is>
          <t>SCA</t>
        </is>
      </c>
      <c r="G1361" t="n">
        <v>5.7</v>
      </c>
      <c r="H1361" t="n">
        <v>0</v>
      </c>
      <c r="I1361" t="n">
        <v>0</v>
      </c>
      <c r="J1361" t="n">
        <v>0</v>
      </c>
      <c r="K1361" t="n">
        <v>0</v>
      </c>
      <c r="L1361" t="n">
        <v>0</v>
      </c>
      <c r="M1361" t="n">
        <v>0</v>
      </c>
      <c r="N1361" t="n">
        <v>0</v>
      </c>
      <c r="O1361" t="n">
        <v>0</v>
      </c>
      <c r="P1361" t="n">
        <v>0</v>
      </c>
      <c r="Q1361" t="n">
        <v>0</v>
      </c>
      <c r="R1361" s="2" t="inlineStr"/>
    </row>
    <row r="1362" ht="15" customHeight="1">
      <c r="A1362" t="inlineStr">
        <is>
          <t>A 59929-2018</t>
        </is>
      </c>
      <c r="B1362" s="1" t="n">
        <v>43419</v>
      </c>
      <c r="C1362" s="1" t="n">
        <v>45182</v>
      </c>
      <c r="D1362" t="inlineStr">
        <is>
          <t>JÄMTLANDS LÄN</t>
        </is>
      </c>
      <c r="E1362" t="inlineStr">
        <is>
          <t>STRÖMSUND</t>
        </is>
      </c>
      <c r="F1362" t="inlineStr">
        <is>
          <t>SCA</t>
        </is>
      </c>
      <c r="G1362" t="n">
        <v>5.3</v>
      </c>
      <c r="H1362" t="n">
        <v>0</v>
      </c>
      <c r="I1362" t="n">
        <v>0</v>
      </c>
      <c r="J1362" t="n">
        <v>0</v>
      </c>
      <c r="K1362" t="n">
        <v>0</v>
      </c>
      <c r="L1362" t="n">
        <v>0</v>
      </c>
      <c r="M1362" t="n">
        <v>0</v>
      </c>
      <c r="N1362" t="n">
        <v>0</v>
      </c>
      <c r="O1362" t="n">
        <v>0</v>
      </c>
      <c r="P1362" t="n">
        <v>0</v>
      </c>
      <c r="Q1362" t="n">
        <v>0</v>
      </c>
      <c r="R1362" s="2" t="inlineStr"/>
    </row>
    <row r="1363" ht="15" customHeight="1">
      <c r="A1363" t="inlineStr">
        <is>
          <t>A 59751-2018</t>
        </is>
      </c>
      <c r="B1363" s="1" t="n">
        <v>43419</v>
      </c>
      <c r="C1363" s="1" t="n">
        <v>45182</v>
      </c>
      <c r="D1363" t="inlineStr">
        <is>
          <t>JÄMTLANDS LÄN</t>
        </is>
      </c>
      <c r="E1363" t="inlineStr">
        <is>
          <t>HÄRJEDALEN</t>
        </is>
      </c>
      <c r="F1363" t="inlineStr">
        <is>
          <t>Bergvik skog väst AB</t>
        </is>
      </c>
      <c r="G1363" t="n">
        <v>9.800000000000001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59919-2018</t>
        </is>
      </c>
      <c r="B1364" s="1" t="n">
        <v>43419</v>
      </c>
      <c r="C1364" s="1" t="n">
        <v>45182</v>
      </c>
      <c r="D1364" t="inlineStr">
        <is>
          <t>JÄMTLANDS LÄN</t>
        </is>
      </c>
      <c r="E1364" t="inlineStr">
        <is>
          <t>STRÖMSUND</t>
        </is>
      </c>
      <c r="F1364" t="inlineStr">
        <is>
          <t>SCA</t>
        </is>
      </c>
      <c r="G1364" t="n">
        <v>3.4</v>
      </c>
      <c r="H1364" t="n">
        <v>0</v>
      </c>
      <c r="I1364" t="n">
        <v>0</v>
      </c>
      <c r="J1364" t="n">
        <v>0</v>
      </c>
      <c r="K1364" t="n">
        <v>0</v>
      </c>
      <c r="L1364" t="n">
        <v>0</v>
      </c>
      <c r="M1364" t="n">
        <v>0</v>
      </c>
      <c r="N1364" t="n">
        <v>0</v>
      </c>
      <c r="O1364" t="n">
        <v>0</v>
      </c>
      <c r="P1364" t="n">
        <v>0</v>
      </c>
      <c r="Q1364" t="n">
        <v>0</v>
      </c>
      <c r="R1364" s="2" t="inlineStr"/>
    </row>
    <row r="1365" ht="15" customHeight="1">
      <c r="A1365" t="inlineStr">
        <is>
          <t>A 59928-2018</t>
        </is>
      </c>
      <c r="B1365" s="1" t="n">
        <v>43419</v>
      </c>
      <c r="C1365" s="1" t="n">
        <v>45182</v>
      </c>
      <c r="D1365" t="inlineStr">
        <is>
          <t>JÄMTLANDS LÄN</t>
        </is>
      </c>
      <c r="E1365" t="inlineStr">
        <is>
          <t>STRÖMSUND</t>
        </is>
      </c>
      <c r="F1365" t="inlineStr">
        <is>
          <t>SCA</t>
        </is>
      </c>
      <c r="G1365" t="n">
        <v>3.8</v>
      </c>
      <c r="H1365" t="n">
        <v>0</v>
      </c>
      <c r="I1365" t="n">
        <v>0</v>
      </c>
      <c r="J1365" t="n">
        <v>0</v>
      </c>
      <c r="K1365" t="n">
        <v>0</v>
      </c>
      <c r="L1365" t="n">
        <v>0</v>
      </c>
      <c r="M1365" t="n">
        <v>0</v>
      </c>
      <c r="N1365" t="n">
        <v>0</v>
      </c>
      <c r="O1365" t="n">
        <v>0</v>
      </c>
      <c r="P1365" t="n">
        <v>0</v>
      </c>
      <c r="Q1365" t="n">
        <v>0</v>
      </c>
      <c r="R1365" s="2" t="inlineStr"/>
    </row>
    <row r="1366" ht="15" customHeight="1">
      <c r="A1366" t="inlineStr">
        <is>
          <t>A 59947-2018</t>
        </is>
      </c>
      <c r="B1366" s="1" t="n">
        <v>43420</v>
      </c>
      <c r="C1366" s="1" t="n">
        <v>45182</v>
      </c>
      <c r="D1366" t="inlineStr">
        <is>
          <t>JÄMTLANDS LÄN</t>
        </is>
      </c>
      <c r="E1366" t="inlineStr">
        <is>
          <t>BRÄCKE</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60086-2018</t>
        </is>
      </c>
      <c r="B1367" s="1" t="n">
        <v>43420</v>
      </c>
      <c r="C1367" s="1" t="n">
        <v>45182</v>
      </c>
      <c r="D1367" t="inlineStr">
        <is>
          <t>JÄMTLANDS LÄN</t>
        </is>
      </c>
      <c r="E1367" t="inlineStr">
        <is>
          <t>HÄRJEDALEN</t>
        </is>
      </c>
      <c r="F1367" t="inlineStr">
        <is>
          <t>Bergvik skog väst AB</t>
        </is>
      </c>
      <c r="G1367" t="n">
        <v>25.8</v>
      </c>
      <c r="H1367" t="n">
        <v>0</v>
      </c>
      <c r="I1367" t="n">
        <v>0</v>
      </c>
      <c r="J1367" t="n">
        <v>0</v>
      </c>
      <c r="K1367" t="n">
        <v>0</v>
      </c>
      <c r="L1367" t="n">
        <v>0</v>
      </c>
      <c r="M1367" t="n">
        <v>0</v>
      </c>
      <c r="N1367" t="n">
        <v>0</v>
      </c>
      <c r="O1367" t="n">
        <v>0</v>
      </c>
      <c r="P1367" t="n">
        <v>0</v>
      </c>
      <c r="Q1367" t="n">
        <v>0</v>
      </c>
      <c r="R1367" s="2" t="inlineStr"/>
    </row>
    <row r="1368" ht="15" customHeight="1">
      <c r="A1368" t="inlineStr">
        <is>
          <t>A 60348-2018</t>
        </is>
      </c>
      <c r="B1368" s="1" t="n">
        <v>43420</v>
      </c>
      <c r="C1368" s="1" t="n">
        <v>45182</v>
      </c>
      <c r="D1368" t="inlineStr">
        <is>
          <t>JÄMTLANDS LÄN</t>
        </is>
      </c>
      <c r="E1368" t="inlineStr">
        <is>
          <t>HÄRJEDALEN</t>
        </is>
      </c>
      <c r="F1368" t="inlineStr">
        <is>
          <t>Övriga Aktiebolag</t>
        </is>
      </c>
      <c r="G1368" t="n">
        <v>2.8</v>
      </c>
      <c r="H1368" t="n">
        <v>0</v>
      </c>
      <c r="I1368" t="n">
        <v>0</v>
      </c>
      <c r="J1368" t="n">
        <v>0</v>
      </c>
      <c r="K1368" t="n">
        <v>0</v>
      </c>
      <c r="L1368" t="n">
        <v>0</v>
      </c>
      <c r="M1368" t="n">
        <v>0</v>
      </c>
      <c r="N1368" t="n">
        <v>0</v>
      </c>
      <c r="O1368" t="n">
        <v>0</v>
      </c>
      <c r="P1368" t="n">
        <v>0</v>
      </c>
      <c r="Q1368" t="n">
        <v>0</v>
      </c>
      <c r="R1368" s="2" t="inlineStr"/>
    </row>
    <row r="1369" ht="15" customHeight="1">
      <c r="A1369" t="inlineStr">
        <is>
          <t>A 60511-2018</t>
        </is>
      </c>
      <c r="B1369" s="1" t="n">
        <v>43420</v>
      </c>
      <c r="C1369" s="1" t="n">
        <v>45182</v>
      </c>
      <c r="D1369" t="inlineStr">
        <is>
          <t>JÄMTLANDS LÄN</t>
        </is>
      </c>
      <c r="E1369" t="inlineStr">
        <is>
          <t>KROKOM</t>
        </is>
      </c>
      <c r="F1369" t="inlineStr">
        <is>
          <t>Övriga Aktiebolag</t>
        </is>
      </c>
      <c r="G1369" t="n">
        <v>5.8</v>
      </c>
      <c r="H1369" t="n">
        <v>0</v>
      </c>
      <c r="I1369" t="n">
        <v>0</v>
      </c>
      <c r="J1369" t="n">
        <v>0</v>
      </c>
      <c r="K1369" t="n">
        <v>0</v>
      </c>
      <c r="L1369" t="n">
        <v>0</v>
      </c>
      <c r="M1369" t="n">
        <v>0</v>
      </c>
      <c r="N1369" t="n">
        <v>0</v>
      </c>
      <c r="O1369" t="n">
        <v>0</v>
      </c>
      <c r="P1369" t="n">
        <v>0</v>
      </c>
      <c r="Q1369" t="n">
        <v>0</v>
      </c>
      <c r="R1369" s="2" t="inlineStr"/>
    </row>
    <row r="1370" ht="15" customHeight="1">
      <c r="A1370" t="inlineStr">
        <is>
          <t>A 61036-2018</t>
        </is>
      </c>
      <c r="B1370" s="1" t="n">
        <v>43423</v>
      </c>
      <c r="C1370" s="1" t="n">
        <v>45182</v>
      </c>
      <c r="D1370" t="inlineStr">
        <is>
          <t>JÄMTLANDS LÄN</t>
        </is>
      </c>
      <c r="E1370" t="inlineStr">
        <is>
          <t>RAGUNDA</t>
        </is>
      </c>
      <c r="G1370" t="n">
        <v>4</v>
      </c>
      <c r="H1370" t="n">
        <v>0</v>
      </c>
      <c r="I1370" t="n">
        <v>0</v>
      </c>
      <c r="J1370" t="n">
        <v>0</v>
      </c>
      <c r="K1370" t="n">
        <v>0</v>
      </c>
      <c r="L1370" t="n">
        <v>0</v>
      </c>
      <c r="M1370" t="n">
        <v>0</v>
      </c>
      <c r="N1370" t="n">
        <v>0</v>
      </c>
      <c r="O1370" t="n">
        <v>0</v>
      </c>
      <c r="P1370" t="n">
        <v>0</v>
      </c>
      <c r="Q1370" t="n">
        <v>0</v>
      </c>
      <c r="R1370" s="2" t="inlineStr"/>
    </row>
    <row r="1371" ht="15" customHeight="1">
      <c r="A1371" t="inlineStr">
        <is>
          <t>A 61198-2018</t>
        </is>
      </c>
      <c r="B1371" s="1" t="n">
        <v>43423</v>
      </c>
      <c r="C1371" s="1" t="n">
        <v>45182</v>
      </c>
      <c r="D1371" t="inlineStr">
        <is>
          <t>JÄMTLANDS LÄN</t>
        </is>
      </c>
      <c r="E1371" t="inlineStr">
        <is>
          <t>ÅRE</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61002-2018</t>
        </is>
      </c>
      <c r="B1372" s="1" t="n">
        <v>43423</v>
      </c>
      <c r="C1372" s="1" t="n">
        <v>45182</v>
      </c>
      <c r="D1372" t="inlineStr">
        <is>
          <t>JÄMTLANDS LÄN</t>
        </is>
      </c>
      <c r="E1372" t="inlineStr">
        <is>
          <t>ÅRE</t>
        </is>
      </c>
      <c r="G1372" t="n">
        <v>3.5</v>
      </c>
      <c r="H1372" t="n">
        <v>0</v>
      </c>
      <c r="I1372" t="n">
        <v>0</v>
      </c>
      <c r="J1372" t="n">
        <v>0</v>
      </c>
      <c r="K1372" t="n">
        <v>0</v>
      </c>
      <c r="L1372" t="n">
        <v>0</v>
      </c>
      <c r="M1372" t="n">
        <v>0</v>
      </c>
      <c r="N1372" t="n">
        <v>0</v>
      </c>
      <c r="O1372" t="n">
        <v>0</v>
      </c>
      <c r="P1372" t="n">
        <v>0</v>
      </c>
      <c r="Q1372" t="n">
        <v>0</v>
      </c>
      <c r="R1372" s="2" t="inlineStr"/>
    </row>
    <row r="1373" ht="15" customHeight="1">
      <c r="A1373" t="inlineStr">
        <is>
          <t>A 61032-2018</t>
        </is>
      </c>
      <c r="B1373" s="1" t="n">
        <v>43423</v>
      </c>
      <c r="C1373" s="1" t="n">
        <v>45182</v>
      </c>
      <c r="D1373" t="inlineStr">
        <is>
          <t>JÄMTLANDS LÄN</t>
        </is>
      </c>
      <c r="E1373" t="inlineStr">
        <is>
          <t>ÅRE</t>
        </is>
      </c>
      <c r="G1373" t="n">
        <v>0.8</v>
      </c>
      <c r="H1373" t="n">
        <v>0</v>
      </c>
      <c r="I1373" t="n">
        <v>0</v>
      </c>
      <c r="J1373" t="n">
        <v>0</v>
      </c>
      <c r="K1373" t="n">
        <v>0</v>
      </c>
      <c r="L1373" t="n">
        <v>0</v>
      </c>
      <c r="M1373" t="n">
        <v>0</v>
      </c>
      <c r="N1373" t="n">
        <v>0</v>
      </c>
      <c r="O1373" t="n">
        <v>0</v>
      </c>
      <c r="P1373" t="n">
        <v>0</v>
      </c>
      <c r="Q1373" t="n">
        <v>0</v>
      </c>
      <c r="R1373" s="2" t="inlineStr"/>
    </row>
    <row r="1374" ht="15" customHeight="1">
      <c r="A1374" t="inlineStr">
        <is>
          <t>A 61054-2018</t>
        </is>
      </c>
      <c r="B1374" s="1" t="n">
        <v>43423</v>
      </c>
      <c r="C1374" s="1" t="n">
        <v>45182</v>
      </c>
      <c r="D1374" t="inlineStr">
        <is>
          <t>JÄMTLANDS LÄN</t>
        </is>
      </c>
      <c r="E1374" t="inlineStr">
        <is>
          <t>ÅRE</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61223-2018</t>
        </is>
      </c>
      <c r="B1375" s="1" t="n">
        <v>43423</v>
      </c>
      <c r="C1375" s="1" t="n">
        <v>45182</v>
      </c>
      <c r="D1375" t="inlineStr">
        <is>
          <t>JÄMTLANDS LÄN</t>
        </is>
      </c>
      <c r="E1375" t="inlineStr">
        <is>
          <t>BERG</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61261-2018</t>
        </is>
      </c>
      <c r="B1376" s="1" t="n">
        <v>43423</v>
      </c>
      <c r="C1376" s="1" t="n">
        <v>45182</v>
      </c>
      <c r="D1376" t="inlineStr">
        <is>
          <t>JÄMTLANDS LÄN</t>
        </is>
      </c>
      <c r="E1376" t="inlineStr">
        <is>
          <t>KROKOM</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61015-2018</t>
        </is>
      </c>
      <c r="B1377" s="1" t="n">
        <v>43423</v>
      </c>
      <c r="C1377" s="1" t="n">
        <v>45182</v>
      </c>
      <c r="D1377" t="inlineStr">
        <is>
          <t>JÄMTLANDS LÄN</t>
        </is>
      </c>
      <c r="E1377" t="inlineStr">
        <is>
          <t>ÅRE</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61062-2018</t>
        </is>
      </c>
      <c r="B1378" s="1" t="n">
        <v>43423</v>
      </c>
      <c r="C1378" s="1" t="n">
        <v>45182</v>
      </c>
      <c r="D1378" t="inlineStr">
        <is>
          <t>JÄMTLANDS LÄN</t>
        </is>
      </c>
      <c r="E1378" t="inlineStr">
        <is>
          <t>ÅRE</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61262-2018</t>
        </is>
      </c>
      <c r="B1379" s="1" t="n">
        <v>43423</v>
      </c>
      <c r="C1379" s="1" t="n">
        <v>45182</v>
      </c>
      <c r="D1379" t="inlineStr">
        <is>
          <t>JÄMTLANDS LÄN</t>
        </is>
      </c>
      <c r="E1379" t="inlineStr">
        <is>
          <t>KROKOM</t>
        </is>
      </c>
      <c r="G1379" t="n">
        <v>0.1</v>
      </c>
      <c r="H1379" t="n">
        <v>0</v>
      </c>
      <c r="I1379" t="n">
        <v>0</v>
      </c>
      <c r="J1379" t="n">
        <v>0</v>
      </c>
      <c r="K1379" t="n">
        <v>0</v>
      </c>
      <c r="L1379" t="n">
        <v>0</v>
      </c>
      <c r="M1379" t="n">
        <v>0</v>
      </c>
      <c r="N1379" t="n">
        <v>0</v>
      </c>
      <c r="O1379" t="n">
        <v>0</v>
      </c>
      <c r="P1379" t="n">
        <v>0</v>
      </c>
      <c r="Q1379" t="n">
        <v>0</v>
      </c>
      <c r="R1379" s="2" t="inlineStr"/>
    </row>
    <row r="1380" ht="15" customHeight="1">
      <c r="A1380" t="inlineStr">
        <is>
          <t>A 61016-2018</t>
        </is>
      </c>
      <c r="B1380" s="1" t="n">
        <v>43423</v>
      </c>
      <c r="C1380" s="1" t="n">
        <v>45182</v>
      </c>
      <c r="D1380" t="inlineStr">
        <is>
          <t>JÄMTLANDS LÄN</t>
        </is>
      </c>
      <c r="E1380" t="inlineStr">
        <is>
          <t>HÄRJEDALEN</t>
        </is>
      </c>
      <c r="G1380" t="n">
        <v>4.2</v>
      </c>
      <c r="H1380" t="n">
        <v>0</v>
      </c>
      <c r="I1380" t="n">
        <v>0</v>
      </c>
      <c r="J1380" t="n">
        <v>0</v>
      </c>
      <c r="K1380" t="n">
        <v>0</v>
      </c>
      <c r="L1380" t="n">
        <v>0</v>
      </c>
      <c r="M1380" t="n">
        <v>0</v>
      </c>
      <c r="N1380" t="n">
        <v>0</v>
      </c>
      <c r="O1380" t="n">
        <v>0</v>
      </c>
      <c r="P1380" t="n">
        <v>0</v>
      </c>
      <c r="Q1380" t="n">
        <v>0</v>
      </c>
      <c r="R1380" s="2" t="inlineStr"/>
    </row>
    <row r="1381" ht="15" customHeight="1">
      <c r="A1381" t="inlineStr">
        <is>
          <t>A 61282-2018</t>
        </is>
      </c>
      <c r="B1381" s="1" t="n">
        <v>43423</v>
      </c>
      <c r="C1381" s="1" t="n">
        <v>45182</v>
      </c>
      <c r="D1381" t="inlineStr">
        <is>
          <t>JÄMTLANDS LÄN</t>
        </is>
      </c>
      <c r="E1381" t="inlineStr">
        <is>
          <t>STRÖMSUND</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64738-2018</t>
        </is>
      </c>
      <c r="B1382" s="1" t="n">
        <v>43423</v>
      </c>
      <c r="C1382" s="1" t="n">
        <v>45182</v>
      </c>
      <c r="D1382" t="inlineStr">
        <is>
          <t>JÄMTLANDS LÄN</t>
        </is>
      </c>
      <c r="E1382" t="inlineStr">
        <is>
          <t>RAGUNDA</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65165-2018</t>
        </is>
      </c>
      <c r="B1383" s="1" t="n">
        <v>43423</v>
      </c>
      <c r="C1383" s="1" t="n">
        <v>45182</v>
      </c>
      <c r="D1383" t="inlineStr">
        <is>
          <t>JÄMTLANDS LÄN</t>
        </is>
      </c>
      <c r="E1383" t="inlineStr">
        <is>
          <t>ÖSTERSUND</t>
        </is>
      </c>
      <c r="G1383" t="n">
        <v>19.9</v>
      </c>
      <c r="H1383" t="n">
        <v>0</v>
      </c>
      <c r="I1383" t="n">
        <v>0</v>
      </c>
      <c r="J1383" t="n">
        <v>0</v>
      </c>
      <c r="K1383" t="n">
        <v>0</v>
      </c>
      <c r="L1383" t="n">
        <v>0</v>
      </c>
      <c r="M1383" t="n">
        <v>0</v>
      </c>
      <c r="N1383" t="n">
        <v>0</v>
      </c>
      <c r="O1383" t="n">
        <v>0</v>
      </c>
      <c r="P1383" t="n">
        <v>0</v>
      </c>
      <c r="Q1383" t="n">
        <v>0</v>
      </c>
      <c r="R1383" s="2" t="inlineStr"/>
    </row>
    <row r="1384" ht="15" customHeight="1">
      <c r="A1384" t="inlineStr">
        <is>
          <t>A 61499-2018</t>
        </is>
      </c>
      <c r="B1384" s="1" t="n">
        <v>43424</v>
      </c>
      <c r="C1384" s="1" t="n">
        <v>45182</v>
      </c>
      <c r="D1384" t="inlineStr">
        <is>
          <t>JÄMTLANDS LÄN</t>
        </is>
      </c>
      <c r="E1384" t="inlineStr">
        <is>
          <t>ÅRE</t>
        </is>
      </c>
      <c r="G1384" t="n">
        <v>20.6</v>
      </c>
      <c r="H1384" t="n">
        <v>0</v>
      </c>
      <c r="I1384" t="n">
        <v>0</v>
      </c>
      <c r="J1384" t="n">
        <v>0</v>
      </c>
      <c r="K1384" t="n">
        <v>0</v>
      </c>
      <c r="L1384" t="n">
        <v>0</v>
      </c>
      <c r="M1384" t="n">
        <v>0</v>
      </c>
      <c r="N1384" t="n">
        <v>0</v>
      </c>
      <c r="O1384" t="n">
        <v>0</v>
      </c>
      <c r="P1384" t="n">
        <v>0</v>
      </c>
      <c r="Q1384" t="n">
        <v>0</v>
      </c>
      <c r="R1384" s="2" t="inlineStr"/>
    </row>
    <row r="1385" ht="15" customHeight="1">
      <c r="A1385" t="inlineStr">
        <is>
          <t>A 61651-2018</t>
        </is>
      </c>
      <c r="B1385" s="1" t="n">
        <v>43424</v>
      </c>
      <c r="C1385" s="1" t="n">
        <v>45182</v>
      </c>
      <c r="D1385" t="inlineStr">
        <is>
          <t>JÄMTLANDS LÄN</t>
        </is>
      </c>
      <c r="E1385" t="inlineStr">
        <is>
          <t>STRÖMSUND</t>
        </is>
      </c>
      <c r="F1385" t="inlineStr">
        <is>
          <t>SCA</t>
        </is>
      </c>
      <c r="G1385" t="n">
        <v>10.5</v>
      </c>
      <c r="H1385" t="n">
        <v>0</v>
      </c>
      <c r="I1385" t="n">
        <v>0</v>
      </c>
      <c r="J1385" t="n">
        <v>0</v>
      </c>
      <c r="K1385" t="n">
        <v>0</v>
      </c>
      <c r="L1385" t="n">
        <v>0</v>
      </c>
      <c r="M1385" t="n">
        <v>0</v>
      </c>
      <c r="N1385" t="n">
        <v>0</v>
      </c>
      <c r="O1385" t="n">
        <v>0</v>
      </c>
      <c r="P1385" t="n">
        <v>0</v>
      </c>
      <c r="Q1385" t="n">
        <v>0</v>
      </c>
      <c r="R1385" s="2" t="inlineStr"/>
    </row>
    <row r="1386" ht="15" customHeight="1">
      <c r="A1386" t="inlineStr">
        <is>
          <t>A 61508-2018</t>
        </is>
      </c>
      <c r="B1386" s="1" t="n">
        <v>43424</v>
      </c>
      <c r="C1386" s="1" t="n">
        <v>45182</v>
      </c>
      <c r="D1386" t="inlineStr">
        <is>
          <t>JÄMTLANDS LÄN</t>
        </is>
      </c>
      <c r="E1386" t="inlineStr">
        <is>
          <t>ÅRE</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61652-2018</t>
        </is>
      </c>
      <c r="B1387" s="1" t="n">
        <v>43424</v>
      </c>
      <c r="C1387" s="1" t="n">
        <v>45182</v>
      </c>
      <c r="D1387" t="inlineStr">
        <is>
          <t>JÄMTLANDS LÄN</t>
        </is>
      </c>
      <c r="E1387" t="inlineStr">
        <is>
          <t>STRÖMSUND</t>
        </is>
      </c>
      <c r="F1387" t="inlineStr">
        <is>
          <t>SCA</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61822-2018</t>
        </is>
      </c>
      <c r="B1388" s="1" t="n">
        <v>43425</v>
      </c>
      <c r="C1388" s="1" t="n">
        <v>45182</v>
      </c>
      <c r="D1388" t="inlineStr">
        <is>
          <t>JÄMTLANDS LÄN</t>
        </is>
      </c>
      <c r="E1388" t="inlineStr">
        <is>
          <t>ÖSTERSUND</t>
        </is>
      </c>
      <c r="G1388" t="n">
        <v>4.7</v>
      </c>
      <c r="H1388" t="n">
        <v>0</v>
      </c>
      <c r="I1388" t="n">
        <v>0</v>
      </c>
      <c r="J1388" t="n">
        <v>0</v>
      </c>
      <c r="K1388" t="n">
        <v>0</v>
      </c>
      <c r="L1388" t="n">
        <v>0</v>
      </c>
      <c r="M1388" t="n">
        <v>0</v>
      </c>
      <c r="N1388" t="n">
        <v>0</v>
      </c>
      <c r="O1388" t="n">
        <v>0</v>
      </c>
      <c r="P1388" t="n">
        <v>0</v>
      </c>
      <c r="Q1388" t="n">
        <v>0</v>
      </c>
      <c r="R1388" s="2" t="inlineStr"/>
    </row>
    <row r="1389" ht="15" customHeight="1">
      <c r="A1389" t="inlineStr">
        <is>
          <t>A 61897-2018</t>
        </is>
      </c>
      <c r="B1389" s="1" t="n">
        <v>43425</v>
      </c>
      <c r="C1389" s="1" t="n">
        <v>45182</v>
      </c>
      <c r="D1389" t="inlineStr">
        <is>
          <t>JÄMTLANDS LÄN</t>
        </is>
      </c>
      <c r="E1389" t="inlineStr">
        <is>
          <t>ÅRE</t>
        </is>
      </c>
      <c r="G1389" t="n">
        <v>2.5</v>
      </c>
      <c r="H1389" t="n">
        <v>0</v>
      </c>
      <c r="I1389" t="n">
        <v>0</v>
      </c>
      <c r="J1389" t="n">
        <v>0</v>
      </c>
      <c r="K1389" t="n">
        <v>0</v>
      </c>
      <c r="L1389" t="n">
        <v>0</v>
      </c>
      <c r="M1389" t="n">
        <v>0</v>
      </c>
      <c r="N1389" t="n">
        <v>0</v>
      </c>
      <c r="O1389" t="n">
        <v>0</v>
      </c>
      <c r="P1389" t="n">
        <v>0</v>
      </c>
      <c r="Q1389" t="n">
        <v>0</v>
      </c>
      <c r="R1389" s="2" t="inlineStr"/>
    </row>
    <row r="1390" ht="15" customHeight="1">
      <c r="A1390" t="inlineStr">
        <is>
          <t>A 62271-2018</t>
        </is>
      </c>
      <c r="B1390" s="1" t="n">
        <v>43425</v>
      </c>
      <c r="C1390" s="1" t="n">
        <v>45182</v>
      </c>
      <c r="D1390" t="inlineStr">
        <is>
          <t>JÄMTLANDS LÄN</t>
        </is>
      </c>
      <c r="E1390" t="inlineStr">
        <is>
          <t>BRÄCKE</t>
        </is>
      </c>
      <c r="F1390" t="inlineStr">
        <is>
          <t>SCA</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61811-2018</t>
        </is>
      </c>
      <c r="B1391" s="1" t="n">
        <v>43425</v>
      </c>
      <c r="C1391" s="1" t="n">
        <v>45182</v>
      </c>
      <c r="D1391" t="inlineStr">
        <is>
          <t>JÄMTLANDS LÄN</t>
        </is>
      </c>
      <c r="E1391" t="inlineStr">
        <is>
          <t>KROKOM</t>
        </is>
      </c>
      <c r="F1391" t="inlineStr">
        <is>
          <t>Övriga Aktiebolag</t>
        </is>
      </c>
      <c r="G1391" t="n">
        <v>53.4</v>
      </c>
      <c r="H1391" t="n">
        <v>0</v>
      </c>
      <c r="I1391" t="n">
        <v>0</v>
      </c>
      <c r="J1391" t="n">
        <v>0</v>
      </c>
      <c r="K1391" t="n">
        <v>0</v>
      </c>
      <c r="L1391" t="n">
        <v>0</v>
      </c>
      <c r="M1391" t="n">
        <v>0</v>
      </c>
      <c r="N1391" t="n">
        <v>0</v>
      </c>
      <c r="O1391" t="n">
        <v>0</v>
      </c>
      <c r="P1391" t="n">
        <v>0</v>
      </c>
      <c r="Q1391" t="n">
        <v>0</v>
      </c>
      <c r="R1391" s="2" t="inlineStr"/>
    </row>
    <row r="1392" ht="15" customHeight="1">
      <c r="A1392" t="inlineStr">
        <is>
          <t>A 62167-2018</t>
        </is>
      </c>
      <c r="B1392" s="1" t="n">
        <v>43425</v>
      </c>
      <c r="C1392" s="1" t="n">
        <v>45182</v>
      </c>
      <c r="D1392" t="inlineStr">
        <is>
          <t>JÄMTLANDS LÄN</t>
        </is>
      </c>
      <c r="E1392" t="inlineStr">
        <is>
          <t>ÅRE</t>
        </is>
      </c>
      <c r="G1392" t="n">
        <v>9</v>
      </c>
      <c r="H1392" t="n">
        <v>0</v>
      </c>
      <c r="I1392" t="n">
        <v>0</v>
      </c>
      <c r="J1392" t="n">
        <v>0</v>
      </c>
      <c r="K1392" t="n">
        <v>0</v>
      </c>
      <c r="L1392" t="n">
        <v>0</v>
      </c>
      <c r="M1392" t="n">
        <v>0</v>
      </c>
      <c r="N1392" t="n">
        <v>0</v>
      </c>
      <c r="O1392" t="n">
        <v>0</v>
      </c>
      <c r="P1392" t="n">
        <v>0</v>
      </c>
      <c r="Q1392" t="n">
        <v>0</v>
      </c>
      <c r="R1392" s="2" t="inlineStr"/>
    </row>
    <row r="1393" ht="15" customHeight="1">
      <c r="A1393" t="inlineStr">
        <is>
          <t>A 63207-2018</t>
        </is>
      </c>
      <c r="B1393" s="1" t="n">
        <v>43426</v>
      </c>
      <c r="C1393" s="1" t="n">
        <v>45182</v>
      </c>
      <c r="D1393" t="inlineStr">
        <is>
          <t>JÄMTLANDS LÄN</t>
        </is>
      </c>
      <c r="E1393" t="inlineStr">
        <is>
          <t>HÄRJEDALEN</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63274-2018</t>
        </is>
      </c>
      <c r="B1394" s="1" t="n">
        <v>43426</v>
      </c>
      <c r="C1394" s="1" t="n">
        <v>45182</v>
      </c>
      <c r="D1394" t="inlineStr">
        <is>
          <t>JÄMTLANDS LÄN</t>
        </is>
      </c>
      <c r="E1394" t="inlineStr">
        <is>
          <t>STRÖMSUND</t>
        </is>
      </c>
      <c r="F1394" t="inlineStr">
        <is>
          <t>SCA</t>
        </is>
      </c>
      <c r="G1394" t="n">
        <v>13.6</v>
      </c>
      <c r="H1394" t="n">
        <v>0</v>
      </c>
      <c r="I1394" t="n">
        <v>0</v>
      </c>
      <c r="J1394" t="n">
        <v>0</v>
      </c>
      <c r="K1394" t="n">
        <v>0</v>
      </c>
      <c r="L1394" t="n">
        <v>0</v>
      </c>
      <c r="M1394" t="n">
        <v>0</v>
      </c>
      <c r="N1394" t="n">
        <v>0</v>
      </c>
      <c r="O1394" t="n">
        <v>0</v>
      </c>
      <c r="P1394" t="n">
        <v>0</v>
      </c>
      <c r="Q1394" t="n">
        <v>0</v>
      </c>
      <c r="R1394" s="2" t="inlineStr"/>
    </row>
    <row r="1395" ht="15" customHeight="1">
      <c r="A1395" t="inlineStr">
        <is>
          <t>A 62924-2018</t>
        </is>
      </c>
      <c r="B1395" s="1" t="n">
        <v>43426</v>
      </c>
      <c r="C1395" s="1" t="n">
        <v>45182</v>
      </c>
      <c r="D1395" t="inlineStr">
        <is>
          <t>JÄMTLANDS LÄN</t>
        </is>
      </c>
      <c r="E1395" t="inlineStr">
        <is>
          <t>ÖSTERSUND</t>
        </is>
      </c>
      <c r="G1395" t="n">
        <v>4.8</v>
      </c>
      <c r="H1395" t="n">
        <v>0</v>
      </c>
      <c r="I1395" t="n">
        <v>0</v>
      </c>
      <c r="J1395" t="n">
        <v>0</v>
      </c>
      <c r="K1395" t="n">
        <v>0</v>
      </c>
      <c r="L1395" t="n">
        <v>0</v>
      </c>
      <c r="M1395" t="n">
        <v>0</v>
      </c>
      <c r="N1395" t="n">
        <v>0</v>
      </c>
      <c r="O1395" t="n">
        <v>0</v>
      </c>
      <c r="P1395" t="n">
        <v>0</v>
      </c>
      <c r="Q1395" t="n">
        <v>0</v>
      </c>
      <c r="R1395" s="2" t="inlineStr"/>
    </row>
    <row r="1396" ht="15" customHeight="1">
      <c r="A1396" t="inlineStr">
        <is>
          <t>A 62946-2018</t>
        </is>
      </c>
      <c r="B1396" s="1" t="n">
        <v>43426</v>
      </c>
      <c r="C1396" s="1" t="n">
        <v>45182</v>
      </c>
      <c r="D1396" t="inlineStr">
        <is>
          <t>JÄMTLANDS LÄN</t>
        </is>
      </c>
      <c r="E1396" t="inlineStr">
        <is>
          <t>STRÖMSUND</t>
        </is>
      </c>
      <c r="G1396" t="n">
        <v>9.800000000000001</v>
      </c>
      <c r="H1396" t="n">
        <v>0</v>
      </c>
      <c r="I1396" t="n">
        <v>0</v>
      </c>
      <c r="J1396" t="n">
        <v>0</v>
      </c>
      <c r="K1396" t="n">
        <v>0</v>
      </c>
      <c r="L1396" t="n">
        <v>0</v>
      </c>
      <c r="M1396" t="n">
        <v>0</v>
      </c>
      <c r="N1396" t="n">
        <v>0</v>
      </c>
      <c r="O1396" t="n">
        <v>0</v>
      </c>
      <c r="P1396" t="n">
        <v>0</v>
      </c>
      <c r="Q1396" t="n">
        <v>0</v>
      </c>
      <c r="R1396" s="2" t="inlineStr"/>
    </row>
    <row r="1397" ht="15" customHeight="1">
      <c r="A1397" t="inlineStr">
        <is>
          <t>A 63275-2018</t>
        </is>
      </c>
      <c r="B1397" s="1" t="n">
        <v>43426</v>
      </c>
      <c r="C1397" s="1" t="n">
        <v>45182</v>
      </c>
      <c r="D1397" t="inlineStr">
        <is>
          <t>JÄMTLANDS LÄN</t>
        </is>
      </c>
      <c r="E1397" t="inlineStr">
        <is>
          <t>STRÖMSUND</t>
        </is>
      </c>
      <c r="F1397" t="inlineStr">
        <is>
          <t>SCA</t>
        </is>
      </c>
      <c r="G1397" t="n">
        <v>22.7</v>
      </c>
      <c r="H1397" t="n">
        <v>0</v>
      </c>
      <c r="I1397" t="n">
        <v>0</v>
      </c>
      <c r="J1397" t="n">
        <v>0</v>
      </c>
      <c r="K1397" t="n">
        <v>0</v>
      </c>
      <c r="L1397" t="n">
        <v>0</v>
      </c>
      <c r="M1397" t="n">
        <v>0</v>
      </c>
      <c r="N1397" t="n">
        <v>0</v>
      </c>
      <c r="O1397" t="n">
        <v>0</v>
      </c>
      <c r="P1397" t="n">
        <v>0</v>
      </c>
      <c r="Q1397" t="n">
        <v>0</v>
      </c>
      <c r="R1397" s="2" t="inlineStr"/>
    </row>
    <row r="1398" ht="15" customHeight="1">
      <c r="A1398" t="inlineStr">
        <is>
          <t>A 63277-2018</t>
        </is>
      </c>
      <c r="B1398" s="1" t="n">
        <v>43426</v>
      </c>
      <c r="C1398" s="1" t="n">
        <v>45182</v>
      </c>
      <c r="D1398" t="inlineStr">
        <is>
          <t>JÄMTLANDS LÄN</t>
        </is>
      </c>
      <c r="E1398" t="inlineStr">
        <is>
          <t>STRÖMSUND</t>
        </is>
      </c>
      <c r="F1398" t="inlineStr">
        <is>
          <t>SCA</t>
        </is>
      </c>
      <c r="G1398" t="n">
        <v>10.3</v>
      </c>
      <c r="H1398" t="n">
        <v>0</v>
      </c>
      <c r="I1398" t="n">
        <v>0</v>
      </c>
      <c r="J1398" t="n">
        <v>0</v>
      </c>
      <c r="K1398" t="n">
        <v>0</v>
      </c>
      <c r="L1398" t="n">
        <v>0</v>
      </c>
      <c r="M1398" t="n">
        <v>0</v>
      </c>
      <c r="N1398" t="n">
        <v>0</v>
      </c>
      <c r="O1398" t="n">
        <v>0</v>
      </c>
      <c r="P1398" t="n">
        <v>0</v>
      </c>
      <c r="Q1398" t="n">
        <v>0</v>
      </c>
      <c r="R1398" s="2" t="inlineStr"/>
    </row>
    <row r="1399" ht="15" customHeight="1">
      <c r="A1399" t="inlineStr">
        <is>
          <t>A 62889-2018</t>
        </is>
      </c>
      <c r="B1399" s="1" t="n">
        <v>43426</v>
      </c>
      <c r="C1399" s="1" t="n">
        <v>45182</v>
      </c>
      <c r="D1399" t="inlineStr">
        <is>
          <t>JÄMTLANDS LÄN</t>
        </is>
      </c>
      <c r="E1399" t="inlineStr">
        <is>
          <t>HÄRJEDALEN</t>
        </is>
      </c>
      <c r="G1399" t="n">
        <v>4.6</v>
      </c>
      <c r="H1399" t="n">
        <v>0</v>
      </c>
      <c r="I1399" t="n">
        <v>0</v>
      </c>
      <c r="J1399" t="n">
        <v>0</v>
      </c>
      <c r="K1399" t="n">
        <v>0</v>
      </c>
      <c r="L1399" t="n">
        <v>0</v>
      </c>
      <c r="M1399" t="n">
        <v>0</v>
      </c>
      <c r="N1399" t="n">
        <v>0</v>
      </c>
      <c r="O1399" t="n">
        <v>0</v>
      </c>
      <c r="P1399" t="n">
        <v>0</v>
      </c>
      <c r="Q1399" t="n">
        <v>0</v>
      </c>
      <c r="R1399" s="2" t="inlineStr"/>
    </row>
    <row r="1400" ht="15" customHeight="1">
      <c r="A1400" t="inlineStr">
        <is>
          <t>A 63265-2018</t>
        </is>
      </c>
      <c r="B1400" s="1" t="n">
        <v>43426</v>
      </c>
      <c r="C1400" s="1" t="n">
        <v>45182</v>
      </c>
      <c r="D1400" t="inlineStr">
        <is>
          <t>JÄMTLANDS LÄN</t>
        </is>
      </c>
      <c r="E1400" t="inlineStr">
        <is>
          <t>HÄRJEDALEN</t>
        </is>
      </c>
      <c r="G1400" t="n">
        <v>45</v>
      </c>
      <c r="H1400" t="n">
        <v>0</v>
      </c>
      <c r="I1400" t="n">
        <v>0</v>
      </c>
      <c r="J1400" t="n">
        <v>0</v>
      </c>
      <c r="K1400" t="n">
        <v>0</v>
      </c>
      <c r="L1400" t="n">
        <v>0</v>
      </c>
      <c r="M1400" t="n">
        <v>0</v>
      </c>
      <c r="N1400" t="n">
        <v>0</v>
      </c>
      <c r="O1400" t="n">
        <v>0</v>
      </c>
      <c r="P1400" t="n">
        <v>0</v>
      </c>
      <c r="Q1400" t="n">
        <v>0</v>
      </c>
      <c r="R1400" s="2" t="inlineStr"/>
    </row>
    <row r="1401" ht="15" customHeight="1">
      <c r="A1401" t="inlineStr">
        <is>
          <t>A 63276-2018</t>
        </is>
      </c>
      <c r="B1401" s="1" t="n">
        <v>43426</v>
      </c>
      <c r="C1401" s="1" t="n">
        <v>45182</v>
      </c>
      <c r="D1401" t="inlineStr">
        <is>
          <t>JÄMTLANDS LÄN</t>
        </is>
      </c>
      <c r="E1401" t="inlineStr">
        <is>
          <t>STRÖMSUND</t>
        </is>
      </c>
      <c r="F1401" t="inlineStr">
        <is>
          <t>SCA</t>
        </is>
      </c>
      <c r="G1401" t="n">
        <v>10.1</v>
      </c>
      <c r="H1401" t="n">
        <v>0</v>
      </c>
      <c r="I1401" t="n">
        <v>0</v>
      </c>
      <c r="J1401" t="n">
        <v>0</v>
      </c>
      <c r="K1401" t="n">
        <v>0</v>
      </c>
      <c r="L1401" t="n">
        <v>0</v>
      </c>
      <c r="M1401" t="n">
        <v>0</v>
      </c>
      <c r="N1401" t="n">
        <v>0</v>
      </c>
      <c r="O1401" t="n">
        <v>0</v>
      </c>
      <c r="P1401" t="n">
        <v>0</v>
      </c>
      <c r="Q1401" t="n">
        <v>0</v>
      </c>
      <c r="R1401" s="2" t="inlineStr"/>
    </row>
    <row r="1402" ht="15" customHeight="1">
      <c r="A1402" t="inlineStr">
        <is>
          <t>A 63635-2018</t>
        </is>
      </c>
      <c r="B1402" s="1" t="n">
        <v>43427</v>
      </c>
      <c r="C1402" s="1" t="n">
        <v>45182</v>
      </c>
      <c r="D1402" t="inlineStr">
        <is>
          <t>JÄMTLANDS LÄN</t>
        </is>
      </c>
      <c r="E1402" t="inlineStr">
        <is>
          <t>STRÖMSUND</t>
        </is>
      </c>
      <c r="G1402" t="n">
        <v>9.4</v>
      </c>
      <c r="H1402" t="n">
        <v>0</v>
      </c>
      <c r="I1402" t="n">
        <v>0</v>
      </c>
      <c r="J1402" t="n">
        <v>0</v>
      </c>
      <c r="K1402" t="n">
        <v>0</v>
      </c>
      <c r="L1402" t="n">
        <v>0</v>
      </c>
      <c r="M1402" t="n">
        <v>0</v>
      </c>
      <c r="N1402" t="n">
        <v>0</v>
      </c>
      <c r="O1402" t="n">
        <v>0</v>
      </c>
      <c r="P1402" t="n">
        <v>0</v>
      </c>
      <c r="Q1402" t="n">
        <v>0</v>
      </c>
      <c r="R1402" s="2" t="inlineStr"/>
    </row>
    <row r="1403" ht="15" customHeight="1">
      <c r="A1403" t="inlineStr">
        <is>
          <t>A 63658-2018</t>
        </is>
      </c>
      <c r="B1403" s="1" t="n">
        <v>43427</v>
      </c>
      <c r="C1403" s="1" t="n">
        <v>45182</v>
      </c>
      <c r="D1403" t="inlineStr">
        <is>
          <t>JÄMTLANDS LÄN</t>
        </is>
      </c>
      <c r="E1403" t="inlineStr">
        <is>
          <t>KROKOM</t>
        </is>
      </c>
      <c r="F1403" t="inlineStr">
        <is>
          <t>Övriga Aktiebolag</t>
        </is>
      </c>
      <c r="G1403" t="n">
        <v>18.9</v>
      </c>
      <c r="H1403" t="n">
        <v>0</v>
      </c>
      <c r="I1403" t="n">
        <v>0</v>
      </c>
      <c r="J1403" t="n">
        <v>0</v>
      </c>
      <c r="K1403" t="n">
        <v>0</v>
      </c>
      <c r="L1403" t="n">
        <v>0</v>
      </c>
      <c r="M1403" t="n">
        <v>0</v>
      </c>
      <c r="N1403" t="n">
        <v>0</v>
      </c>
      <c r="O1403" t="n">
        <v>0</v>
      </c>
      <c r="P1403" t="n">
        <v>0</v>
      </c>
      <c r="Q1403" t="n">
        <v>0</v>
      </c>
      <c r="R1403" s="2" t="inlineStr"/>
    </row>
    <row r="1404" ht="15" customHeight="1">
      <c r="A1404" t="inlineStr">
        <is>
          <t>A 63355-2018</t>
        </is>
      </c>
      <c r="B1404" s="1" t="n">
        <v>43427</v>
      </c>
      <c r="C1404" s="1" t="n">
        <v>45182</v>
      </c>
      <c r="D1404" t="inlineStr">
        <is>
          <t>JÄMTLANDS LÄN</t>
        </is>
      </c>
      <c r="E1404" t="inlineStr">
        <is>
          <t>HÄRJEDALEN</t>
        </is>
      </c>
      <c r="F1404" t="inlineStr">
        <is>
          <t>Bergvik skog väst AB</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63570-2018</t>
        </is>
      </c>
      <c r="B1405" s="1" t="n">
        <v>43427</v>
      </c>
      <c r="C1405" s="1" t="n">
        <v>45182</v>
      </c>
      <c r="D1405" t="inlineStr">
        <is>
          <t>JÄMTLANDS LÄN</t>
        </is>
      </c>
      <c r="E1405" t="inlineStr">
        <is>
          <t>RAGUNDA</t>
        </is>
      </c>
      <c r="G1405" t="n">
        <v>3.2</v>
      </c>
      <c r="H1405" t="n">
        <v>0</v>
      </c>
      <c r="I1405" t="n">
        <v>0</v>
      </c>
      <c r="J1405" t="n">
        <v>0</v>
      </c>
      <c r="K1405" t="n">
        <v>0</v>
      </c>
      <c r="L1405" t="n">
        <v>0</v>
      </c>
      <c r="M1405" t="n">
        <v>0</v>
      </c>
      <c r="N1405" t="n">
        <v>0</v>
      </c>
      <c r="O1405" t="n">
        <v>0</v>
      </c>
      <c r="P1405" t="n">
        <v>0</v>
      </c>
      <c r="Q1405" t="n">
        <v>0</v>
      </c>
      <c r="R1405" s="2" t="inlineStr"/>
    </row>
    <row r="1406" ht="15" customHeight="1">
      <c r="A1406" t="inlineStr">
        <is>
          <t>A 63573-2018</t>
        </is>
      </c>
      <c r="B1406" s="1" t="n">
        <v>43427</v>
      </c>
      <c r="C1406" s="1" t="n">
        <v>45182</v>
      </c>
      <c r="D1406" t="inlineStr">
        <is>
          <t>JÄMTLANDS LÄN</t>
        </is>
      </c>
      <c r="E1406" t="inlineStr">
        <is>
          <t>RAGUNDA</t>
        </is>
      </c>
      <c r="G1406" t="n">
        <v>2.2</v>
      </c>
      <c r="H1406" t="n">
        <v>0</v>
      </c>
      <c r="I1406" t="n">
        <v>0</v>
      </c>
      <c r="J1406" t="n">
        <v>0</v>
      </c>
      <c r="K1406" t="n">
        <v>0</v>
      </c>
      <c r="L1406" t="n">
        <v>0</v>
      </c>
      <c r="M1406" t="n">
        <v>0</v>
      </c>
      <c r="N1406" t="n">
        <v>0</v>
      </c>
      <c r="O1406" t="n">
        <v>0</v>
      </c>
      <c r="P1406" t="n">
        <v>0</v>
      </c>
      <c r="Q1406" t="n">
        <v>0</v>
      </c>
      <c r="R1406" s="2" t="inlineStr"/>
    </row>
    <row r="1407" ht="15" customHeight="1">
      <c r="A1407" t="inlineStr">
        <is>
          <t>A 63721-2018</t>
        </is>
      </c>
      <c r="B1407" s="1" t="n">
        <v>43428</v>
      </c>
      <c r="C1407" s="1" t="n">
        <v>45182</v>
      </c>
      <c r="D1407" t="inlineStr">
        <is>
          <t>JÄMTLANDS LÄN</t>
        </is>
      </c>
      <c r="E1407" t="inlineStr">
        <is>
          <t>ÅRE</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63725-2018</t>
        </is>
      </c>
      <c r="B1408" s="1" t="n">
        <v>43428</v>
      </c>
      <c r="C1408" s="1" t="n">
        <v>45182</v>
      </c>
      <c r="D1408" t="inlineStr">
        <is>
          <t>JÄMTLANDS LÄN</t>
        </is>
      </c>
      <c r="E1408" t="inlineStr">
        <is>
          <t>ÅRE</t>
        </is>
      </c>
      <c r="G1408" t="n">
        <v>0.9</v>
      </c>
      <c r="H1408" t="n">
        <v>0</v>
      </c>
      <c r="I1408" t="n">
        <v>0</v>
      </c>
      <c r="J1408" t="n">
        <v>0</v>
      </c>
      <c r="K1408" t="n">
        <v>0</v>
      </c>
      <c r="L1408" t="n">
        <v>0</v>
      </c>
      <c r="M1408" t="n">
        <v>0</v>
      </c>
      <c r="N1408" t="n">
        <v>0</v>
      </c>
      <c r="O1408" t="n">
        <v>0</v>
      </c>
      <c r="P1408" t="n">
        <v>0</v>
      </c>
      <c r="Q1408" t="n">
        <v>0</v>
      </c>
      <c r="R1408" s="2" t="inlineStr"/>
    </row>
    <row r="1409" ht="15" customHeight="1">
      <c r="A1409" t="inlineStr">
        <is>
          <t>A 63726-2018</t>
        </is>
      </c>
      <c r="B1409" s="1" t="n">
        <v>43428</v>
      </c>
      <c r="C1409" s="1" t="n">
        <v>45182</v>
      </c>
      <c r="D1409" t="inlineStr">
        <is>
          <t>JÄMTLANDS LÄN</t>
        </is>
      </c>
      <c r="E1409" t="inlineStr">
        <is>
          <t>ÅRE</t>
        </is>
      </c>
      <c r="G1409" t="n">
        <v>3.9</v>
      </c>
      <c r="H1409" t="n">
        <v>0</v>
      </c>
      <c r="I1409" t="n">
        <v>0</v>
      </c>
      <c r="J1409" t="n">
        <v>0</v>
      </c>
      <c r="K1409" t="n">
        <v>0</v>
      </c>
      <c r="L1409" t="n">
        <v>0</v>
      </c>
      <c r="M1409" t="n">
        <v>0</v>
      </c>
      <c r="N1409" t="n">
        <v>0</v>
      </c>
      <c r="O1409" t="n">
        <v>0</v>
      </c>
      <c r="P1409" t="n">
        <v>0</v>
      </c>
      <c r="Q1409" t="n">
        <v>0</v>
      </c>
      <c r="R1409" s="2" t="inlineStr"/>
    </row>
    <row r="1410" ht="15" customHeight="1">
      <c r="A1410" t="inlineStr">
        <is>
          <t>A 63720-2018</t>
        </is>
      </c>
      <c r="B1410" s="1" t="n">
        <v>43428</v>
      </c>
      <c r="C1410" s="1" t="n">
        <v>45182</v>
      </c>
      <c r="D1410" t="inlineStr">
        <is>
          <t>JÄMTLANDS LÄN</t>
        </is>
      </c>
      <c r="E1410" t="inlineStr">
        <is>
          <t>ÅRE</t>
        </is>
      </c>
      <c r="G1410" t="n">
        <v>1.5</v>
      </c>
      <c r="H1410" t="n">
        <v>0</v>
      </c>
      <c r="I1410" t="n">
        <v>0</v>
      </c>
      <c r="J1410" t="n">
        <v>0</v>
      </c>
      <c r="K1410" t="n">
        <v>0</v>
      </c>
      <c r="L1410" t="n">
        <v>0</v>
      </c>
      <c r="M1410" t="n">
        <v>0</v>
      </c>
      <c r="N1410" t="n">
        <v>0</v>
      </c>
      <c r="O1410" t="n">
        <v>0</v>
      </c>
      <c r="P1410" t="n">
        <v>0</v>
      </c>
      <c r="Q1410" t="n">
        <v>0</v>
      </c>
      <c r="R1410" s="2" t="inlineStr"/>
    </row>
    <row r="1411" ht="15" customHeight="1">
      <c r="A1411" t="inlineStr">
        <is>
          <t>A 63724-2018</t>
        </is>
      </c>
      <c r="B1411" s="1" t="n">
        <v>43428</v>
      </c>
      <c r="C1411" s="1" t="n">
        <v>45182</v>
      </c>
      <c r="D1411" t="inlineStr">
        <is>
          <t>JÄMTLANDS LÄN</t>
        </is>
      </c>
      <c r="E1411" t="inlineStr">
        <is>
          <t>ÅRE</t>
        </is>
      </c>
      <c r="G1411" t="n">
        <v>1.5</v>
      </c>
      <c r="H1411" t="n">
        <v>0</v>
      </c>
      <c r="I1411" t="n">
        <v>0</v>
      </c>
      <c r="J1411" t="n">
        <v>0</v>
      </c>
      <c r="K1411" t="n">
        <v>0</v>
      </c>
      <c r="L1411" t="n">
        <v>0</v>
      </c>
      <c r="M1411" t="n">
        <v>0</v>
      </c>
      <c r="N1411" t="n">
        <v>0</v>
      </c>
      <c r="O1411" t="n">
        <v>0</v>
      </c>
      <c r="P1411" t="n">
        <v>0</v>
      </c>
      <c r="Q1411" t="n">
        <v>0</v>
      </c>
      <c r="R1411" s="2" t="inlineStr"/>
    </row>
    <row r="1412" ht="15" customHeight="1">
      <c r="A1412" t="inlineStr">
        <is>
          <t>A 63977-2018</t>
        </is>
      </c>
      <c r="B1412" s="1" t="n">
        <v>43430</v>
      </c>
      <c r="C1412" s="1" t="n">
        <v>45182</v>
      </c>
      <c r="D1412" t="inlineStr">
        <is>
          <t>JÄMTLANDS LÄN</t>
        </is>
      </c>
      <c r="E1412" t="inlineStr">
        <is>
          <t>BERG</t>
        </is>
      </c>
      <c r="G1412" t="n">
        <v>0</v>
      </c>
      <c r="H1412" t="n">
        <v>0</v>
      </c>
      <c r="I1412" t="n">
        <v>0</v>
      </c>
      <c r="J1412" t="n">
        <v>0</v>
      </c>
      <c r="K1412" t="n">
        <v>0</v>
      </c>
      <c r="L1412" t="n">
        <v>0</v>
      </c>
      <c r="M1412" t="n">
        <v>0</v>
      </c>
      <c r="N1412" t="n">
        <v>0</v>
      </c>
      <c r="O1412" t="n">
        <v>0</v>
      </c>
      <c r="P1412" t="n">
        <v>0</v>
      </c>
      <c r="Q1412" t="n">
        <v>0</v>
      </c>
      <c r="R1412" s="2" t="inlineStr"/>
    </row>
    <row r="1413" ht="15" customHeight="1">
      <c r="A1413" t="inlineStr">
        <is>
          <t>A 64245-2018</t>
        </is>
      </c>
      <c r="B1413" s="1" t="n">
        <v>43430</v>
      </c>
      <c r="C1413" s="1" t="n">
        <v>45182</v>
      </c>
      <c r="D1413" t="inlineStr">
        <is>
          <t>JÄMTLANDS LÄN</t>
        </is>
      </c>
      <c r="E1413" t="inlineStr">
        <is>
          <t>KROKOM</t>
        </is>
      </c>
      <c r="F1413" t="inlineStr">
        <is>
          <t>Övriga Aktiebolag</t>
        </is>
      </c>
      <c r="G1413" t="n">
        <v>3.6</v>
      </c>
      <c r="H1413" t="n">
        <v>0</v>
      </c>
      <c r="I1413" t="n">
        <v>0</v>
      </c>
      <c r="J1413" t="n">
        <v>0</v>
      </c>
      <c r="K1413" t="n">
        <v>0</v>
      </c>
      <c r="L1413" t="n">
        <v>0</v>
      </c>
      <c r="M1413" t="n">
        <v>0</v>
      </c>
      <c r="N1413" t="n">
        <v>0</v>
      </c>
      <c r="O1413" t="n">
        <v>0</v>
      </c>
      <c r="P1413" t="n">
        <v>0</v>
      </c>
      <c r="Q1413" t="n">
        <v>0</v>
      </c>
      <c r="R1413" s="2" t="inlineStr"/>
    </row>
    <row r="1414" ht="15" customHeight="1">
      <c r="A1414" t="inlineStr">
        <is>
          <t>A 66990-2018</t>
        </is>
      </c>
      <c r="B1414" s="1" t="n">
        <v>43431</v>
      </c>
      <c r="C1414" s="1" t="n">
        <v>45182</v>
      </c>
      <c r="D1414" t="inlineStr">
        <is>
          <t>JÄMTLANDS LÄN</t>
        </is>
      </c>
      <c r="E1414" t="inlineStr">
        <is>
          <t>STRÖMSUND</t>
        </is>
      </c>
      <c r="G1414" t="n">
        <v>2.8</v>
      </c>
      <c r="H1414" t="n">
        <v>0</v>
      </c>
      <c r="I1414" t="n">
        <v>0</v>
      </c>
      <c r="J1414" t="n">
        <v>0</v>
      </c>
      <c r="K1414" t="n">
        <v>0</v>
      </c>
      <c r="L1414" t="n">
        <v>0</v>
      </c>
      <c r="M1414" t="n">
        <v>0</v>
      </c>
      <c r="N1414" t="n">
        <v>0</v>
      </c>
      <c r="O1414" t="n">
        <v>0</v>
      </c>
      <c r="P1414" t="n">
        <v>0</v>
      </c>
      <c r="Q1414" t="n">
        <v>0</v>
      </c>
      <c r="R1414" s="2" t="inlineStr"/>
    </row>
    <row r="1415" ht="15" customHeight="1">
      <c r="A1415" t="inlineStr">
        <is>
          <t>A 67286-2018</t>
        </is>
      </c>
      <c r="B1415" s="1" t="n">
        <v>43431</v>
      </c>
      <c r="C1415" s="1" t="n">
        <v>45182</v>
      </c>
      <c r="D1415" t="inlineStr">
        <is>
          <t>JÄMTLANDS LÄN</t>
        </is>
      </c>
      <c r="E1415" t="inlineStr">
        <is>
          <t>RAGUNDA</t>
        </is>
      </c>
      <c r="G1415" t="n">
        <v>3.3</v>
      </c>
      <c r="H1415" t="n">
        <v>0</v>
      </c>
      <c r="I1415" t="n">
        <v>0</v>
      </c>
      <c r="J1415" t="n">
        <v>0</v>
      </c>
      <c r="K1415" t="n">
        <v>0</v>
      </c>
      <c r="L1415" t="n">
        <v>0</v>
      </c>
      <c r="M1415" t="n">
        <v>0</v>
      </c>
      <c r="N1415" t="n">
        <v>0</v>
      </c>
      <c r="O1415" t="n">
        <v>0</v>
      </c>
      <c r="P1415" t="n">
        <v>0</v>
      </c>
      <c r="Q1415" t="n">
        <v>0</v>
      </c>
      <c r="R1415" s="2" t="inlineStr"/>
    </row>
    <row r="1416" ht="15" customHeight="1">
      <c r="A1416" t="inlineStr">
        <is>
          <t>A 64917-2018</t>
        </is>
      </c>
      <c r="B1416" s="1" t="n">
        <v>43431</v>
      </c>
      <c r="C1416" s="1" t="n">
        <v>45182</v>
      </c>
      <c r="D1416" t="inlineStr">
        <is>
          <t>JÄMTLANDS LÄN</t>
        </is>
      </c>
      <c r="E1416" t="inlineStr">
        <is>
          <t>STRÖMSUND</t>
        </is>
      </c>
      <c r="F1416" t="inlineStr">
        <is>
          <t>SCA</t>
        </is>
      </c>
      <c r="G1416" t="n">
        <v>3.6</v>
      </c>
      <c r="H1416" t="n">
        <v>0</v>
      </c>
      <c r="I1416" t="n">
        <v>0</v>
      </c>
      <c r="J1416" t="n">
        <v>0</v>
      </c>
      <c r="K1416" t="n">
        <v>0</v>
      </c>
      <c r="L1416" t="n">
        <v>0</v>
      </c>
      <c r="M1416" t="n">
        <v>0</v>
      </c>
      <c r="N1416" t="n">
        <v>0</v>
      </c>
      <c r="O1416" t="n">
        <v>0</v>
      </c>
      <c r="P1416" t="n">
        <v>0</v>
      </c>
      <c r="Q1416" t="n">
        <v>0</v>
      </c>
      <c r="R1416" s="2" t="inlineStr"/>
    </row>
    <row r="1417" ht="15" customHeight="1">
      <c r="A1417" t="inlineStr">
        <is>
          <t>A 64927-2018</t>
        </is>
      </c>
      <c r="B1417" s="1" t="n">
        <v>43431</v>
      </c>
      <c r="C1417" s="1" t="n">
        <v>45182</v>
      </c>
      <c r="D1417" t="inlineStr">
        <is>
          <t>JÄMTLANDS LÄN</t>
        </is>
      </c>
      <c r="E1417" t="inlineStr">
        <is>
          <t>RAGUNDA</t>
        </is>
      </c>
      <c r="F1417" t="inlineStr">
        <is>
          <t>SCA</t>
        </is>
      </c>
      <c r="G1417" t="n">
        <v>12.4</v>
      </c>
      <c r="H1417" t="n">
        <v>0</v>
      </c>
      <c r="I1417" t="n">
        <v>0</v>
      </c>
      <c r="J1417" t="n">
        <v>0</v>
      </c>
      <c r="K1417" t="n">
        <v>0</v>
      </c>
      <c r="L1417" t="n">
        <v>0</v>
      </c>
      <c r="M1417" t="n">
        <v>0</v>
      </c>
      <c r="N1417" t="n">
        <v>0</v>
      </c>
      <c r="O1417" t="n">
        <v>0</v>
      </c>
      <c r="P1417" t="n">
        <v>0</v>
      </c>
      <c r="Q1417" t="n">
        <v>0</v>
      </c>
      <c r="R1417" s="2" t="inlineStr"/>
    </row>
    <row r="1418" ht="15" customHeight="1">
      <c r="A1418" t="inlineStr">
        <is>
          <t>A 64922-2018</t>
        </is>
      </c>
      <c r="B1418" s="1" t="n">
        <v>43431</v>
      </c>
      <c r="C1418" s="1" t="n">
        <v>45182</v>
      </c>
      <c r="D1418" t="inlineStr">
        <is>
          <t>JÄMTLANDS LÄN</t>
        </is>
      </c>
      <c r="E1418" t="inlineStr">
        <is>
          <t>RAGUNDA</t>
        </is>
      </c>
      <c r="F1418" t="inlineStr">
        <is>
          <t>SCA</t>
        </is>
      </c>
      <c r="G1418" t="n">
        <v>6.7</v>
      </c>
      <c r="H1418" t="n">
        <v>0</v>
      </c>
      <c r="I1418" t="n">
        <v>0</v>
      </c>
      <c r="J1418" t="n">
        <v>0</v>
      </c>
      <c r="K1418" t="n">
        <v>0</v>
      </c>
      <c r="L1418" t="n">
        <v>0</v>
      </c>
      <c r="M1418" t="n">
        <v>0</v>
      </c>
      <c r="N1418" t="n">
        <v>0</v>
      </c>
      <c r="O1418" t="n">
        <v>0</v>
      </c>
      <c r="P1418" t="n">
        <v>0</v>
      </c>
      <c r="Q1418" t="n">
        <v>0</v>
      </c>
      <c r="R1418" s="2" t="inlineStr"/>
    </row>
    <row r="1419" ht="15" customHeight="1">
      <c r="A1419" t="inlineStr">
        <is>
          <t>A 66982-2018</t>
        </is>
      </c>
      <c r="B1419" s="1" t="n">
        <v>43431</v>
      </c>
      <c r="C1419" s="1" t="n">
        <v>45182</v>
      </c>
      <c r="D1419" t="inlineStr">
        <is>
          <t>JÄMTLANDS LÄN</t>
        </is>
      </c>
      <c r="E1419" t="inlineStr">
        <is>
          <t>STRÖMSUND</t>
        </is>
      </c>
      <c r="G1419" t="n">
        <v>8.6</v>
      </c>
      <c r="H1419" t="n">
        <v>0</v>
      </c>
      <c r="I1419" t="n">
        <v>0</v>
      </c>
      <c r="J1419" t="n">
        <v>0</v>
      </c>
      <c r="K1419" t="n">
        <v>0</v>
      </c>
      <c r="L1419" t="n">
        <v>0</v>
      </c>
      <c r="M1419" t="n">
        <v>0</v>
      </c>
      <c r="N1419" t="n">
        <v>0</v>
      </c>
      <c r="O1419" t="n">
        <v>0</v>
      </c>
      <c r="P1419" t="n">
        <v>0</v>
      </c>
      <c r="Q1419" t="n">
        <v>0</v>
      </c>
      <c r="R1419" s="2" t="inlineStr"/>
    </row>
    <row r="1420" ht="15" customHeight="1">
      <c r="A1420" t="inlineStr">
        <is>
          <t>A 64786-2018</t>
        </is>
      </c>
      <c r="B1420" s="1" t="n">
        <v>43431</v>
      </c>
      <c r="C1420" s="1" t="n">
        <v>45182</v>
      </c>
      <c r="D1420" t="inlineStr">
        <is>
          <t>JÄMTLANDS LÄN</t>
        </is>
      </c>
      <c r="E1420" t="inlineStr">
        <is>
          <t>BERG</t>
        </is>
      </c>
      <c r="G1420" t="n">
        <v>6.1</v>
      </c>
      <c r="H1420" t="n">
        <v>0</v>
      </c>
      <c r="I1420" t="n">
        <v>0</v>
      </c>
      <c r="J1420" t="n">
        <v>0</v>
      </c>
      <c r="K1420" t="n">
        <v>0</v>
      </c>
      <c r="L1420" t="n">
        <v>0</v>
      </c>
      <c r="M1420" t="n">
        <v>0</v>
      </c>
      <c r="N1420" t="n">
        <v>0</v>
      </c>
      <c r="O1420" t="n">
        <v>0</v>
      </c>
      <c r="P1420" t="n">
        <v>0</v>
      </c>
      <c r="Q1420" t="n">
        <v>0</v>
      </c>
      <c r="R1420" s="2" t="inlineStr"/>
    </row>
    <row r="1421" ht="15" customHeight="1">
      <c r="A1421" t="inlineStr">
        <is>
          <t>A 64924-2018</t>
        </is>
      </c>
      <c r="B1421" s="1" t="n">
        <v>43431</v>
      </c>
      <c r="C1421" s="1" t="n">
        <v>45182</v>
      </c>
      <c r="D1421" t="inlineStr">
        <is>
          <t>JÄMTLANDS LÄN</t>
        </is>
      </c>
      <c r="E1421" t="inlineStr">
        <is>
          <t>KROKOM</t>
        </is>
      </c>
      <c r="G1421" t="n">
        <v>19.7</v>
      </c>
      <c r="H1421" t="n">
        <v>0</v>
      </c>
      <c r="I1421" t="n">
        <v>0</v>
      </c>
      <c r="J1421" t="n">
        <v>0</v>
      </c>
      <c r="K1421" t="n">
        <v>0</v>
      </c>
      <c r="L1421" t="n">
        <v>0</v>
      </c>
      <c r="M1421" t="n">
        <v>0</v>
      </c>
      <c r="N1421" t="n">
        <v>0</v>
      </c>
      <c r="O1421" t="n">
        <v>0</v>
      </c>
      <c r="P1421" t="n">
        <v>0</v>
      </c>
      <c r="Q1421" t="n">
        <v>0</v>
      </c>
      <c r="R1421" s="2" t="inlineStr"/>
    </row>
    <row r="1422" ht="15" customHeight="1">
      <c r="A1422" t="inlineStr">
        <is>
          <t>A 66929-2018</t>
        </is>
      </c>
      <c r="B1422" s="1" t="n">
        <v>43431</v>
      </c>
      <c r="C1422" s="1" t="n">
        <v>45182</v>
      </c>
      <c r="D1422" t="inlineStr">
        <is>
          <t>JÄMTLANDS LÄN</t>
        </is>
      </c>
      <c r="E1422" t="inlineStr">
        <is>
          <t>STRÖMSUND</t>
        </is>
      </c>
      <c r="G1422" t="n">
        <v>5.1</v>
      </c>
      <c r="H1422" t="n">
        <v>0</v>
      </c>
      <c r="I1422" t="n">
        <v>0</v>
      </c>
      <c r="J1422" t="n">
        <v>0</v>
      </c>
      <c r="K1422" t="n">
        <v>0</v>
      </c>
      <c r="L1422" t="n">
        <v>0</v>
      </c>
      <c r="M1422" t="n">
        <v>0</v>
      </c>
      <c r="N1422" t="n">
        <v>0</v>
      </c>
      <c r="O1422" t="n">
        <v>0</v>
      </c>
      <c r="P1422" t="n">
        <v>0</v>
      </c>
      <c r="Q1422" t="n">
        <v>0</v>
      </c>
      <c r="R1422" s="2" t="inlineStr"/>
    </row>
    <row r="1423" ht="15" customHeight="1">
      <c r="A1423" t="inlineStr">
        <is>
          <t>A 64493-2018</t>
        </is>
      </c>
      <c r="B1423" s="1" t="n">
        <v>43431</v>
      </c>
      <c r="C1423" s="1" t="n">
        <v>45182</v>
      </c>
      <c r="D1423" t="inlineStr">
        <is>
          <t>JÄMTLANDS LÄN</t>
        </is>
      </c>
      <c r="E1423" t="inlineStr">
        <is>
          <t>HÄRJEDALEN</t>
        </is>
      </c>
      <c r="F1423" t="inlineStr">
        <is>
          <t>Sveaskog</t>
        </is>
      </c>
      <c r="G1423" t="n">
        <v>2.1</v>
      </c>
      <c r="H1423" t="n">
        <v>0</v>
      </c>
      <c r="I1423" t="n">
        <v>0</v>
      </c>
      <c r="J1423" t="n">
        <v>0</v>
      </c>
      <c r="K1423" t="n">
        <v>0</v>
      </c>
      <c r="L1423" t="n">
        <v>0</v>
      </c>
      <c r="M1423" t="n">
        <v>0</v>
      </c>
      <c r="N1423" t="n">
        <v>0</v>
      </c>
      <c r="O1423" t="n">
        <v>0</v>
      </c>
      <c r="P1423" t="n">
        <v>0</v>
      </c>
      <c r="Q1423" t="n">
        <v>0</v>
      </c>
      <c r="R1423" s="2" t="inlineStr"/>
    </row>
    <row r="1424" ht="15" customHeight="1">
      <c r="A1424" t="inlineStr">
        <is>
          <t>A 64630-2018</t>
        </is>
      </c>
      <c r="B1424" s="1" t="n">
        <v>43431</v>
      </c>
      <c r="C1424" s="1" t="n">
        <v>45182</v>
      </c>
      <c r="D1424" t="inlineStr">
        <is>
          <t>JÄMTLANDS LÄN</t>
        </is>
      </c>
      <c r="E1424" t="inlineStr">
        <is>
          <t>ÅRE</t>
        </is>
      </c>
      <c r="G1424" t="n">
        <v>8.800000000000001</v>
      </c>
      <c r="H1424" t="n">
        <v>0</v>
      </c>
      <c r="I1424" t="n">
        <v>0</v>
      </c>
      <c r="J1424" t="n">
        <v>0</v>
      </c>
      <c r="K1424" t="n">
        <v>0</v>
      </c>
      <c r="L1424" t="n">
        <v>0</v>
      </c>
      <c r="M1424" t="n">
        <v>0</v>
      </c>
      <c r="N1424" t="n">
        <v>0</v>
      </c>
      <c r="O1424" t="n">
        <v>0</v>
      </c>
      <c r="P1424" t="n">
        <v>0</v>
      </c>
      <c r="Q1424" t="n">
        <v>0</v>
      </c>
      <c r="R1424" s="2" t="inlineStr"/>
    </row>
    <row r="1425" ht="15" customHeight="1">
      <c r="A1425" t="inlineStr">
        <is>
          <t>A 64918-2018</t>
        </is>
      </c>
      <c r="B1425" s="1" t="n">
        <v>43431</v>
      </c>
      <c r="C1425" s="1" t="n">
        <v>45182</v>
      </c>
      <c r="D1425" t="inlineStr">
        <is>
          <t>JÄMTLANDS LÄN</t>
        </is>
      </c>
      <c r="E1425" t="inlineStr">
        <is>
          <t>STRÖMSUND</t>
        </is>
      </c>
      <c r="F1425" t="inlineStr">
        <is>
          <t>SCA</t>
        </is>
      </c>
      <c r="G1425" t="n">
        <v>5.8</v>
      </c>
      <c r="H1425" t="n">
        <v>0</v>
      </c>
      <c r="I1425" t="n">
        <v>0</v>
      </c>
      <c r="J1425" t="n">
        <v>0</v>
      </c>
      <c r="K1425" t="n">
        <v>0</v>
      </c>
      <c r="L1425" t="n">
        <v>0</v>
      </c>
      <c r="M1425" t="n">
        <v>0</v>
      </c>
      <c r="N1425" t="n">
        <v>0</v>
      </c>
      <c r="O1425" t="n">
        <v>0</v>
      </c>
      <c r="P1425" t="n">
        <v>0</v>
      </c>
      <c r="Q1425" t="n">
        <v>0</v>
      </c>
      <c r="R1425" s="2" t="inlineStr"/>
    </row>
    <row r="1426" ht="15" customHeight="1">
      <c r="A1426" t="inlineStr">
        <is>
          <t>A 64929-2018</t>
        </is>
      </c>
      <c r="B1426" s="1" t="n">
        <v>43431</v>
      </c>
      <c r="C1426" s="1" t="n">
        <v>45182</v>
      </c>
      <c r="D1426" t="inlineStr">
        <is>
          <t>JÄMTLANDS LÄN</t>
        </is>
      </c>
      <c r="E1426" t="inlineStr">
        <is>
          <t>STRÖMSUND</t>
        </is>
      </c>
      <c r="G1426" t="n">
        <v>2.8</v>
      </c>
      <c r="H1426" t="n">
        <v>0</v>
      </c>
      <c r="I1426" t="n">
        <v>0</v>
      </c>
      <c r="J1426" t="n">
        <v>0</v>
      </c>
      <c r="K1426" t="n">
        <v>0</v>
      </c>
      <c r="L1426" t="n">
        <v>0</v>
      </c>
      <c r="M1426" t="n">
        <v>0</v>
      </c>
      <c r="N1426" t="n">
        <v>0</v>
      </c>
      <c r="O1426" t="n">
        <v>0</v>
      </c>
      <c r="P1426" t="n">
        <v>0</v>
      </c>
      <c r="Q1426" t="n">
        <v>0</v>
      </c>
      <c r="R1426" s="2" t="inlineStr"/>
    </row>
    <row r="1427" ht="15" customHeight="1">
      <c r="A1427" t="inlineStr">
        <is>
          <t>A 65319-2018</t>
        </is>
      </c>
      <c r="B1427" s="1" t="n">
        <v>43432</v>
      </c>
      <c r="C1427" s="1" t="n">
        <v>45182</v>
      </c>
      <c r="D1427" t="inlineStr">
        <is>
          <t>JÄMTLANDS LÄN</t>
        </is>
      </c>
      <c r="E1427" t="inlineStr">
        <is>
          <t>STRÖMSUND</t>
        </is>
      </c>
      <c r="G1427" t="n">
        <v>2.2</v>
      </c>
      <c r="H1427" t="n">
        <v>0</v>
      </c>
      <c r="I1427" t="n">
        <v>0</v>
      </c>
      <c r="J1427" t="n">
        <v>0</v>
      </c>
      <c r="K1427" t="n">
        <v>0</v>
      </c>
      <c r="L1427" t="n">
        <v>0</v>
      </c>
      <c r="M1427" t="n">
        <v>0</v>
      </c>
      <c r="N1427" t="n">
        <v>0</v>
      </c>
      <c r="O1427" t="n">
        <v>0</v>
      </c>
      <c r="P1427" t="n">
        <v>0</v>
      </c>
      <c r="Q1427" t="n">
        <v>0</v>
      </c>
      <c r="R1427" s="2" t="inlineStr"/>
    </row>
    <row r="1428" ht="15" customHeight="1">
      <c r="A1428" t="inlineStr">
        <is>
          <t>A 67314-2018</t>
        </is>
      </c>
      <c r="B1428" s="1" t="n">
        <v>43432</v>
      </c>
      <c r="C1428" s="1" t="n">
        <v>45182</v>
      </c>
      <c r="D1428" t="inlineStr">
        <is>
          <t>JÄMTLANDS LÄN</t>
        </is>
      </c>
      <c r="E1428" t="inlineStr">
        <is>
          <t>BRÄCKE</t>
        </is>
      </c>
      <c r="G1428" t="n">
        <v>2.8</v>
      </c>
      <c r="H1428" t="n">
        <v>0</v>
      </c>
      <c r="I1428" t="n">
        <v>0</v>
      </c>
      <c r="J1428" t="n">
        <v>0</v>
      </c>
      <c r="K1428" t="n">
        <v>0</v>
      </c>
      <c r="L1428" t="n">
        <v>0</v>
      </c>
      <c r="M1428" t="n">
        <v>0</v>
      </c>
      <c r="N1428" t="n">
        <v>0</v>
      </c>
      <c r="O1428" t="n">
        <v>0</v>
      </c>
      <c r="P1428" t="n">
        <v>0</v>
      </c>
      <c r="Q1428" t="n">
        <v>0</v>
      </c>
      <c r="R1428" s="2" t="inlineStr"/>
    </row>
    <row r="1429" ht="15" customHeight="1">
      <c r="A1429" t="inlineStr">
        <is>
          <t>A 65243-2018</t>
        </is>
      </c>
      <c r="B1429" s="1" t="n">
        <v>43432</v>
      </c>
      <c r="C1429" s="1" t="n">
        <v>45182</v>
      </c>
      <c r="D1429" t="inlineStr">
        <is>
          <t>JÄMTLANDS LÄN</t>
        </is>
      </c>
      <c r="E1429" t="inlineStr">
        <is>
          <t>ÅRE</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65034-2018</t>
        </is>
      </c>
      <c r="B1430" s="1" t="n">
        <v>43432</v>
      </c>
      <c r="C1430" s="1" t="n">
        <v>45182</v>
      </c>
      <c r="D1430" t="inlineStr">
        <is>
          <t>JÄMTLANDS LÄN</t>
        </is>
      </c>
      <c r="E1430" t="inlineStr">
        <is>
          <t>KROKOM</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65331-2018</t>
        </is>
      </c>
      <c r="B1431" s="1" t="n">
        <v>43432</v>
      </c>
      <c r="C1431" s="1" t="n">
        <v>45182</v>
      </c>
      <c r="D1431" t="inlineStr">
        <is>
          <t>JÄMTLANDS LÄN</t>
        </is>
      </c>
      <c r="E1431" t="inlineStr">
        <is>
          <t>STRÖMSUND</t>
        </is>
      </c>
      <c r="G1431" t="n">
        <v>26.3</v>
      </c>
      <c r="H1431" t="n">
        <v>0</v>
      </c>
      <c r="I1431" t="n">
        <v>0</v>
      </c>
      <c r="J1431" t="n">
        <v>0</v>
      </c>
      <c r="K1431" t="n">
        <v>0</v>
      </c>
      <c r="L1431" t="n">
        <v>0</v>
      </c>
      <c r="M1431" t="n">
        <v>0</v>
      </c>
      <c r="N1431" t="n">
        <v>0</v>
      </c>
      <c r="O1431" t="n">
        <v>0</v>
      </c>
      <c r="P1431" t="n">
        <v>0</v>
      </c>
      <c r="Q1431" t="n">
        <v>0</v>
      </c>
      <c r="R1431" s="2" t="inlineStr"/>
    </row>
    <row r="1432" ht="15" customHeight="1">
      <c r="A1432" t="inlineStr">
        <is>
          <t>A 65264-2018</t>
        </is>
      </c>
      <c r="B1432" s="1" t="n">
        <v>43432</v>
      </c>
      <c r="C1432" s="1" t="n">
        <v>45182</v>
      </c>
      <c r="D1432" t="inlineStr">
        <is>
          <t>JÄMTLANDS LÄN</t>
        </is>
      </c>
      <c r="E1432" t="inlineStr">
        <is>
          <t>ÅRE</t>
        </is>
      </c>
      <c r="G1432" t="n">
        <v>8.300000000000001</v>
      </c>
      <c r="H1432" t="n">
        <v>0</v>
      </c>
      <c r="I1432" t="n">
        <v>0</v>
      </c>
      <c r="J1432" t="n">
        <v>0</v>
      </c>
      <c r="K1432" t="n">
        <v>0</v>
      </c>
      <c r="L1432" t="n">
        <v>0</v>
      </c>
      <c r="M1432" t="n">
        <v>0</v>
      </c>
      <c r="N1432" t="n">
        <v>0</v>
      </c>
      <c r="O1432" t="n">
        <v>0</v>
      </c>
      <c r="P1432" t="n">
        <v>0</v>
      </c>
      <c r="Q1432" t="n">
        <v>0</v>
      </c>
      <c r="R1432" s="2" t="inlineStr"/>
    </row>
    <row r="1433" ht="15" customHeight="1">
      <c r="A1433" t="inlineStr">
        <is>
          <t>A 65588-2018</t>
        </is>
      </c>
      <c r="B1433" s="1" t="n">
        <v>43433</v>
      </c>
      <c r="C1433" s="1" t="n">
        <v>45182</v>
      </c>
      <c r="D1433" t="inlineStr">
        <is>
          <t>JÄMTLANDS LÄN</t>
        </is>
      </c>
      <c r="E1433" t="inlineStr">
        <is>
          <t>KROKOM</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67610-2018</t>
        </is>
      </c>
      <c r="B1434" s="1" t="n">
        <v>43433</v>
      </c>
      <c r="C1434" s="1" t="n">
        <v>45182</v>
      </c>
      <c r="D1434" t="inlineStr">
        <is>
          <t>JÄMTLANDS LÄN</t>
        </is>
      </c>
      <c r="E1434" t="inlineStr">
        <is>
          <t>BERG</t>
        </is>
      </c>
      <c r="G1434" t="n">
        <v>1.7</v>
      </c>
      <c r="H1434" t="n">
        <v>0</v>
      </c>
      <c r="I1434" t="n">
        <v>0</v>
      </c>
      <c r="J1434" t="n">
        <v>0</v>
      </c>
      <c r="K1434" t="n">
        <v>0</v>
      </c>
      <c r="L1434" t="n">
        <v>0</v>
      </c>
      <c r="M1434" t="n">
        <v>0</v>
      </c>
      <c r="N1434" t="n">
        <v>0</v>
      </c>
      <c r="O1434" t="n">
        <v>0</v>
      </c>
      <c r="P1434" t="n">
        <v>0</v>
      </c>
      <c r="Q1434" t="n">
        <v>0</v>
      </c>
      <c r="R1434" s="2" t="inlineStr"/>
    </row>
    <row r="1435" ht="15" customHeight="1">
      <c r="A1435" t="inlineStr">
        <is>
          <t>A 65709-2018</t>
        </is>
      </c>
      <c r="B1435" s="1" t="n">
        <v>43433</v>
      </c>
      <c r="C1435" s="1" t="n">
        <v>45182</v>
      </c>
      <c r="D1435" t="inlineStr">
        <is>
          <t>JÄMTLANDS LÄN</t>
        </is>
      </c>
      <c r="E1435" t="inlineStr">
        <is>
          <t>BERG</t>
        </is>
      </c>
      <c r="G1435" t="n">
        <v>6.6</v>
      </c>
      <c r="H1435" t="n">
        <v>0</v>
      </c>
      <c r="I1435" t="n">
        <v>0</v>
      </c>
      <c r="J1435" t="n">
        <v>0</v>
      </c>
      <c r="K1435" t="n">
        <v>0</v>
      </c>
      <c r="L1435" t="n">
        <v>0</v>
      </c>
      <c r="M1435" t="n">
        <v>0</v>
      </c>
      <c r="N1435" t="n">
        <v>0</v>
      </c>
      <c r="O1435" t="n">
        <v>0</v>
      </c>
      <c r="P1435" t="n">
        <v>0</v>
      </c>
      <c r="Q1435" t="n">
        <v>0</v>
      </c>
      <c r="R1435" s="2" t="inlineStr"/>
    </row>
    <row r="1436" ht="15" customHeight="1">
      <c r="A1436" t="inlineStr">
        <is>
          <t>A 65832-2018</t>
        </is>
      </c>
      <c r="B1436" s="1" t="n">
        <v>43433</v>
      </c>
      <c r="C1436" s="1" t="n">
        <v>45182</v>
      </c>
      <c r="D1436" t="inlineStr">
        <is>
          <t>JÄMTLANDS LÄN</t>
        </is>
      </c>
      <c r="E1436" t="inlineStr">
        <is>
          <t>HÄRJEDALEN</t>
        </is>
      </c>
      <c r="F1436" t="inlineStr">
        <is>
          <t>Sveaskog</t>
        </is>
      </c>
      <c r="G1436" t="n">
        <v>30.2</v>
      </c>
      <c r="H1436" t="n">
        <v>0</v>
      </c>
      <c r="I1436" t="n">
        <v>0</v>
      </c>
      <c r="J1436" t="n">
        <v>0</v>
      </c>
      <c r="K1436" t="n">
        <v>0</v>
      </c>
      <c r="L1436" t="n">
        <v>0</v>
      </c>
      <c r="M1436" t="n">
        <v>0</v>
      </c>
      <c r="N1436" t="n">
        <v>0</v>
      </c>
      <c r="O1436" t="n">
        <v>0</v>
      </c>
      <c r="P1436" t="n">
        <v>0</v>
      </c>
      <c r="Q1436" t="n">
        <v>0</v>
      </c>
      <c r="R1436" s="2" t="inlineStr"/>
    </row>
    <row r="1437" ht="15" customHeight="1">
      <c r="A1437" t="inlineStr">
        <is>
          <t>A 65844-2018</t>
        </is>
      </c>
      <c r="B1437" s="1" t="n">
        <v>43433</v>
      </c>
      <c r="C1437" s="1" t="n">
        <v>45182</v>
      </c>
      <c r="D1437" t="inlineStr">
        <is>
          <t>JÄMTLANDS LÄN</t>
        </is>
      </c>
      <c r="E1437" t="inlineStr">
        <is>
          <t>BRÄCKE</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66199-2018</t>
        </is>
      </c>
      <c r="B1438" s="1" t="n">
        <v>43434</v>
      </c>
      <c r="C1438" s="1" t="n">
        <v>45182</v>
      </c>
      <c r="D1438" t="inlineStr">
        <is>
          <t>JÄMTLANDS LÄN</t>
        </is>
      </c>
      <c r="E1438" t="inlineStr">
        <is>
          <t>STRÖMSUND</t>
        </is>
      </c>
      <c r="G1438" t="n">
        <v>0.9</v>
      </c>
      <c r="H1438" t="n">
        <v>0</v>
      </c>
      <c r="I1438" t="n">
        <v>0</v>
      </c>
      <c r="J1438" t="n">
        <v>0</v>
      </c>
      <c r="K1438" t="n">
        <v>0</v>
      </c>
      <c r="L1438" t="n">
        <v>0</v>
      </c>
      <c r="M1438" t="n">
        <v>0</v>
      </c>
      <c r="N1438" t="n">
        <v>0</v>
      </c>
      <c r="O1438" t="n">
        <v>0</v>
      </c>
      <c r="P1438" t="n">
        <v>0</v>
      </c>
      <c r="Q1438" t="n">
        <v>0</v>
      </c>
      <c r="R1438" s="2" t="inlineStr"/>
    </row>
    <row r="1439" ht="15" customHeight="1">
      <c r="A1439" t="inlineStr">
        <is>
          <t>A 66202-2018</t>
        </is>
      </c>
      <c r="B1439" s="1" t="n">
        <v>43434</v>
      </c>
      <c r="C1439" s="1" t="n">
        <v>45182</v>
      </c>
      <c r="D1439" t="inlineStr">
        <is>
          <t>JÄMTLANDS LÄN</t>
        </is>
      </c>
      <c r="E1439" t="inlineStr">
        <is>
          <t>STRÖMSUND</t>
        </is>
      </c>
      <c r="F1439" t="inlineStr">
        <is>
          <t>SCA</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66766-2018</t>
        </is>
      </c>
      <c r="B1440" s="1" t="n">
        <v>43437</v>
      </c>
      <c r="C1440" s="1" t="n">
        <v>45182</v>
      </c>
      <c r="D1440" t="inlineStr">
        <is>
          <t>JÄMTLANDS LÄN</t>
        </is>
      </c>
      <c r="E1440" t="inlineStr">
        <is>
          <t>BRÄCKE</t>
        </is>
      </c>
      <c r="G1440" t="n">
        <v>8.5</v>
      </c>
      <c r="H1440" t="n">
        <v>0</v>
      </c>
      <c r="I1440" t="n">
        <v>0</v>
      </c>
      <c r="J1440" t="n">
        <v>0</v>
      </c>
      <c r="K1440" t="n">
        <v>0</v>
      </c>
      <c r="L1440" t="n">
        <v>0</v>
      </c>
      <c r="M1440" t="n">
        <v>0</v>
      </c>
      <c r="N1440" t="n">
        <v>0</v>
      </c>
      <c r="O1440" t="n">
        <v>0</v>
      </c>
      <c r="P1440" t="n">
        <v>0</v>
      </c>
      <c r="Q1440" t="n">
        <v>0</v>
      </c>
      <c r="R1440" s="2" t="inlineStr"/>
    </row>
    <row r="1441" ht="15" customHeight="1">
      <c r="A1441" t="inlineStr">
        <is>
          <t>A 66773-2018</t>
        </is>
      </c>
      <c r="B1441" s="1" t="n">
        <v>43437</v>
      </c>
      <c r="C1441" s="1" t="n">
        <v>45182</v>
      </c>
      <c r="D1441" t="inlineStr">
        <is>
          <t>JÄMTLANDS LÄN</t>
        </is>
      </c>
      <c r="E1441" t="inlineStr">
        <is>
          <t>BERG</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66771-2018</t>
        </is>
      </c>
      <c r="B1442" s="1" t="n">
        <v>43437</v>
      </c>
      <c r="C1442" s="1" t="n">
        <v>45182</v>
      </c>
      <c r="D1442" t="inlineStr">
        <is>
          <t>JÄMTLANDS LÄN</t>
        </is>
      </c>
      <c r="E1442" t="inlineStr">
        <is>
          <t>HÄRJEDALEN</t>
        </is>
      </c>
      <c r="G1442" t="n">
        <v>2</v>
      </c>
      <c r="H1442" t="n">
        <v>0</v>
      </c>
      <c r="I1442" t="n">
        <v>0</v>
      </c>
      <c r="J1442" t="n">
        <v>0</v>
      </c>
      <c r="K1442" t="n">
        <v>0</v>
      </c>
      <c r="L1442" t="n">
        <v>0</v>
      </c>
      <c r="M1442" t="n">
        <v>0</v>
      </c>
      <c r="N1442" t="n">
        <v>0</v>
      </c>
      <c r="O1442" t="n">
        <v>0</v>
      </c>
      <c r="P1442" t="n">
        <v>0</v>
      </c>
      <c r="Q1442" t="n">
        <v>0</v>
      </c>
      <c r="R1442" s="2" t="inlineStr"/>
    </row>
    <row r="1443" ht="15" customHeight="1">
      <c r="A1443" t="inlineStr">
        <is>
          <t>A 66809-2018</t>
        </is>
      </c>
      <c r="B1443" s="1" t="n">
        <v>43437</v>
      </c>
      <c r="C1443" s="1" t="n">
        <v>45182</v>
      </c>
      <c r="D1443" t="inlineStr">
        <is>
          <t>JÄMTLANDS LÄN</t>
        </is>
      </c>
      <c r="E1443" t="inlineStr">
        <is>
          <t>KROKOM</t>
        </is>
      </c>
      <c r="G1443" t="n">
        <v>6.1</v>
      </c>
      <c r="H1443" t="n">
        <v>0</v>
      </c>
      <c r="I1443" t="n">
        <v>0</v>
      </c>
      <c r="J1443" t="n">
        <v>0</v>
      </c>
      <c r="K1443" t="n">
        <v>0</v>
      </c>
      <c r="L1443" t="n">
        <v>0</v>
      </c>
      <c r="M1443" t="n">
        <v>0</v>
      </c>
      <c r="N1443" t="n">
        <v>0</v>
      </c>
      <c r="O1443" t="n">
        <v>0</v>
      </c>
      <c r="P1443" t="n">
        <v>0</v>
      </c>
      <c r="Q1443" t="n">
        <v>0</v>
      </c>
      <c r="R1443" s="2" t="inlineStr"/>
    </row>
    <row r="1444" ht="15" customHeight="1">
      <c r="A1444" t="inlineStr">
        <is>
          <t>A 66828-2018</t>
        </is>
      </c>
      <c r="B1444" s="1" t="n">
        <v>43437</v>
      </c>
      <c r="C1444" s="1" t="n">
        <v>45182</v>
      </c>
      <c r="D1444" t="inlineStr">
        <is>
          <t>JÄMTLANDS LÄN</t>
        </is>
      </c>
      <c r="E1444" t="inlineStr">
        <is>
          <t>RAGUNDA</t>
        </is>
      </c>
      <c r="F1444" t="inlineStr">
        <is>
          <t>SCA</t>
        </is>
      </c>
      <c r="G1444" t="n">
        <v>11.5</v>
      </c>
      <c r="H1444" t="n">
        <v>0</v>
      </c>
      <c r="I1444" t="n">
        <v>0</v>
      </c>
      <c r="J1444" t="n">
        <v>0</v>
      </c>
      <c r="K1444" t="n">
        <v>0</v>
      </c>
      <c r="L1444" t="n">
        <v>0</v>
      </c>
      <c r="M1444" t="n">
        <v>0</v>
      </c>
      <c r="N1444" t="n">
        <v>0</v>
      </c>
      <c r="O1444" t="n">
        <v>0</v>
      </c>
      <c r="P1444" t="n">
        <v>0</v>
      </c>
      <c r="Q1444" t="n">
        <v>0</v>
      </c>
      <c r="R1444" s="2" t="inlineStr"/>
    </row>
    <row r="1445" ht="15" customHeight="1">
      <c r="A1445" t="inlineStr">
        <is>
          <t>A 67178-2018</t>
        </is>
      </c>
      <c r="B1445" s="1" t="n">
        <v>43438</v>
      </c>
      <c r="C1445" s="1" t="n">
        <v>45182</v>
      </c>
      <c r="D1445" t="inlineStr">
        <is>
          <t>JÄMTLANDS LÄN</t>
        </is>
      </c>
      <c r="E1445" t="inlineStr">
        <is>
          <t>BRÄCKE</t>
        </is>
      </c>
      <c r="F1445" t="inlineStr">
        <is>
          <t>SCA</t>
        </is>
      </c>
      <c r="G1445" t="n">
        <v>2.8</v>
      </c>
      <c r="H1445" t="n">
        <v>0</v>
      </c>
      <c r="I1445" t="n">
        <v>0</v>
      </c>
      <c r="J1445" t="n">
        <v>0</v>
      </c>
      <c r="K1445" t="n">
        <v>0</v>
      </c>
      <c r="L1445" t="n">
        <v>0</v>
      </c>
      <c r="M1445" t="n">
        <v>0</v>
      </c>
      <c r="N1445" t="n">
        <v>0</v>
      </c>
      <c r="O1445" t="n">
        <v>0</v>
      </c>
      <c r="P1445" t="n">
        <v>0</v>
      </c>
      <c r="Q1445" t="n">
        <v>0</v>
      </c>
      <c r="R1445" s="2" t="inlineStr"/>
    </row>
    <row r="1446" ht="15" customHeight="1">
      <c r="A1446" t="inlineStr">
        <is>
          <t>A 67163-2018</t>
        </is>
      </c>
      <c r="B1446" s="1" t="n">
        <v>43438</v>
      </c>
      <c r="C1446" s="1" t="n">
        <v>45182</v>
      </c>
      <c r="D1446" t="inlineStr">
        <is>
          <t>JÄMTLANDS LÄN</t>
        </is>
      </c>
      <c r="E1446" t="inlineStr">
        <is>
          <t>STRÖMSUND</t>
        </is>
      </c>
      <c r="G1446" t="n">
        <v>11.6</v>
      </c>
      <c r="H1446" t="n">
        <v>0</v>
      </c>
      <c r="I1446" t="n">
        <v>0</v>
      </c>
      <c r="J1446" t="n">
        <v>0</v>
      </c>
      <c r="K1446" t="n">
        <v>0</v>
      </c>
      <c r="L1446" t="n">
        <v>0</v>
      </c>
      <c r="M1446" t="n">
        <v>0</v>
      </c>
      <c r="N1446" t="n">
        <v>0</v>
      </c>
      <c r="O1446" t="n">
        <v>0</v>
      </c>
      <c r="P1446" t="n">
        <v>0</v>
      </c>
      <c r="Q1446" t="n">
        <v>0</v>
      </c>
      <c r="R1446" s="2" t="inlineStr"/>
    </row>
    <row r="1447" ht="15" customHeight="1">
      <c r="A1447" t="inlineStr">
        <is>
          <t>A 66753-2018</t>
        </is>
      </c>
      <c r="B1447" s="1" t="n">
        <v>43438</v>
      </c>
      <c r="C1447" s="1" t="n">
        <v>45182</v>
      </c>
      <c r="D1447" t="inlineStr">
        <is>
          <t>JÄMTLANDS LÄN</t>
        </is>
      </c>
      <c r="E1447" t="inlineStr">
        <is>
          <t>HÄRJEDALEN</t>
        </is>
      </c>
      <c r="G1447" t="n">
        <v>0.2</v>
      </c>
      <c r="H1447" t="n">
        <v>0</v>
      </c>
      <c r="I1447" t="n">
        <v>0</v>
      </c>
      <c r="J1447" t="n">
        <v>0</v>
      </c>
      <c r="K1447" t="n">
        <v>0</v>
      </c>
      <c r="L1447" t="n">
        <v>0</v>
      </c>
      <c r="M1447" t="n">
        <v>0</v>
      </c>
      <c r="N1447" t="n">
        <v>0</v>
      </c>
      <c r="O1447" t="n">
        <v>0</v>
      </c>
      <c r="P1447" t="n">
        <v>0</v>
      </c>
      <c r="Q1447" t="n">
        <v>0</v>
      </c>
      <c r="R1447" s="2" t="inlineStr"/>
    </row>
    <row r="1448" ht="15" customHeight="1">
      <c r="A1448" t="inlineStr">
        <is>
          <t>A 66894-2018</t>
        </is>
      </c>
      <c r="B1448" s="1" t="n">
        <v>43438</v>
      </c>
      <c r="C1448" s="1" t="n">
        <v>45182</v>
      </c>
      <c r="D1448" t="inlineStr">
        <is>
          <t>JÄMTLANDS LÄN</t>
        </is>
      </c>
      <c r="E1448" t="inlineStr">
        <is>
          <t>RAGUNDA</t>
        </is>
      </c>
      <c r="G1448" t="n">
        <v>3.9</v>
      </c>
      <c r="H1448" t="n">
        <v>0</v>
      </c>
      <c r="I1448" t="n">
        <v>0</v>
      </c>
      <c r="J1448" t="n">
        <v>0</v>
      </c>
      <c r="K1448" t="n">
        <v>0</v>
      </c>
      <c r="L1448" t="n">
        <v>0</v>
      </c>
      <c r="M1448" t="n">
        <v>0</v>
      </c>
      <c r="N1448" t="n">
        <v>0</v>
      </c>
      <c r="O1448" t="n">
        <v>0</v>
      </c>
      <c r="P1448" t="n">
        <v>0</v>
      </c>
      <c r="Q1448" t="n">
        <v>0</v>
      </c>
      <c r="R1448" s="2" t="inlineStr"/>
    </row>
    <row r="1449" ht="15" customHeight="1">
      <c r="A1449" t="inlineStr">
        <is>
          <t>A 67197-2018</t>
        </is>
      </c>
      <c r="B1449" s="1" t="n">
        <v>43438</v>
      </c>
      <c r="C1449" s="1" t="n">
        <v>45182</v>
      </c>
      <c r="D1449" t="inlineStr">
        <is>
          <t>JÄMTLANDS LÄN</t>
        </is>
      </c>
      <c r="E1449" t="inlineStr">
        <is>
          <t>STRÖMSUND</t>
        </is>
      </c>
      <c r="F1449" t="inlineStr">
        <is>
          <t>SCA</t>
        </is>
      </c>
      <c r="G1449" t="n">
        <v>5.7</v>
      </c>
      <c r="H1449" t="n">
        <v>0</v>
      </c>
      <c r="I1449" t="n">
        <v>0</v>
      </c>
      <c r="J1449" t="n">
        <v>0</v>
      </c>
      <c r="K1449" t="n">
        <v>0</v>
      </c>
      <c r="L1449" t="n">
        <v>0</v>
      </c>
      <c r="M1449" t="n">
        <v>0</v>
      </c>
      <c r="N1449" t="n">
        <v>0</v>
      </c>
      <c r="O1449" t="n">
        <v>0</v>
      </c>
      <c r="P1449" t="n">
        <v>0</v>
      </c>
      <c r="Q1449" t="n">
        <v>0</v>
      </c>
      <c r="R1449" s="2" t="inlineStr"/>
    </row>
    <row r="1450" ht="15" customHeight="1">
      <c r="A1450" t="inlineStr">
        <is>
          <t>A 67377-2018</t>
        </is>
      </c>
      <c r="B1450" s="1" t="n">
        <v>43439</v>
      </c>
      <c r="C1450" s="1" t="n">
        <v>45182</v>
      </c>
      <c r="D1450" t="inlineStr">
        <is>
          <t>JÄMTLANDS LÄN</t>
        </is>
      </c>
      <c r="E1450" t="inlineStr">
        <is>
          <t>HÄRJEDALEN</t>
        </is>
      </c>
      <c r="F1450" t="inlineStr">
        <is>
          <t>Bergvik skog väst AB</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67578-2018</t>
        </is>
      </c>
      <c r="B1451" s="1" t="n">
        <v>43439</v>
      </c>
      <c r="C1451" s="1" t="n">
        <v>45182</v>
      </c>
      <c r="D1451" t="inlineStr">
        <is>
          <t>JÄMTLANDS LÄN</t>
        </is>
      </c>
      <c r="E1451" t="inlineStr">
        <is>
          <t>BRÄCKE</t>
        </is>
      </c>
      <c r="F1451" t="inlineStr">
        <is>
          <t>SCA</t>
        </is>
      </c>
      <c r="G1451" t="n">
        <v>32.5</v>
      </c>
      <c r="H1451" t="n">
        <v>0</v>
      </c>
      <c r="I1451" t="n">
        <v>0</v>
      </c>
      <c r="J1451" t="n">
        <v>0</v>
      </c>
      <c r="K1451" t="n">
        <v>0</v>
      </c>
      <c r="L1451" t="n">
        <v>0</v>
      </c>
      <c r="M1451" t="n">
        <v>0</v>
      </c>
      <c r="N1451" t="n">
        <v>0</v>
      </c>
      <c r="O1451" t="n">
        <v>0</v>
      </c>
      <c r="P1451" t="n">
        <v>0</v>
      </c>
      <c r="Q1451" t="n">
        <v>0</v>
      </c>
      <c r="R1451" s="2" t="inlineStr"/>
    </row>
    <row r="1452" ht="15" customHeight="1">
      <c r="A1452" t="inlineStr">
        <is>
          <t>A 68550-2018</t>
        </is>
      </c>
      <c r="B1452" s="1" t="n">
        <v>43439</v>
      </c>
      <c r="C1452" s="1" t="n">
        <v>45182</v>
      </c>
      <c r="D1452" t="inlineStr">
        <is>
          <t>JÄMTLANDS LÄN</t>
        </is>
      </c>
      <c r="E1452" t="inlineStr">
        <is>
          <t>ÖSTERSUND</t>
        </is>
      </c>
      <c r="G1452" t="n">
        <v>0.8</v>
      </c>
      <c r="H1452" t="n">
        <v>0</v>
      </c>
      <c r="I1452" t="n">
        <v>0</v>
      </c>
      <c r="J1452" t="n">
        <v>0</v>
      </c>
      <c r="K1452" t="n">
        <v>0</v>
      </c>
      <c r="L1452" t="n">
        <v>0</v>
      </c>
      <c r="M1452" t="n">
        <v>0</v>
      </c>
      <c r="N1452" t="n">
        <v>0</v>
      </c>
      <c r="O1452" t="n">
        <v>0</v>
      </c>
      <c r="P1452" t="n">
        <v>0</v>
      </c>
      <c r="Q1452" t="n">
        <v>0</v>
      </c>
      <c r="R1452" s="2" t="inlineStr"/>
    </row>
    <row r="1453" ht="15" customHeight="1">
      <c r="A1453" t="inlineStr">
        <is>
          <t>A 67305-2018</t>
        </is>
      </c>
      <c r="B1453" s="1" t="n">
        <v>43439</v>
      </c>
      <c r="C1453" s="1" t="n">
        <v>45182</v>
      </c>
      <c r="D1453" t="inlineStr">
        <is>
          <t>JÄMTLANDS LÄN</t>
        </is>
      </c>
      <c r="E1453" t="inlineStr">
        <is>
          <t>ÅRE</t>
        </is>
      </c>
      <c r="G1453" t="n">
        <v>15.8</v>
      </c>
      <c r="H1453" t="n">
        <v>0</v>
      </c>
      <c r="I1453" t="n">
        <v>0</v>
      </c>
      <c r="J1453" t="n">
        <v>0</v>
      </c>
      <c r="K1453" t="n">
        <v>0</v>
      </c>
      <c r="L1453" t="n">
        <v>0</v>
      </c>
      <c r="M1453" t="n">
        <v>0</v>
      </c>
      <c r="N1453" t="n">
        <v>0</v>
      </c>
      <c r="O1453" t="n">
        <v>0</v>
      </c>
      <c r="P1453" t="n">
        <v>0</v>
      </c>
      <c r="Q1453" t="n">
        <v>0</v>
      </c>
      <c r="R1453" s="2" t="inlineStr"/>
    </row>
    <row r="1454" ht="15" customHeight="1">
      <c r="A1454" t="inlineStr">
        <is>
          <t>A 68536-2018</t>
        </is>
      </c>
      <c r="B1454" s="1" t="n">
        <v>43439</v>
      </c>
      <c r="C1454" s="1" t="n">
        <v>45182</v>
      </c>
      <c r="D1454" t="inlineStr">
        <is>
          <t>JÄMTLANDS LÄN</t>
        </is>
      </c>
      <c r="E1454" t="inlineStr">
        <is>
          <t>KROKOM</t>
        </is>
      </c>
      <c r="G1454" t="n">
        <v>3.9</v>
      </c>
      <c r="H1454" t="n">
        <v>0</v>
      </c>
      <c r="I1454" t="n">
        <v>0</v>
      </c>
      <c r="J1454" t="n">
        <v>0</v>
      </c>
      <c r="K1454" t="n">
        <v>0</v>
      </c>
      <c r="L1454" t="n">
        <v>0</v>
      </c>
      <c r="M1454" t="n">
        <v>0</v>
      </c>
      <c r="N1454" t="n">
        <v>0</v>
      </c>
      <c r="O1454" t="n">
        <v>0</v>
      </c>
      <c r="P1454" t="n">
        <v>0</v>
      </c>
      <c r="Q1454" t="n">
        <v>0</v>
      </c>
      <c r="R1454" s="2" t="inlineStr"/>
    </row>
    <row r="1455" ht="15" customHeight="1">
      <c r="A1455" t="inlineStr">
        <is>
          <t>A 67690-2018</t>
        </is>
      </c>
      <c r="B1455" s="1" t="n">
        <v>43440</v>
      </c>
      <c r="C1455" s="1" t="n">
        <v>45182</v>
      </c>
      <c r="D1455" t="inlineStr">
        <is>
          <t>JÄMTLANDS LÄN</t>
        </is>
      </c>
      <c r="E1455" t="inlineStr">
        <is>
          <t>HÄRJEDALEN</t>
        </is>
      </c>
      <c r="G1455" t="n">
        <v>5.2</v>
      </c>
      <c r="H1455" t="n">
        <v>0</v>
      </c>
      <c r="I1455" t="n">
        <v>0</v>
      </c>
      <c r="J1455" t="n">
        <v>0</v>
      </c>
      <c r="K1455" t="n">
        <v>0</v>
      </c>
      <c r="L1455" t="n">
        <v>0</v>
      </c>
      <c r="M1455" t="n">
        <v>0</v>
      </c>
      <c r="N1455" t="n">
        <v>0</v>
      </c>
      <c r="O1455" t="n">
        <v>0</v>
      </c>
      <c r="P1455" t="n">
        <v>0</v>
      </c>
      <c r="Q1455" t="n">
        <v>0</v>
      </c>
      <c r="R1455" s="2" t="inlineStr"/>
    </row>
    <row r="1456" ht="15" customHeight="1">
      <c r="A1456" t="inlineStr">
        <is>
          <t>A 67994-2018</t>
        </is>
      </c>
      <c r="B1456" s="1" t="n">
        <v>43440</v>
      </c>
      <c r="C1456" s="1" t="n">
        <v>45182</v>
      </c>
      <c r="D1456" t="inlineStr">
        <is>
          <t>JÄMTLANDS LÄN</t>
        </is>
      </c>
      <c r="E1456" t="inlineStr">
        <is>
          <t>STRÖMSUND</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69129-2018</t>
        </is>
      </c>
      <c r="B1457" s="1" t="n">
        <v>43440</v>
      </c>
      <c r="C1457" s="1" t="n">
        <v>45182</v>
      </c>
      <c r="D1457" t="inlineStr">
        <is>
          <t>JÄMTLANDS LÄN</t>
        </is>
      </c>
      <c r="E1457" t="inlineStr">
        <is>
          <t>ÖSTERSUND</t>
        </is>
      </c>
      <c r="G1457" t="n">
        <v>15.1</v>
      </c>
      <c r="H1457" t="n">
        <v>0</v>
      </c>
      <c r="I1457" t="n">
        <v>0</v>
      </c>
      <c r="J1457" t="n">
        <v>0</v>
      </c>
      <c r="K1457" t="n">
        <v>0</v>
      </c>
      <c r="L1457" t="n">
        <v>0</v>
      </c>
      <c r="M1457" t="n">
        <v>0</v>
      </c>
      <c r="N1457" t="n">
        <v>0</v>
      </c>
      <c r="O1457" t="n">
        <v>0</v>
      </c>
      <c r="P1457" t="n">
        <v>0</v>
      </c>
      <c r="Q1457" t="n">
        <v>0</v>
      </c>
      <c r="R1457" s="2" t="inlineStr"/>
    </row>
    <row r="1458" ht="15" customHeight="1">
      <c r="A1458" t="inlineStr">
        <is>
          <t>A 68013-2018</t>
        </is>
      </c>
      <c r="B1458" s="1" t="n">
        <v>43440</v>
      </c>
      <c r="C1458" s="1" t="n">
        <v>45182</v>
      </c>
      <c r="D1458" t="inlineStr">
        <is>
          <t>JÄMTLANDS LÄN</t>
        </is>
      </c>
      <c r="E1458" t="inlineStr">
        <is>
          <t>RAGUNDA</t>
        </is>
      </c>
      <c r="G1458" t="n">
        <v>16.6</v>
      </c>
      <c r="H1458" t="n">
        <v>0</v>
      </c>
      <c r="I1458" t="n">
        <v>0</v>
      </c>
      <c r="J1458" t="n">
        <v>0</v>
      </c>
      <c r="K1458" t="n">
        <v>0</v>
      </c>
      <c r="L1458" t="n">
        <v>0</v>
      </c>
      <c r="M1458" t="n">
        <v>0</v>
      </c>
      <c r="N1458" t="n">
        <v>0</v>
      </c>
      <c r="O1458" t="n">
        <v>0</v>
      </c>
      <c r="P1458" t="n">
        <v>0</v>
      </c>
      <c r="Q1458" t="n">
        <v>0</v>
      </c>
      <c r="R1458" s="2" t="inlineStr"/>
    </row>
    <row r="1459" ht="15" customHeight="1">
      <c r="A1459" t="inlineStr">
        <is>
          <t>A 68324-2018</t>
        </is>
      </c>
      <c r="B1459" s="1" t="n">
        <v>43441</v>
      </c>
      <c r="C1459" s="1" t="n">
        <v>45182</v>
      </c>
      <c r="D1459" t="inlineStr">
        <is>
          <t>JÄMTLANDS LÄN</t>
        </is>
      </c>
      <c r="E1459" t="inlineStr">
        <is>
          <t>KROKOM</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68317-2018</t>
        </is>
      </c>
      <c r="B1460" s="1" t="n">
        <v>43441</v>
      </c>
      <c r="C1460" s="1" t="n">
        <v>45182</v>
      </c>
      <c r="D1460" t="inlineStr">
        <is>
          <t>JÄMTLANDS LÄN</t>
        </is>
      </c>
      <c r="E1460" t="inlineStr">
        <is>
          <t>KROKOM</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68655-2018</t>
        </is>
      </c>
      <c r="B1461" s="1" t="n">
        <v>43444</v>
      </c>
      <c r="C1461" s="1" t="n">
        <v>45182</v>
      </c>
      <c r="D1461" t="inlineStr">
        <is>
          <t>JÄMTLANDS LÄN</t>
        </is>
      </c>
      <c r="E1461" t="inlineStr">
        <is>
          <t>ÅRE</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68778-2018</t>
        </is>
      </c>
      <c r="B1462" s="1" t="n">
        <v>43444</v>
      </c>
      <c r="C1462" s="1" t="n">
        <v>45182</v>
      </c>
      <c r="D1462" t="inlineStr">
        <is>
          <t>JÄMTLANDS LÄN</t>
        </is>
      </c>
      <c r="E1462" t="inlineStr">
        <is>
          <t>RAGUNDA</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68659-2018</t>
        </is>
      </c>
      <c r="B1463" s="1" t="n">
        <v>43444</v>
      </c>
      <c r="C1463" s="1" t="n">
        <v>45182</v>
      </c>
      <c r="D1463" t="inlineStr">
        <is>
          <t>JÄMTLANDS LÄN</t>
        </is>
      </c>
      <c r="E1463" t="inlineStr">
        <is>
          <t>ÅRE</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68616-2018</t>
        </is>
      </c>
      <c r="B1464" s="1" t="n">
        <v>43444</v>
      </c>
      <c r="C1464" s="1" t="n">
        <v>45182</v>
      </c>
      <c r="D1464" t="inlineStr">
        <is>
          <t>JÄMTLANDS LÄN</t>
        </is>
      </c>
      <c r="E1464" t="inlineStr">
        <is>
          <t>ÅRE</t>
        </is>
      </c>
      <c r="G1464" t="n">
        <v>4.2</v>
      </c>
      <c r="H1464" t="n">
        <v>0</v>
      </c>
      <c r="I1464" t="n">
        <v>0</v>
      </c>
      <c r="J1464" t="n">
        <v>0</v>
      </c>
      <c r="K1464" t="n">
        <v>0</v>
      </c>
      <c r="L1464" t="n">
        <v>0</v>
      </c>
      <c r="M1464" t="n">
        <v>0</v>
      </c>
      <c r="N1464" t="n">
        <v>0</v>
      </c>
      <c r="O1464" t="n">
        <v>0</v>
      </c>
      <c r="P1464" t="n">
        <v>0</v>
      </c>
      <c r="Q1464" t="n">
        <v>0</v>
      </c>
      <c r="R1464" s="2" t="inlineStr"/>
    </row>
    <row r="1465" ht="15" customHeight="1">
      <c r="A1465" t="inlineStr">
        <is>
          <t>A 68713-2018</t>
        </is>
      </c>
      <c r="B1465" s="1" t="n">
        <v>43444</v>
      </c>
      <c r="C1465" s="1" t="n">
        <v>45182</v>
      </c>
      <c r="D1465" t="inlineStr">
        <is>
          <t>JÄMTLANDS LÄN</t>
        </is>
      </c>
      <c r="E1465" t="inlineStr">
        <is>
          <t>BERG</t>
        </is>
      </c>
      <c r="G1465" t="n">
        <v>6.1</v>
      </c>
      <c r="H1465" t="n">
        <v>0</v>
      </c>
      <c r="I1465" t="n">
        <v>0</v>
      </c>
      <c r="J1465" t="n">
        <v>0</v>
      </c>
      <c r="K1465" t="n">
        <v>0</v>
      </c>
      <c r="L1465" t="n">
        <v>0</v>
      </c>
      <c r="M1465" t="n">
        <v>0</v>
      </c>
      <c r="N1465" t="n">
        <v>0</v>
      </c>
      <c r="O1465" t="n">
        <v>0</v>
      </c>
      <c r="P1465" t="n">
        <v>0</v>
      </c>
      <c r="Q1465" t="n">
        <v>0</v>
      </c>
      <c r="R1465" s="2" t="inlineStr"/>
    </row>
    <row r="1466" ht="15" customHeight="1">
      <c r="A1466" t="inlineStr">
        <is>
          <t>A 69218-2018</t>
        </is>
      </c>
      <c r="B1466" s="1" t="n">
        <v>43445</v>
      </c>
      <c r="C1466" s="1" t="n">
        <v>45182</v>
      </c>
      <c r="D1466" t="inlineStr">
        <is>
          <t>JÄMTLANDS LÄN</t>
        </is>
      </c>
      <c r="E1466" t="inlineStr">
        <is>
          <t>HÄRJEDALEN</t>
        </is>
      </c>
      <c r="G1466" t="n">
        <v>0.2</v>
      </c>
      <c r="H1466" t="n">
        <v>0</v>
      </c>
      <c r="I1466" t="n">
        <v>0</v>
      </c>
      <c r="J1466" t="n">
        <v>0</v>
      </c>
      <c r="K1466" t="n">
        <v>0</v>
      </c>
      <c r="L1466" t="n">
        <v>0</v>
      </c>
      <c r="M1466" t="n">
        <v>0</v>
      </c>
      <c r="N1466" t="n">
        <v>0</v>
      </c>
      <c r="O1466" t="n">
        <v>0</v>
      </c>
      <c r="P1466" t="n">
        <v>0</v>
      </c>
      <c r="Q1466" t="n">
        <v>0</v>
      </c>
      <c r="R1466" s="2" t="inlineStr"/>
    </row>
    <row r="1467" ht="15" customHeight="1">
      <c r="A1467" t="inlineStr">
        <is>
          <t>A 69219-2018</t>
        </is>
      </c>
      <c r="B1467" s="1" t="n">
        <v>43445</v>
      </c>
      <c r="C1467" s="1" t="n">
        <v>45182</v>
      </c>
      <c r="D1467" t="inlineStr">
        <is>
          <t>JÄMTLANDS LÄN</t>
        </is>
      </c>
      <c r="E1467" t="inlineStr">
        <is>
          <t>HÄRJEDALEN</t>
        </is>
      </c>
      <c r="G1467" t="n">
        <v>0.1</v>
      </c>
      <c r="H1467" t="n">
        <v>0</v>
      </c>
      <c r="I1467" t="n">
        <v>0</v>
      </c>
      <c r="J1467" t="n">
        <v>0</v>
      </c>
      <c r="K1467" t="n">
        <v>0</v>
      </c>
      <c r="L1467" t="n">
        <v>0</v>
      </c>
      <c r="M1467" t="n">
        <v>0</v>
      </c>
      <c r="N1467" t="n">
        <v>0</v>
      </c>
      <c r="O1467" t="n">
        <v>0</v>
      </c>
      <c r="P1467" t="n">
        <v>0</v>
      </c>
      <c r="Q1467" t="n">
        <v>0</v>
      </c>
      <c r="R1467" s="2" t="inlineStr"/>
    </row>
    <row r="1468" ht="15" customHeight="1">
      <c r="A1468" t="inlineStr">
        <is>
          <t>A 69217-2018</t>
        </is>
      </c>
      <c r="B1468" s="1" t="n">
        <v>43445</v>
      </c>
      <c r="C1468" s="1" t="n">
        <v>45182</v>
      </c>
      <c r="D1468" t="inlineStr">
        <is>
          <t>JÄMTLANDS LÄN</t>
        </is>
      </c>
      <c r="E1468" t="inlineStr">
        <is>
          <t>HÄRJEDALEN</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68920-2018</t>
        </is>
      </c>
      <c r="B1469" s="1" t="n">
        <v>43445</v>
      </c>
      <c r="C1469" s="1" t="n">
        <v>45182</v>
      </c>
      <c r="D1469" t="inlineStr">
        <is>
          <t>JÄMTLANDS LÄN</t>
        </is>
      </c>
      <c r="E1469" t="inlineStr">
        <is>
          <t>BRÄCKE</t>
        </is>
      </c>
      <c r="G1469" t="n">
        <v>12.6</v>
      </c>
      <c r="H1469" t="n">
        <v>0</v>
      </c>
      <c r="I1469" t="n">
        <v>0</v>
      </c>
      <c r="J1469" t="n">
        <v>0</v>
      </c>
      <c r="K1469" t="n">
        <v>0</v>
      </c>
      <c r="L1469" t="n">
        <v>0</v>
      </c>
      <c r="M1469" t="n">
        <v>0</v>
      </c>
      <c r="N1469" t="n">
        <v>0</v>
      </c>
      <c r="O1469" t="n">
        <v>0</v>
      </c>
      <c r="P1469" t="n">
        <v>0</v>
      </c>
      <c r="Q1469" t="n">
        <v>0</v>
      </c>
      <c r="R1469" s="2" t="inlineStr"/>
    </row>
    <row r="1470" ht="15" customHeight="1">
      <c r="A1470" t="inlineStr">
        <is>
          <t>A 69220-2018</t>
        </is>
      </c>
      <c r="B1470" s="1" t="n">
        <v>43445</v>
      </c>
      <c r="C1470" s="1" t="n">
        <v>45182</v>
      </c>
      <c r="D1470" t="inlineStr">
        <is>
          <t>JÄMTLANDS LÄN</t>
        </is>
      </c>
      <c r="E1470" t="inlineStr">
        <is>
          <t>HÄRJEDALEN</t>
        </is>
      </c>
      <c r="G1470" t="n">
        <v>0.1</v>
      </c>
      <c r="H1470" t="n">
        <v>0</v>
      </c>
      <c r="I1470" t="n">
        <v>0</v>
      </c>
      <c r="J1470" t="n">
        <v>0</v>
      </c>
      <c r="K1470" t="n">
        <v>0</v>
      </c>
      <c r="L1470" t="n">
        <v>0</v>
      </c>
      <c r="M1470" t="n">
        <v>0</v>
      </c>
      <c r="N1470" t="n">
        <v>0</v>
      </c>
      <c r="O1470" t="n">
        <v>0</v>
      </c>
      <c r="P1470" t="n">
        <v>0</v>
      </c>
      <c r="Q1470" t="n">
        <v>0</v>
      </c>
      <c r="R1470" s="2" t="inlineStr"/>
    </row>
    <row r="1471" ht="15" customHeight="1">
      <c r="A1471" t="inlineStr">
        <is>
          <t>A 69597-2018</t>
        </is>
      </c>
      <c r="B1471" s="1" t="n">
        <v>43446</v>
      </c>
      <c r="C1471" s="1" t="n">
        <v>45182</v>
      </c>
      <c r="D1471" t="inlineStr">
        <is>
          <t>JÄMTLANDS LÄN</t>
        </is>
      </c>
      <c r="E1471" t="inlineStr">
        <is>
          <t>STRÖMSUND</t>
        </is>
      </c>
      <c r="G1471" t="n">
        <v>29.9</v>
      </c>
      <c r="H1471" t="n">
        <v>0</v>
      </c>
      <c r="I1471" t="n">
        <v>0</v>
      </c>
      <c r="J1471" t="n">
        <v>0</v>
      </c>
      <c r="K1471" t="n">
        <v>0</v>
      </c>
      <c r="L1471" t="n">
        <v>0</v>
      </c>
      <c r="M1471" t="n">
        <v>0</v>
      </c>
      <c r="N1471" t="n">
        <v>0</v>
      </c>
      <c r="O1471" t="n">
        <v>0</v>
      </c>
      <c r="P1471" t="n">
        <v>0</v>
      </c>
      <c r="Q1471" t="n">
        <v>0</v>
      </c>
      <c r="R1471" s="2" t="inlineStr"/>
    </row>
    <row r="1472" ht="15" customHeight="1">
      <c r="A1472" t="inlineStr">
        <is>
          <t>A 69600-2018</t>
        </is>
      </c>
      <c r="B1472" s="1" t="n">
        <v>43446</v>
      </c>
      <c r="C1472" s="1" t="n">
        <v>45182</v>
      </c>
      <c r="D1472" t="inlineStr">
        <is>
          <t>JÄMTLANDS LÄN</t>
        </is>
      </c>
      <c r="E1472" t="inlineStr">
        <is>
          <t>STRÖMSUND</t>
        </is>
      </c>
      <c r="F1472" t="inlineStr">
        <is>
          <t>SCA</t>
        </is>
      </c>
      <c r="G1472" t="n">
        <v>3.6</v>
      </c>
      <c r="H1472" t="n">
        <v>0</v>
      </c>
      <c r="I1472" t="n">
        <v>0</v>
      </c>
      <c r="J1472" t="n">
        <v>0</v>
      </c>
      <c r="K1472" t="n">
        <v>0</v>
      </c>
      <c r="L1472" t="n">
        <v>0</v>
      </c>
      <c r="M1472" t="n">
        <v>0</v>
      </c>
      <c r="N1472" t="n">
        <v>0</v>
      </c>
      <c r="O1472" t="n">
        <v>0</v>
      </c>
      <c r="P1472" t="n">
        <v>0</v>
      </c>
      <c r="Q1472" t="n">
        <v>0</v>
      </c>
      <c r="R1472" s="2" t="inlineStr"/>
    </row>
    <row r="1473" ht="15" customHeight="1">
      <c r="A1473" t="inlineStr">
        <is>
          <t>A 70313-2018</t>
        </is>
      </c>
      <c r="B1473" s="1" t="n">
        <v>43446</v>
      </c>
      <c r="C1473" s="1" t="n">
        <v>45182</v>
      </c>
      <c r="D1473" t="inlineStr">
        <is>
          <t>JÄMTLANDS LÄN</t>
        </is>
      </c>
      <c r="E1473" t="inlineStr">
        <is>
          <t>STRÖMSUND</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69427-2018</t>
        </is>
      </c>
      <c r="B1474" s="1" t="n">
        <v>43446</v>
      </c>
      <c r="C1474" s="1" t="n">
        <v>45182</v>
      </c>
      <c r="D1474" t="inlineStr">
        <is>
          <t>JÄMTLANDS LÄN</t>
        </is>
      </c>
      <c r="E1474" t="inlineStr">
        <is>
          <t>ÅRE</t>
        </is>
      </c>
      <c r="G1474" t="n">
        <v>0.3</v>
      </c>
      <c r="H1474" t="n">
        <v>0</v>
      </c>
      <c r="I1474" t="n">
        <v>0</v>
      </c>
      <c r="J1474" t="n">
        <v>0</v>
      </c>
      <c r="K1474" t="n">
        <v>0</v>
      </c>
      <c r="L1474" t="n">
        <v>0</v>
      </c>
      <c r="M1474" t="n">
        <v>0</v>
      </c>
      <c r="N1474" t="n">
        <v>0</v>
      </c>
      <c r="O1474" t="n">
        <v>0</v>
      </c>
      <c r="P1474" t="n">
        <v>0</v>
      </c>
      <c r="Q1474" t="n">
        <v>0</v>
      </c>
      <c r="R1474" s="2" t="inlineStr"/>
    </row>
    <row r="1475" ht="15" customHeight="1">
      <c r="A1475" t="inlineStr">
        <is>
          <t>A 69598-2018</t>
        </is>
      </c>
      <c r="B1475" s="1" t="n">
        <v>43446</v>
      </c>
      <c r="C1475" s="1" t="n">
        <v>45182</v>
      </c>
      <c r="D1475" t="inlineStr">
        <is>
          <t>JÄMTLANDS LÄN</t>
        </is>
      </c>
      <c r="E1475" t="inlineStr">
        <is>
          <t>STRÖMSUND</t>
        </is>
      </c>
      <c r="G1475" t="n">
        <v>16.1</v>
      </c>
      <c r="H1475" t="n">
        <v>0</v>
      </c>
      <c r="I1475" t="n">
        <v>0</v>
      </c>
      <c r="J1475" t="n">
        <v>0</v>
      </c>
      <c r="K1475" t="n">
        <v>0</v>
      </c>
      <c r="L1475" t="n">
        <v>0</v>
      </c>
      <c r="M1475" t="n">
        <v>0</v>
      </c>
      <c r="N1475" t="n">
        <v>0</v>
      </c>
      <c r="O1475" t="n">
        <v>0</v>
      </c>
      <c r="P1475" t="n">
        <v>0</v>
      </c>
      <c r="Q1475" t="n">
        <v>0</v>
      </c>
      <c r="R1475" s="2" t="inlineStr"/>
    </row>
    <row r="1476" ht="15" customHeight="1">
      <c r="A1476" t="inlineStr">
        <is>
          <t>A 69965-2018</t>
        </is>
      </c>
      <c r="B1476" s="1" t="n">
        <v>43447</v>
      </c>
      <c r="C1476" s="1" t="n">
        <v>45182</v>
      </c>
      <c r="D1476" t="inlineStr">
        <is>
          <t>JÄMTLANDS LÄN</t>
        </is>
      </c>
      <c r="E1476" t="inlineStr">
        <is>
          <t>STRÖMSUND</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69865-2018</t>
        </is>
      </c>
      <c r="B1477" s="1" t="n">
        <v>43447</v>
      </c>
      <c r="C1477" s="1" t="n">
        <v>45182</v>
      </c>
      <c r="D1477" t="inlineStr">
        <is>
          <t>JÄMTLANDS LÄN</t>
        </is>
      </c>
      <c r="E1477" t="inlineStr">
        <is>
          <t>KROKOM</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69950-2018</t>
        </is>
      </c>
      <c r="B1478" s="1" t="n">
        <v>43447</v>
      </c>
      <c r="C1478" s="1" t="n">
        <v>45182</v>
      </c>
      <c r="D1478" t="inlineStr">
        <is>
          <t>JÄMTLANDS LÄN</t>
        </is>
      </c>
      <c r="E1478" t="inlineStr">
        <is>
          <t>BERG</t>
        </is>
      </c>
      <c r="G1478" t="n">
        <v>9.199999999999999</v>
      </c>
      <c r="H1478" t="n">
        <v>0</v>
      </c>
      <c r="I1478" t="n">
        <v>0</v>
      </c>
      <c r="J1478" t="n">
        <v>0</v>
      </c>
      <c r="K1478" t="n">
        <v>0</v>
      </c>
      <c r="L1478" t="n">
        <v>0</v>
      </c>
      <c r="M1478" t="n">
        <v>0</v>
      </c>
      <c r="N1478" t="n">
        <v>0</v>
      </c>
      <c r="O1478" t="n">
        <v>0</v>
      </c>
      <c r="P1478" t="n">
        <v>0</v>
      </c>
      <c r="Q1478" t="n">
        <v>0</v>
      </c>
      <c r="R1478" s="2" t="inlineStr"/>
    </row>
    <row r="1479" ht="15" customHeight="1">
      <c r="A1479" t="inlineStr">
        <is>
          <t>A 69788-2018</t>
        </is>
      </c>
      <c r="B1479" s="1" t="n">
        <v>43447</v>
      </c>
      <c r="C1479" s="1" t="n">
        <v>45182</v>
      </c>
      <c r="D1479" t="inlineStr">
        <is>
          <t>JÄMTLANDS LÄN</t>
        </is>
      </c>
      <c r="E1479" t="inlineStr">
        <is>
          <t>STRÖMSUND</t>
        </is>
      </c>
      <c r="G1479" t="n">
        <v>6.1</v>
      </c>
      <c r="H1479" t="n">
        <v>0</v>
      </c>
      <c r="I1479" t="n">
        <v>0</v>
      </c>
      <c r="J1479" t="n">
        <v>0</v>
      </c>
      <c r="K1479" t="n">
        <v>0</v>
      </c>
      <c r="L1479" t="n">
        <v>0</v>
      </c>
      <c r="M1479" t="n">
        <v>0</v>
      </c>
      <c r="N1479" t="n">
        <v>0</v>
      </c>
      <c r="O1479" t="n">
        <v>0</v>
      </c>
      <c r="P1479" t="n">
        <v>0</v>
      </c>
      <c r="Q1479" t="n">
        <v>0</v>
      </c>
      <c r="R1479" s="2" t="inlineStr"/>
    </row>
    <row r="1480" ht="15" customHeight="1">
      <c r="A1480" t="inlineStr">
        <is>
          <t>A 70505-2018</t>
        </is>
      </c>
      <c r="B1480" s="1" t="n">
        <v>43447</v>
      </c>
      <c r="C1480" s="1" t="n">
        <v>45182</v>
      </c>
      <c r="D1480" t="inlineStr">
        <is>
          <t>JÄMTLANDS LÄN</t>
        </is>
      </c>
      <c r="E1480" t="inlineStr">
        <is>
          <t>BRÄCKE</t>
        </is>
      </c>
      <c r="G1480" t="n">
        <v>1.3</v>
      </c>
      <c r="H1480" t="n">
        <v>0</v>
      </c>
      <c r="I1480" t="n">
        <v>0</v>
      </c>
      <c r="J1480" t="n">
        <v>0</v>
      </c>
      <c r="K1480" t="n">
        <v>0</v>
      </c>
      <c r="L1480" t="n">
        <v>0</v>
      </c>
      <c r="M1480" t="n">
        <v>0</v>
      </c>
      <c r="N1480" t="n">
        <v>0</v>
      </c>
      <c r="O1480" t="n">
        <v>0</v>
      </c>
      <c r="P1480" t="n">
        <v>0</v>
      </c>
      <c r="Q1480" t="n">
        <v>0</v>
      </c>
      <c r="R1480" s="2" t="inlineStr"/>
    </row>
    <row r="1481" ht="15" customHeight="1">
      <c r="A1481" t="inlineStr">
        <is>
          <t>A 71079-2018</t>
        </is>
      </c>
      <c r="B1481" s="1" t="n">
        <v>43448</v>
      </c>
      <c r="C1481" s="1" t="n">
        <v>45182</v>
      </c>
      <c r="D1481" t="inlineStr">
        <is>
          <t>JÄMTLANDS LÄN</t>
        </is>
      </c>
      <c r="E1481" t="inlineStr">
        <is>
          <t>BERG</t>
        </is>
      </c>
      <c r="G1481" t="n">
        <v>5</v>
      </c>
      <c r="H1481" t="n">
        <v>0</v>
      </c>
      <c r="I1481" t="n">
        <v>0</v>
      </c>
      <c r="J1481" t="n">
        <v>0</v>
      </c>
      <c r="K1481" t="n">
        <v>0</v>
      </c>
      <c r="L1481" t="n">
        <v>0</v>
      </c>
      <c r="M1481" t="n">
        <v>0</v>
      </c>
      <c r="N1481" t="n">
        <v>0</v>
      </c>
      <c r="O1481" t="n">
        <v>0</v>
      </c>
      <c r="P1481" t="n">
        <v>0</v>
      </c>
      <c r="Q1481" t="n">
        <v>0</v>
      </c>
      <c r="R1481" s="2" t="inlineStr"/>
    </row>
    <row r="1482" ht="15" customHeight="1">
      <c r="A1482" t="inlineStr">
        <is>
          <t>A 71348-2018</t>
        </is>
      </c>
      <c r="B1482" s="1" t="n">
        <v>43448</v>
      </c>
      <c r="C1482" s="1" t="n">
        <v>45182</v>
      </c>
      <c r="D1482" t="inlineStr">
        <is>
          <t>JÄMTLANDS LÄN</t>
        </is>
      </c>
      <c r="E1482" t="inlineStr">
        <is>
          <t>BERG</t>
        </is>
      </c>
      <c r="G1482" t="n">
        <v>22.1</v>
      </c>
      <c r="H1482" t="n">
        <v>0</v>
      </c>
      <c r="I1482" t="n">
        <v>0</v>
      </c>
      <c r="J1482" t="n">
        <v>0</v>
      </c>
      <c r="K1482" t="n">
        <v>0</v>
      </c>
      <c r="L1482" t="n">
        <v>0</v>
      </c>
      <c r="M1482" t="n">
        <v>0</v>
      </c>
      <c r="N1482" t="n">
        <v>0</v>
      </c>
      <c r="O1482" t="n">
        <v>0</v>
      </c>
      <c r="P1482" t="n">
        <v>0</v>
      </c>
      <c r="Q1482" t="n">
        <v>0</v>
      </c>
      <c r="R1482" s="2" t="inlineStr"/>
    </row>
    <row r="1483" ht="15" customHeight="1">
      <c r="A1483" t="inlineStr">
        <is>
          <t>A 70245-2018</t>
        </is>
      </c>
      <c r="B1483" s="1" t="n">
        <v>43448</v>
      </c>
      <c r="C1483" s="1" t="n">
        <v>45182</v>
      </c>
      <c r="D1483" t="inlineStr">
        <is>
          <t>JÄMTLANDS LÄN</t>
        </is>
      </c>
      <c r="E1483" t="inlineStr">
        <is>
          <t>STRÖMSUND</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71357-2018</t>
        </is>
      </c>
      <c r="B1484" s="1" t="n">
        <v>43448</v>
      </c>
      <c r="C1484" s="1" t="n">
        <v>45182</v>
      </c>
      <c r="D1484" t="inlineStr">
        <is>
          <t>JÄMTLANDS LÄN</t>
        </is>
      </c>
      <c r="E1484" t="inlineStr">
        <is>
          <t>BERG</t>
        </is>
      </c>
      <c r="G1484" t="n">
        <v>1.9</v>
      </c>
      <c r="H1484" t="n">
        <v>0</v>
      </c>
      <c r="I1484" t="n">
        <v>0</v>
      </c>
      <c r="J1484" t="n">
        <v>0</v>
      </c>
      <c r="K1484" t="n">
        <v>0</v>
      </c>
      <c r="L1484" t="n">
        <v>0</v>
      </c>
      <c r="M1484" t="n">
        <v>0</v>
      </c>
      <c r="N1484" t="n">
        <v>0</v>
      </c>
      <c r="O1484" t="n">
        <v>0</v>
      </c>
      <c r="P1484" t="n">
        <v>0</v>
      </c>
      <c r="Q1484" t="n">
        <v>0</v>
      </c>
      <c r="R1484" s="2" t="inlineStr"/>
    </row>
    <row r="1485" ht="15" customHeight="1">
      <c r="A1485" t="inlineStr">
        <is>
          <t>A 70206-2018</t>
        </is>
      </c>
      <c r="B1485" s="1" t="n">
        <v>43448</v>
      </c>
      <c r="C1485" s="1" t="n">
        <v>45182</v>
      </c>
      <c r="D1485" t="inlineStr">
        <is>
          <t>JÄMTLANDS LÄN</t>
        </is>
      </c>
      <c r="E1485" t="inlineStr">
        <is>
          <t>RAGUNDA</t>
        </is>
      </c>
      <c r="G1485" t="n">
        <v>3.7</v>
      </c>
      <c r="H1485" t="n">
        <v>0</v>
      </c>
      <c r="I1485" t="n">
        <v>0</v>
      </c>
      <c r="J1485" t="n">
        <v>0</v>
      </c>
      <c r="K1485" t="n">
        <v>0</v>
      </c>
      <c r="L1485" t="n">
        <v>0</v>
      </c>
      <c r="M1485" t="n">
        <v>0</v>
      </c>
      <c r="N1485" t="n">
        <v>0</v>
      </c>
      <c r="O1485" t="n">
        <v>0</v>
      </c>
      <c r="P1485" t="n">
        <v>0</v>
      </c>
      <c r="Q1485" t="n">
        <v>0</v>
      </c>
      <c r="R1485" s="2" t="inlineStr"/>
    </row>
    <row r="1486" ht="15" customHeight="1">
      <c r="A1486" t="inlineStr">
        <is>
          <t>A 71351-2018</t>
        </is>
      </c>
      <c r="B1486" s="1" t="n">
        <v>43448</v>
      </c>
      <c r="C1486" s="1" t="n">
        <v>45182</v>
      </c>
      <c r="D1486" t="inlineStr">
        <is>
          <t>JÄMTLANDS LÄN</t>
        </is>
      </c>
      <c r="E1486" t="inlineStr">
        <is>
          <t>BERG</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70018-2018</t>
        </is>
      </c>
      <c r="B1487" s="1" t="n">
        <v>43448</v>
      </c>
      <c r="C1487" s="1" t="n">
        <v>45182</v>
      </c>
      <c r="D1487" t="inlineStr">
        <is>
          <t>JÄMTLANDS LÄN</t>
        </is>
      </c>
      <c r="E1487" t="inlineStr">
        <is>
          <t>ÖSTERSUND</t>
        </is>
      </c>
      <c r="G1487" t="n">
        <v>0.1</v>
      </c>
      <c r="H1487" t="n">
        <v>0</v>
      </c>
      <c r="I1487" t="n">
        <v>0</v>
      </c>
      <c r="J1487" t="n">
        <v>0</v>
      </c>
      <c r="K1487" t="n">
        <v>0</v>
      </c>
      <c r="L1487" t="n">
        <v>0</v>
      </c>
      <c r="M1487" t="n">
        <v>0</v>
      </c>
      <c r="N1487" t="n">
        <v>0</v>
      </c>
      <c r="O1487" t="n">
        <v>0</v>
      </c>
      <c r="P1487" t="n">
        <v>0</v>
      </c>
      <c r="Q1487" t="n">
        <v>0</v>
      </c>
      <c r="R1487" s="2" t="inlineStr"/>
    </row>
    <row r="1488" ht="15" customHeight="1">
      <c r="A1488" t="inlineStr">
        <is>
          <t>A 71074-2018</t>
        </is>
      </c>
      <c r="B1488" s="1" t="n">
        <v>43448</v>
      </c>
      <c r="C1488" s="1" t="n">
        <v>45182</v>
      </c>
      <c r="D1488" t="inlineStr">
        <is>
          <t>JÄMTLANDS LÄN</t>
        </is>
      </c>
      <c r="E1488" t="inlineStr">
        <is>
          <t>BERG</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71361-2018</t>
        </is>
      </c>
      <c r="B1489" s="1" t="n">
        <v>43448</v>
      </c>
      <c r="C1489" s="1" t="n">
        <v>45182</v>
      </c>
      <c r="D1489" t="inlineStr">
        <is>
          <t>JÄMTLANDS LÄN</t>
        </is>
      </c>
      <c r="E1489" t="inlineStr">
        <is>
          <t>BERG</t>
        </is>
      </c>
      <c r="G1489" t="n">
        <v>1.9</v>
      </c>
      <c r="H1489" t="n">
        <v>0</v>
      </c>
      <c r="I1489" t="n">
        <v>0</v>
      </c>
      <c r="J1489" t="n">
        <v>0</v>
      </c>
      <c r="K1489" t="n">
        <v>0</v>
      </c>
      <c r="L1489" t="n">
        <v>0</v>
      </c>
      <c r="M1489" t="n">
        <v>0</v>
      </c>
      <c r="N1489" t="n">
        <v>0</v>
      </c>
      <c r="O1489" t="n">
        <v>0</v>
      </c>
      <c r="P1489" t="n">
        <v>0</v>
      </c>
      <c r="Q1489" t="n">
        <v>0</v>
      </c>
      <c r="R1489" s="2" t="inlineStr"/>
    </row>
    <row r="1490" ht="15" customHeight="1">
      <c r="A1490" t="inlineStr">
        <is>
          <t>A 70674-2018</t>
        </is>
      </c>
      <c r="B1490" s="1" t="n">
        <v>43451</v>
      </c>
      <c r="C1490" s="1" t="n">
        <v>45182</v>
      </c>
      <c r="D1490" t="inlineStr">
        <is>
          <t>JÄMTLANDS LÄN</t>
        </is>
      </c>
      <c r="E1490" t="inlineStr">
        <is>
          <t>HÄRJEDALEN</t>
        </is>
      </c>
      <c r="G1490" t="n">
        <v>11.9</v>
      </c>
      <c r="H1490" t="n">
        <v>0</v>
      </c>
      <c r="I1490" t="n">
        <v>0</v>
      </c>
      <c r="J1490" t="n">
        <v>0</v>
      </c>
      <c r="K1490" t="n">
        <v>0</v>
      </c>
      <c r="L1490" t="n">
        <v>0</v>
      </c>
      <c r="M1490" t="n">
        <v>0</v>
      </c>
      <c r="N1490" t="n">
        <v>0</v>
      </c>
      <c r="O1490" t="n">
        <v>0</v>
      </c>
      <c r="P1490" t="n">
        <v>0</v>
      </c>
      <c r="Q1490" t="n">
        <v>0</v>
      </c>
      <c r="R1490" s="2" t="inlineStr"/>
    </row>
    <row r="1491" ht="15" customHeight="1">
      <c r="A1491" t="inlineStr">
        <is>
          <t>A 70783-2018</t>
        </is>
      </c>
      <c r="B1491" s="1" t="n">
        <v>43451</v>
      </c>
      <c r="C1491" s="1" t="n">
        <v>45182</v>
      </c>
      <c r="D1491" t="inlineStr">
        <is>
          <t>JÄMTLANDS LÄN</t>
        </is>
      </c>
      <c r="E1491" t="inlineStr">
        <is>
          <t>ÖSTERSUND</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71418-2018</t>
        </is>
      </c>
      <c r="B1492" s="1" t="n">
        <v>43451</v>
      </c>
      <c r="C1492" s="1" t="n">
        <v>45182</v>
      </c>
      <c r="D1492" t="inlineStr">
        <is>
          <t>JÄMTLANDS LÄN</t>
        </is>
      </c>
      <c r="E1492" t="inlineStr">
        <is>
          <t>BERG</t>
        </is>
      </c>
      <c r="G1492" t="n">
        <v>3.7</v>
      </c>
      <c r="H1492" t="n">
        <v>0</v>
      </c>
      <c r="I1492" t="n">
        <v>0</v>
      </c>
      <c r="J1492" t="n">
        <v>0</v>
      </c>
      <c r="K1492" t="n">
        <v>0</v>
      </c>
      <c r="L1492" t="n">
        <v>0</v>
      </c>
      <c r="M1492" t="n">
        <v>0</v>
      </c>
      <c r="N1492" t="n">
        <v>0</v>
      </c>
      <c r="O1492" t="n">
        <v>0</v>
      </c>
      <c r="P1492" t="n">
        <v>0</v>
      </c>
      <c r="Q1492" t="n">
        <v>0</v>
      </c>
      <c r="R1492" s="2" t="inlineStr"/>
    </row>
    <row r="1493" ht="15" customHeight="1">
      <c r="A1493" t="inlineStr">
        <is>
          <t>A 70784-2018</t>
        </is>
      </c>
      <c r="B1493" s="1" t="n">
        <v>43451</v>
      </c>
      <c r="C1493" s="1" t="n">
        <v>45182</v>
      </c>
      <c r="D1493" t="inlineStr">
        <is>
          <t>JÄMTLANDS LÄN</t>
        </is>
      </c>
      <c r="E1493" t="inlineStr">
        <is>
          <t>ÖSTERSUND</t>
        </is>
      </c>
      <c r="G1493" t="n">
        <v>3.2</v>
      </c>
      <c r="H1493" t="n">
        <v>0</v>
      </c>
      <c r="I1493" t="n">
        <v>0</v>
      </c>
      <c r="J1493" t="n">
        <v>0</v>
      </c>
      <c r="K1493" t="n">
        <v>0</v>
      </c>
      <c r="L1493" t="n">
        <v>0</v>
      </c>
      <c r="M1493" t="n">
        <v>0</v>
      </c>
      <c r="N1493" t="n">
        <v>0</v>
      </c>
      <c r="O1493" t="n">
        <v>0</v>
      </c>
      <c r="P1493" t="n">
        <v>0</v>
      </c>
      <c r="Q1493" t="n">
        <v>0</v>
      </c>
      <c r="R1493" s="2" t="inlineStr"/>
    </row>
    <row r="1494" ht="15" customHeight="1">
      <c r="A1494" t="inlineStr">
        <is>
          <t>A 71163-2018</t>
        </is>
      </c>
      <c r="B1494" s="1" t="n">
        <v>43452</v>
      </c>
      <c r="C1494" s="1" t="n">
        <v>45182</v>
      </c>
      <c r="D1494" t="inlineStr">
        <is>
          <t>JÄMTLANDS LÄN</t>
        </is>
      </c>
      <c r="E1494" t="inlineStr">
        <is>
          <t>STRÖMSUND</t>
        </is>
      </c>
      <c r="G1494" t="n">
        <v>5.4</v>
      </c>
      <c r="H1494" t="n">
        <v>0</v>
      </c>
      <c r="I1494" t="n">
        <v>0</v>
      </c>
      <c r="J1494" t="n">
        <v>0</v>
      </c>
      <c r="K1494" t="n">
        <v>0</v>
      </c>
      <c r="L1494" t="n">
        <v>0</v>
      </c>
      <c r="M1494" t="n">
        <v>0</v>
      </c>
      <c r="N1494" t="n">
        <v>0</v>
      </c>
      <c r="O1494" t="n">
        <v>0</v>
      </c>
      <c r="P1494" t="n">
        <v>0</v>
      </c>
      <c r="Q1494" t="n">
        <v>0</v>
      </c>
      <c r="R1494" s="2" t="inlineStr"/>
    </row>
    <row r="1495" ht="15" customHeight="1">
      <c r="A1495" t="inlineStr">
        <is>
          <t>A 71042-2018</t>
        </is>
      </c>
      <c r="B1495" s="1" t="n">
        <v>43452</v>
      </c>
      <c r="C1495" s="1" t="n">
        <v>45182</v>
      </c>
      <c r="D1495" t="inlineStr">
        <is>
          <t>JÄMTLANDS LÄN</t>
        </is>
      </c>
      <c r="E1495" t="inlineStr">
        <is>
          <t>ÖSTERSUND</t>
        </is>
      </c>
      <c r="G1495" t="n">
        <v>6.2</v>
      </c>
      <c r="H1495" t="n">
        <v>0</v>
      </c>
      <c r="I1495" t="n">
        <v>0</v>
      </c>
      <c r="J1495" t="n">
        <v>0</v>
      </c>
      <c r="K1495" t="n">
        <v>0</v>
      </c>
      <c r="L1495" t="n">
        <v>0</v>
      </c>
      <c r="M1495" t="n">
        <v>0</v>
      </c>
      <c r="N1495" t="n">
        <v>0</v>
      </c>
      <c r="O1495" t="n">
        <v>0</v>
      </c>
      <c r="P1495" t="n">
        <v>0</v>
      </c>
      <c r="Q1495" t="n">
        <v>0</v>
      </c>
      <c r="R1495" s="2" t="inlineStr"/>
    </row>
    <row r="1496" ht="15" customHeight="1">
      <c r="A1496" t="inlineStr">
        <is>
          <t>A 71162-2018</t>
        </is>
      </c>
      <c r="B1496" s="1" t="n">
        <v>43452</v>
      </c>
      <c r="C1496" s="1" t="n">
        <v>45182</v>
      </c>
      <c r="D1496" t="inlineStr">
        <is>
          <t>JÄMTLANDS LÄN</t>
        </is>
      </c>
      <c r="E1496" t="inlineStr">
        <is>
          <t>STRÖMSUND</t>
        </is>
      </c>
      <c r="G1496" t="n">
        <v>1.3</v>
      </c>
      <c r="H1496" t="n">
        <v>0</v>
      </c>
      <c r="I1496" t="n">
        <v>0</v>
      </c>
      <c r="J1496" t="n">
        <v>0</v>
      </c>
      <c r="K1496" t="n">
        <v>0</v>
      </c>
      <c r="L1496" t="n">
        <v>0</v>
      </c>
      <c r="M1496" t="n">
        <v>0</v>
      </c>
      <c r="N1496" t="n">
        <v>0</v>
      </c>
      <c r="O1496" t="n">
        <v>0</v>
      </c>
      <c r="P1496" t="n">
        <v>0</v>
      </c>
      <c r="Q1496" t="n">
        <v>0</v>
      </c>
      <c r="R1496" s="2" t="inlineStr"/>
    </row>
    <row r="1497" ht="15" customHeight="1">
      <c r="A1497" t="inlineStr">
        <is>
          <t>A 71149-2018</t>
        </is>
      </c>
      <c r="B1497" s="1" t="n">
        <v>43452</v>
      </c>
      <c r="C1497" s="1" t="n">
        <v>45182</v>
      </c>
      <c r="D1497" t="inlineStr">
        <is>
          <t>JÄMTLANDS LÄN</t>
        </is>
      </c>
      <c r="E1497" t="inlineStr">
        <is>
          <t>STRÖMSUND</t>
        </is>
      </c>
      <c r="F1497" t="inlineStr">
        <is>
          <t>SCA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72221-2018</t>
        </is>
      </c>
      <c r="B1498" s="1" t="n">
        <v>43453</v>
      </c>
      <c r="C1498" s="1" t="n">
        <v>45182</v>
      </c>
      <c r="D1498" t="inlineStr">
        <is>
          <t>JÄMTLANDS LÄN</t>
        </is>
      </c>
      <c r="E1498" t="inlineStr">
        <is>
          <t>KROKOM</t>
        </is>
      </c>
      <c r="G1498" t="n">
        <v>1.5</v>
      </c>
      <c r="H1498" t="n">
        <v>0</v>
      </c>
      <c r="I1498" t="n">
        <v>0</v>
      </c>
      <c r="J1498" t="n">
        <v>0</v>
      </c>
      <c r="K1498" t="n">
        <v>0</v>
      </c>
      <c r="L1498" t="n">
        <v>0</v>
      </c>
      <c r="M1498" t="n">
        <v>0</v>
      </c>
      <c r="N1498" t="n">
        <v>0</v>
      </c>
      <c r="O1498" t="n">
        <v>0</v>
      </c>
      <c r="P1498" t="n">
        <v>0</v>
      </c>
      <c r="Q1498" t="n">
        <v>0</v>
      </c>
      <c r="R1498" s="2" t="inlineStr"/>
    </row>
    <row r="1499" ht="15" customHeight="1">
      <c r="A1499" t="inlineStr">
        <is>
          <t>A 71185-2018</t>
        </is>
      </c>
      <c r="B1499" s="1" t="n">
        <v>43453</v>
      </c>
      <c r="C1499" s="1" t="n">
        <v>45182</v>
      </c>
      <c r="D1499" t="inlineStr">
        <is>
          <t>JÄMTLANDS LÄN</t>
        </is>
      </c>
      <c r="E1499" t="inlineStr">
        <is>
          <t>HÄRJEDALEN</t>
        </is>
      </c>
      <c r="F1499" t="inlineStr">
        <is>
          <t>Sveaskog</t>
        </is>
      </c>
      <c r="G1499" t="n">
        <v>24.8</v>
      </c>
      <c r="H1499" t="n">
        <v>0</v>
      </c>
      <c r="I1499" t="n">
        <v>0</v>
      </c>
      <c r="J1499" t="n">
        <v>0</v>
      </c>
      <c r="K1499" t="n">
        <v>0</v>
      </c>
      <c r="L1499" t="n">
        <v>0</v>
      </c>
      <c r="M1499" t="n">
        <v>0</v>
      </c>
      <c r="N1499" t="n">
        <v>0</v>
      </c>
      <c r="O1499" t="n">
        <v>0</v>
      </c>
      <c r="P1499" t="n">
        <v>0</v>
      </c>
      <c r="Q1499" t="n">
        <v>0</v>
      </c>
      <c r="R1499" s="2" t="inlineStr"/>
    </row>
    <row r="1500" ht="15" customHeight="1">
      <c r="A1500" t="inlineStr">
        <is>
          <t>A 72412-2018</t>
        </is>
      </c>
      <c r="B1500" s="1" t="n">
        <v>43453</v>
      </c>
      <c r="C1500" s="1" t="n">
        <v>45182</v>
      </c>
      <c r="D1500" t="inlineStr">
        <is>
          <t>JÄMTLANDS LÄN</t>
        </is>
      </c>
      <c r="E1500" t="inlineStr">
        <is>
          <t>BERG</t>
        </is>
      </c>
      <c r="G1500" t="n">
        <v>9.9</v>
      </c>
      <c r="H1500" t="n">
        <v>0</v>
      </c>
      <c r="I1500" t="n">
        <v>0</v>
      </c>
      <c r="J1500" t="n">
        <v>0</v>
      </c>
      <c r="K1500" t="n">
        <v>0</v>
      </c>
      <c r="L1500" t="n">
        <v>0</v>
      </c>
      <c r="M1500" t="n">
        <v>0</v>
      </c>
      <c r="N1500" t="n">
        <v>0</v>
      </c>
      <c r="O1500" t="n">
        <v>0</v>
      </c>
      <c r="P1500" t="n">
        <v>0</v>
      </c>
      <c r="Q1500" t="n">
        <v>0</v>
      </c>
      <c r="R1500" s="2" t="inlineStr"/>
    </row>
    <row r="1501" ht="15" customHeight="1">
      <c r="A1501" t="inlineStr">
        <is>
          <t>A 71193-2018</t>
        </is>
      </c>
      <c r="B1501" s="1" t="n">
        <v>43453</v>
      </c>
      <c r="C1501" s="1" t="n">
        <v>45182</v>
      </c>
      <c r="D1501" t="inlineStr">
        <is>
          <t>JÄMTLANDS LÄN</t>
        </is>
      </c>
      <c r="E1501" t="inlineStr">
        <is>
          <t>KROKOM</t>
        </is>
      </c>
      <c r="G1501" t="n">
        <v>10.3</v>
      </c>
      <c r="H1501" t="n">
        <v>0</v>
      </c>
      <c r="I1501" t="n">
        <v>0</v>
      </c>
      <c r="J1501" t="n">
        <v>0</v>
      </c>
      <c r="K1501" t="n">
        <v>0</v>
      </c>
      <c r="L1501" t="n">
        <v>0</v>
      </c>
      <c r="M1501" t="n">
        <v>0</v>
      </c>
      <c r="N1501" t="n">
        <v>0</v>
      </c>
      <c r="O1501" t="n">
        <v>0</v>
      </c>
      <c r="P1501" t="n">
        <v>0</v>
      </c>
      <c r="Q1501" t="n">
        <v>0</v>
      </c>
      <c r="R1501" s="2" t="inlineStr"/>
    </row>
    <row r="1502" ht="15" customHeight="1">
      <c r="A1502" t="inlineStr">
        <is>
          <t>A 71726-2018</t>
        </is>
      </c>
      <c r="B1502" s="1" t="n">
        <v>43453</v>
      </c>
      <c r="C1502" s="1" t="n">
        <v>45182</v>
      </c>
      <c r="D1502" t="inlineStr">
        <is>
          <t>JÄMTLANDS LÄN</t>
        </is>
      </c>
      <c r="E1502" t="inlineStr">
        <is>
          <t>BERG</t>
        </is>
      </c>
      <c r="G1502" t="n">
        <v>6.8</v>
      </c>
      <c r="H1502" t="n">
        <v>0</v>
      </c>
      <c r="I1502" t="n">
        <v>0</v>
      </c>
      <c r="J1502" t="n">
        <v>0</v>
      </c>
      <c r="K1502" t="n">
        <v>0</v>
      </c>
      <c r="L1502" t="n">
        <v>0</v>
      </c>
      <c r="M1502" t="n">
        <v>0</v>
      </c>
      <c r="N1502" t="n">
        <v>0</v>
      </c>
      <c r="O1502" t="n">
        <v>0</v>
      </c>
      <c r="P1502" t="n">
        <v>0</v>
      </c>
      <c r="Q1502" t="n">
        <v>0</v>
      </c>
      <c r="R1502" s="2" t="inlineStr"/>
    </row>
    <row r="1503" ht="15" customHeight="1">
      <c r="A1503" t="inlineStr">
        <is>
          <t>A 72394-2018</t>
        </is>
      </c>
      <c r="B1503" s="1" t="n">
        <v>43453</v>
      </c>
      <c r="C1503" s="1" t="n">
        <v>45182</v>
      </c>
      <c r="D1503" t="inlineStr">
        <is>
          <t>JÄMTLANDS LÄN</t>
        </is>
      </c>
      <c r="E1503" t="inlineStr">
        <is>
          <t>BERG</t>
        </is>
      </c>
      <c r="G1503" t="n">
        <v>3</v>
      </c>
      <c r="H1503" t="n">
        <v>0</v>
      </c>
      <c r="I1503" t="n">
        <v>0</v>
      </c>
      <c r="J1503" t="n">
        <v>0</v>
      </c>
      <c r="K1503" t="n">
        <v>0</v>
      </c>
      <c r="L1503" t="n">
        <v>0</v>
      </c>
      <c r="M1503" t="n">
        <v>0</v>
      </c>
      <c r="N1503" t="n">
        <v>0</v>
      </c>
      <c r="O1503" t="n">
        <v>0</v>
      </c>
      <c r="P1503" t="n">
        <v>0</v>
      </c>
      <c r="Q1503" t="n">
        <v>0</v>
      </c>
      <c r="R1503" s="2" t="inlineStr"/>
    </row>
    <row r="1504" ht="15" customHeight="1">
      <c r="A1504" t="inlineStr">
        <is>
          <t>A 71199-2018</t>
        </is>
      </c>
      <c r="B1504" s="1" t="n">
        <v>43453</v>
      </c>
      <c r="C1504" s="1" t="n">
        <v>45182</v>
      </c>
      <c r="D1504" t="inlineStr">
        <is>
          <t>JÄMTLANDS LÄN</t>
        </is>
      </c>
      <c r="E1504" t="inlineStr">
        <is>
          <t>HÄRJEDALEN</t>
        </is>
      </c>
      <c r="F1504" t="inlineStr">
        <is>
          <t>Sveaskog</t>
        </is>
      </c>
      <c r="G1504" t="n">
        <v>6.1</v>
      </c>
      <c r="H1504" t="n">
        <v>0</v>
      </c>
      <c r="I1504" t="n">
        <v>0</v>
      </c>
      <c r="J1504" t="n">
        <v>0</v>
      </c>
      <c r="K1504" t="n">
        <v>0</v>
      </c>
      <c r="L1504" t="n">
        <v>0</v>
      </c>
      <c r="M1504" t="n">
        <v>0</v>
      </c>
      <c r="N1504" t="n">
        <v>0</v>
      </c>
      <c r="O1504" t="n">
        <v>0</v>
      </c>
      <c r="P1504" t="n">
        <v>0</v>
      </c>
      <c r="Q1504" t="n">
        <v>0</v>
      </c>
      <c r="R1504" s="2" t="inlineStr"/>
    </row>
    <row r="1505" ht="15" customHeight="1">
      <c r="A1505" t="inlineStr">
        <is>
          <t>A 72380-2018</t>
        </is>
      </c>
      <c r="B1505" s="1" t="n">
        <v>43453</v>
      </c>
      <c r="C1505" s="1" t="n">
        <v>45182</v>
      </c>
      <c r="D1505" t="inlineStr">
        <is>
          <t>JÄMTLANDS LÄN</t>
        </is>
      </c>
      <c r="E1505" t="inlineStr">
        <is>
          <t>BERG</t>
        </is>
      </c>
      <c r="G1505" t="n">
        <v>4.4</v>
      </c>
      <c r="H1505" t="n">
        <v>0</v>
      </c>
      <c r="I1505" t="n">
        <v>0</v>
      </c>
      <c r="J1505" t="n">
        <v>0</v>
      </c>
      <c r="K1505" t="n">
        <v>0</v>
      </c>
      <c r="L1505" t="n">
        <v>0</v>
      </c>
      <c r="M1505" t="n">
        <v>0</v>
      </c>
      <c r="N1505" t="n">
        <v>0</v>
      </c>
      <c r="O1505" t="n">
        <v>0</v>
      </c>
      <c r="P1505" t="n">
        <v>0</v>
      </c>
      <c r="Q1505" t="n">
        <v>0</v>
      </c>
      <c r="R1505" s="2" t="inlineStr"/>
    </row>
    <row r="1506" ht="15" customHeight="1">
      <c r="A1506" t="inlineStr">
        <is>
          <t>A 71680-2018</t>
        </is>
      </c>
      <c r="B1506" s="1" t="n">
        <v>43454</v>
      </c>
      <c r="C1506" s="1" t="n">
        <v>45182</v>
      </c>
      <c r="D1506" t="inlineStr">
        <is>
          <t>JÄMTLANDS LÄN</t>
        </is>
      </c>
      <c r="E1506" t="inlineStr">
        <is>
          <t>HÄRJEDALEN</t>
        </is>
      </c>
      <c r="G1506" t="n">
        <v>19.7</v>
      </c>
      <c r="H1506" t="n">
        <v>0</v>
      </c>
      <c r="I1506" t="n">
        <v>0</v>
      </c>
      <c r="J1506" t="n">
        <v>0</v>
      </c>
      <c r="K1506" t="n">
        <v>0</v>
      </c>
      <c r="L1506" t="n">
        <v>0</v>
      </c>
      <c r="M1506" t="n">
        <v>0</v>
      </c>
      <c r="N1506" t="n">
        <v>0</v>
      </c>
      <c r="O1506" t="n">
        <v>0</v>
      </c>
      <c r="P1506" t="n">
        <v>0</v>
      </c>
      <c r="Q1506" t="n">
        <v>0</v>
      </c>
      <c r="R1506" s="2" t="inlineStr"/>
    </row>
    <row r="1507" ht="15" customHeight="1">
      <c r="A1507" t="inlineStr">
        <is>
          <t>A 71747-2018</t>
        </is>
      </c>
      <c r="B1507" s="1" t="n">
        <v>43454</v>
      </c>
      <c r="C1507" s="1" t="n">
        <v>45182</v>
      </c>
      <c r="D1507" t="inlineStr">
        <is>
          <t>JÄMTLANDS LÄN</t>
        </is>
      </c>
      <c r="E1507" t="inlineStr">
        <is>
          <t>ÖSTERSUND</t>
        </is>
      </c>
      <c r="G1507" t="n">
        <v>5.1</v>
      </c>
      <c r="H1507" t="n">
        <v>0</v>
      </c>
      <c r="I1507" t="n">
        <v>0</v>
      </c>
      <c r="J1507" t="n">
        <v>0</v>
      </c>
      <c r="K1507" t="n">
        <v>0</v>
      </c>
      <c r="L1507" t="n">
        <v>0</v>
      </c>
      <c r="M1507" t="n">
        <v>0</v>
      </c>
      <c r="N1507" t="n">
        <v>0</v>
      </c>
      <c r="O1507" t="n">
        <v>0</v>
      </c>
      <c r="P1507" t="n">
        <v>0</v>
      </c>
      <c r="Q1507" t="n">
        <v>0</v>
      </c>
      <c r="R1507" s="2" t="inlineStr"/>
    </row>
    <row r="1508" ht="15" customHeight="1">
      <c r="A1508" t="inlineStr">
        <is>
          <t>A 71773-2018</t>
        </is>
      </c>
      <c r="B1508" s="1" t="n">
        <v>43454</v>
      </c>
      <c r="C1508" s="1" t="n">
        <v>45182</v>
      </c>
      <c r="D1508" t="inlineStr">
        <is>
          <t>JÄMTLANDS LÄN</t>
        </is>
      </c>
      <c r="E1508" t="inlineStr">
        <is>
          <t>ÖSTERSUND</t>
        </is>
      </c>
      <c r="G1508" t="n">
        <v>4.6</v>
      </c>
      <c r="H1508" t="n">
        <v>0</v>
      </c>
      <c r="I1508" t="n">
        <v>0</v>
      </c>
      <c r="J1508" t="n">
        <v>0</v>
      </c>
      <c r="K1508" t="n">
        <v>0</v>
      </c>
      <c r="L1508" t="n">
        <v>0</v>
      </c>
      <c r="M1508" t="n">
        <v>0</v>
      </c>
      <c r="N1508" t="n">
        <v>0</v>
      </c>
      <c r="O1508" t="n">
        <v>0</v>
      </c>
      <c r="P1508" t="n">
        <v>0</v>
      </c>
      <c r="Q1508" t="n">
        <v>0</v>
      </c>
      <c r="R1508" s="2" t="inlineStr"/>
    </row>
    <row r="1509" ht="15" customHeight="1">
      <c r="A1509" t="inlineStr">
        <is>
          <t>A 71624-2018</t>
        </is>
      </c>
      <c r="B1509" s="1" t="n">
        <v>43454</v>
      </c>
      <c r="C1509" s="1" t="n">
        <v>45182</v>
      </c>
      <c r="D1509" t="inlineStr">
        <is>
          <t>JÄMTLANDS LÄN</t>
        </is>
      </c>
      <c r="E1509" t="inlineStr">
        <is>
          <t>HÄRJEDALEN</t>
        </is>
      </c>
      <c r="F1509" t="inlineStr">
        <is>
          <t>Bergvik skog väst AB</t>
        </is>
      </c>
      <c r="G1509" t="n">
        <v>13.1</v>
      </c>
      <c r="H1509" t="n">
        <v>0</v>
      </c>
      <c r="I1509" t="n">
        <v>0</v>
      </c>
      <c r="J1509" t="n">
        <v>0</v>
      </c>
      <c r="K1509" t="n">
        <v>0</v>
      </c>
      <c r="L1509" t="n">
        <v>0</v>
      </c>
      <c r="M1509" t="n">
        <v>0</v>
      </c>
      <c r="N1509" t="n">
        <v>0</v>
      </c>
      <c r="O1509" t="n">
        <v>0</v>
      </c>
      <c r="P1509" t="n">
        <v>0</v>
      </c>
      <c r="Q1509" t="n">
        <v>0</v>
      </c>
      <c r="R1509" s="2" t="inlineStr"/>
    </row>
    <row r="1510" ht="15" customHeight="1">
      <c r="A1510" t="inlineStr">
        <is>
          <t>A 71676-2018</t>
        </is>
      </c>
      <c r="B1510" s="1" t="n">
        <v>43454</v>
      </c>
      <c r="C1510" s="1" t="n">
        <v>45182</v>
      </c>
      <c r="D1510" t="inlineStr">
        <is>
          <t>JÄMTLANDS LÄN</t>
        </is>
      </c>
      <c r="E1510" t="inlineStr">
        <is>
          <t>HÄRJEDALEN</t>
        </is>
      </c>
      <c r="G1510" t="n">
        <v>11.9</v>
      </c>
      <c r="H1510" t="n">
        <v>0</v>
      </c>
      <c r="I1510" t="n">
        <v>0</v>
      </c>
      <c r="J1510" t="n">
        <v>0</v>
      </c>
      <c r="K1510" t="n">
        <v>0</v>
      </c>
      <c r="L1510" t="n">
        <v>0</v>
      </c>
      <c r="M1510" t="n">
        <v>0</v>
      </c>
      <c r="N1510" t="n">
        <v>0</v>
      </c>
      <c r="O1510" t="n">
        <v>0</v>
      </c>
      <c r="P1510" t="n">
        <v>0</v>
      </c>
      <c r="Q1510" t="n">
        <v>0</v>
      </c>
      <c r="R1510" s="2" t="inlineStr"/>
    </row>
    <row r="1511" ht="15" customHeight="1">
      <c r="A1511" t="inlineStr">
        <is>
          <t>A 71851-2018</t>
        </is>
      </c>
      <c r="B1511" s="1" t="n">
        <v>43454</v>
      </c>
      <c r="C1511" s="1" t="n">
        <v>45182</v>
      </c>
      <c r="D1511" t="inlineStr">
        <is>
          <t>JÄMTLANDS LÄN</t>
        </is>
      </c>
      <c r="E1511" t="inlineStr">
        <is>
          <t>BERG</t>
        </is>
      </c>
      <c r="F1511" t="inlineStr">
        <is>
          <t>SCA</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71850-2018</t>
        </is>
      </c>
      <c r="B1512" s="1" t="n">
        <v>43454</v>
      </c>
      <c r="C1512" s="1" t="n">
        <v>45182</v>
      </c>
      <c r="D1512" t="inlineStr">
        <is>
          <t>JÄMTLANDS LÄN</t>
        </is>
      </c>
      <c r="E1512" t="inlineStr">
        <is>
          <t>BERG</t>
        </is>
      </c>
      <c r="F1512" t="inlineStr">
        <is>
          <t>SCA</t>
        </is>
      </c>
      <c r="G1512" t="n">
        <v>7.5</v>
      </c>
      <c r="H1512" t="n">
        <v>0</v>
      </c>
      <c r="I1512" t="n">
        <v>0</v>
      </c>
      <c r="J1512" t="n">
        <v>0</v>
      </c>
      <c r="K1512" t="n">
        <v>0</v>
      </c>
      <c r="L1512" t="n">
        <v>0</v>
      </c>
      <c r="M1512" t="n">
        <v>0</v>
      </c>
      <c r="N1512" t="n">
        <v>0</v>
      </c>
      <c r="O1512" t="n">
        <v>0</v>
      </c>
      <c r="P1512" t="n">
        <v>0</v>
      </c>
      <c r="Q1512" t="n">
        <v>0</v>
      </c>
      <c r="R1512" s="2" t="inlineStr"/>
    </row>
    <row r="1513" ht="15" customHeight="1">
      <c r="A1513" t="inlineStr">
        <is>
          <t>A 71881-2018</t>
        </is>
      </c>
      <c r="B1513" s="1" t="n">
        <v>43454</v>
      </c>
      <c r="C1513" s="1" t="n">
        <v>45182</v>
      </c>
      <c r="D1513" t="inlineStr">
        <is>
          <t>JÄMTLANDS LÄN</t>
        </is>
      </c>
      <c r="E1513" t="inlineStr">
        <is>
          <t>BERG</t>
        </is>
      </c>
      <c r="G1513" t="n">
        <v>2</v>
      </c>
      <c r="H1513" t="n">
        <v>0</v>
      </c>
      <c r="I1513" t="n">
        <v>0</v>
      </c>
      <c r="J1513" t="n">
        <v>0</v>
      </c>
      <c r="K1513" t="n">
        <v>0</v>
      </c>
      <c r="L1513" t="n">
        <v>0</v>
      </c>
      <c r="M1513" t="n">
        <v>0</v>
      </c>
      <c r="N1513" t="n">
        <v>0</v>
      </c>
      <c r="O1513" t="n">
        <v>0</v>
      </c>
      <c r="P1513" t="n">
        <v>0</v>
      </c>
      <c r="Q1513" t="n">
        <v>0</v>
      </c>
      <c r="R1513" s="2" t="inlineStr"/>
    </row>
    <row r="1514" ht="15" customHeight="1">
      <c r="A1514" t="inlineStr">
        <is>
          <t>A 881-2019</t>
        </is>
      </c>
      <c r="B1514" s="1" t="n">
        <v>43455</v>
      </c>
      <c r="C1514" s="1" t="n">
        <v>45182</v>
      </c>
      <c r="D1514" t="inlineStr">
        <is>
          <t>JÄMTLANDS LÄN</t>
        </is>
      </c>
      <c r="E1514" t="inlineStr">
        <is>
          <t>KROKOM</t>
        </is>
      </c>
      <c r="G1514" t="n">
        <v>2.5</v>
      </c>
      <c r="H1514" t="n">
        <v>0</v>
      </c>
      <c r="I1514" t="n">
        <v>0</v>
      </c>
      <c r="J1514" t="n">
        <v>0</v>
      </c>
      <c r="K1514" t="n">
        <v>0</v>
      </c>
      <c r="L1514" t="n">
        <v>0</v>
      </c>
      <c r="M1514" t="n">
        <v>0</v>
      </c>
      <c r="N1514" t="n">
        <v>0</v>
      </c>
      <c r="O1514" t="n">
        <v>0</v>
      </c>
      <c r="P1514" t="n">
        <v>0</v>
      </c>
      <c r="Q1514" t="n">
        <v>0</v>
      </c>
      <c r="R1514" s="2" t="inlineStr"/>
    </row>
    <row r="1515" ht="15" customHeight="1">
      <c r="A1515" t="inlineStr">
        <is>
          <t>A 1046-2019</t>
        </is>
      </c>
      <c r="B1515" s="1" t="n">
        <v>43455</v>
      </c>
      <c r="C1515" s="1" t="n">
        <v>45182</v>
      </c>
      <c r="D1515" t="inlineStr">
        <is>
          <t>JÄMTLANDS LÄN</t>
        </is>
      </c>
      <c r="E1515" t="inlineStr">
        <is>
          <t>KROKOM</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608-2019</t>
        </is>
      </c>
      <c r="B1516" s="1" t="n">
        <v>43455</v>
      </c>
      <c r="C1516" s="1" t="n">
        <v>45182</v>
      </c>
      <c r="D1516" t="inlineStr">
        <is>
          <t>JÄMTLANDS LÄN</t>
        </is>
      </c>
      <c r="E1516" t="inlineStr">
        <is>
          <t>STRÖMSUND</t>
        </is>
      </c>
      <c r="G1516" t="n">
        <v>3</v>
      </c>
      <c r="H1516" t="n">
        <v>0</v>
      </c>
      <c r="I1516" t="n">
        <v>0</v>
      </c>
      <c r="J1516" t="n">
        <v>0</v>
      </c>
      <c r="K1516" t="n">
        <v>0</v>
      </c>
      <c r="L1516" t="n">
        <v>0</v>
      </c>
      <c r="M1516" t="n">
        <v>0</v>
      </c>
      <c r="N1516" t="n">
        <v>0</v>
      </c>
      <c r="O1516" t="n">
        <v>0</v>
      </c>
      <c r="P1516" t="n">
        <v>0</v>
      </c>
      <c r="Q1516" t="n">
        <v>0</v>
      </c>
      <c r="R1516" s="2" t="inlineStr"/>
    </row>
    <row r="1517" ht="15" customHeight="1">
      <c r="A1517" t="inlineStr">
        <is>
          <t>A 957-2019</t>
        </is>
      </c>
      <c r="B1517" s="1" t="n">
        <v>43455</v>
      </c>
      <c r="C1517" s="1" t="n">
        <v>45182</v>
      </c>
      <c r="D1517" t="inlineStr">
        <is>
          <t>JÄMTLANDS LÄN</t>
        </is>
      </c>
      <c r="E1517" t="inlineStr">
        <is>
          <t>BERG</t>
        </is>
      </c>
      <c r="F1517" t="inlineStr">
        <is>
          <t>Övriga Aktiebolag</t>
        </is>
      </c>
      <c r="G1517" t="n">
        <v>11.2</v>
      </c>
      <c r="H1517" t="n">
        <v>0</v>
      </c>
      <c r="I1517" t="n">
        <v>0</v>
      </c>
      <c r="J1517" t="n">
        <v>0</v>
      </c>
      <c r="K1517" t="n">
        <v>0</v>
      </c>
      <c r="L1517" t="n">
        <v>0</v>
      </c>
      <c r="M1517" t="n">
        <v>0</v>
      </c>
      <c r="N1517" t="n">
        <v>0</v>
      </c>
      <c r="O1517" t="n">
        <v>0</v>
      </c>
      <c r="P1517" t="n">
        <v>0</v>
      </c>
      <c r="Q1517" t="n">
        <v>0</v>
      </c>
      <c r="R1517" s="2" t="inlineStr"/>
    </row>
    <row r="1518" ht="15" customHeight="1">
      <c r="A1518" t="inlineStr">
        <is>
          <t>A 71895-2018</t>
        </is>
      </c>
      <c r="B1518" s="1" t="n">
        <v>43455</v>
      </c>
      <c r="C1518" s="1" t="n">
        <v>45182</v>
      </c>
      <c r="D1518" t="inlineStr">
        <is>
          <t>JÄMTLANDS LÄN</t>
        </is>
      </c>
      <c r="E1518" t="inlineStr">
        <is>
          <t>BERG</t>
        </is>
      </c>
      <c r="G1518" t="n">
        <v>5.4</v>
      </c>
      <c r="H1518" t="n">
        <v>0</v>
      </c>
      <c r="I1518" t="n">
        <v>0</v>
      </c>
      <c r="J1518" t="n">
        <v>0</v>
      </c>
      <c r="K1518" t="n">
        <v>0</v>
      </c>
      <c r="L1518" t="n">
        <v>0</v>
      </c>
      <c r="M1518" t="n">
        <v>0</v>
      </c>
      <c r="N1518" t="n">
        <v>0</v>
      </c>
      <c r="O1518" t="n">
        <v>0</v>
      </c>
      <c r="P1518" t="n">
        <v>0</v>
      </c>
      <c r="Q1518" t="n">
        <v>0</v>
      </c>
      <c r="R1518" s="2" t="inlineStr"/>
    </row>
    <row r="1519" ht="15" customHeight="1">
      <c r="A1519" t="inlineStr">
        <is>
          <t>A 573-2019</t>
        </is>
      </c>
      <c r="B1519" s="1" t="n">
        <v>43455</v>
      </c>
      <c r="C1519" s="1" t="n">
        <v>45182</v>
      </c>
      <c r="D1519" t="inlineStr">
        <is>
          <t>JÄMTLANDS LÄN</t>
        </is>
      </c>
      <c r="E1519" t="inlineStr">
        <is>
          <t>ÖSTERSUND</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934-2019</t>
        </is>
      </c>
      <c r="B1520" s="1" t="n">
        <v>43455</v>
      </c>
      <c r="C1520" s="1" t="n">
        <v>45182</v>
      </c>
      <c r="D1520" t="inlineStr">
        <is>
          <t>JÄMTLANDS LÄN</t>
        </is>
      </c>
      <c r="E1520" t="inlineStr">
        <is>
          <t>STRÖMSUND</t>
        </is>
      </c>
      <c r="G1520" t="n">
        <v>3.2</v>
      </c>
      <c r="H1520" t="n">
        <v>0</v>
      </c>
      <c r="I1520" t="n">
        <v>0</v>
      </c>
      <c r="J1520" t="n">
        <v>0</v>
      </c>
      <c r="K1520" t="n">
        <v>0</v>
      </c>
      <c r="L1520" t="n">
        <v>0</v>
      </c>
      <c r="M1520" t="n">
        <v>0</v>
      </c>
      <c r="N1520" t="n">
        <v>0</v>
      </c>
      <c r="O1520" t="n">
        <v>0</v>
      </c>
      <c r="P1520" t="n">
        <v>0</v>
      </c>
      <c r="Q1520" t="n">
        <v>0</v>
      </c>
      <c r="R1520" s="2" t="inlineStr"/>
    </row>
    <row r="1521" ht="15" customHeight="1">
      <c r="A1521" t="inlineStr">
        <is>
          <t>A 981-2019</t>
        </is>
      </c>
      <c r="B1521" s="1" t="n">
        <v>43455</v>
      </c>
      <c r="C1521" s="1" t="n">
        <v>45182</v>
      </c>
      <c r="D1521" t="inlineStr">
        <is>
          <t>JÄMTLANDS LÄN</t>
        </is>
      </c>
      <c r="E1521" t="inlineStr">
        <is>
          <t>KROKOM</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72414-2018</t>
        </is>
      </c>
      <c r="B1522" s="1" t="n">
        <v>43461</v>
      </c>
      <c r="C1522" s="1" t="n">
        <v>45182</v>
      </c>
      <c r="D1522" t="inlineStr">
        <is>
          <t>JÄMTLANDS LÄN</t>
        </is>
      </c>
      <c r="E1522" t="inlineStr">
        <is>
          <t>STRÖMSUND</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72474-2018</t>
        </is>
      </c>
      <c r="B1523" s="1" t="n">
        <v>43461</v>
      </c>
      <c r="C1523" s="1" t="n">
        <v>45182</v>
      </c>
      <c r="D1523" t="inlineStr">
        <is>
          <t>JÄMTLANDS LÄN</t>
        </is>
      </c>
      <c r="E1523" t="inlineStr">
        <is>
          <t>RAGUNDA</t>
        </is>
      </c>
      <c r="G1523" t="n">
        <v>2.5</v>
      </c>
      <c r="H1523" t="n">
        <v>0</v>
      </c>
      <c r="I1523" t="n">
        <v>0</v>
      </c>
      <c r="J1523" t="n">
        <v>0</v>
      </c>
      <c r="K1523" t="n">
        <v>0</v>
      </c>
      <c r="L1523" t="n">
        <v>0</v>
      </c>
      <c r="M1523" t="n">
        <v>0</v>
      </c>
      <c r="N1523" t="n">
        <v>0</v>
      </c>
      <c r="O1523" t="n">
        <v>0</v>
      </c>
      <c r="P1523" t="n">
        <v>0</v>
      </c>
      <c r="Q1523" t="n">
        <v>0</v>
      </c>
      <c r="R1523" s="2" t="inlineStr"/>
    </row>
    <row r="1524" ht="15" customHeight="1">
      <c r="A1524" t="inlineStr">
        <is>
          <t>A 72485-2018</t>
        </is>
      </c>
      <c r="B1524" s="1" t="n">
        <v>43461</v>
      </c>
      <c r="C1524" s="1" t="n">
        <v>45182</v>
      </c>
      <c r="D1524" t="inlineStr">
        <is>
          <t>JÄMTLANDS LÄN</t>
        </is>
      </c>
      <c r="E1524" t="inlineStr">
        <is>
          <t>STRÖMSUND</t>
        </is>
      </c>
      <c r="G1524" t="n">
        <v>4.6</v>
      </c>
      <c r="H1524" t="n">
        <v>0</v>
      </c>
      <c r="I1524" t="n">
        <v>0</v>
      </c>
      <c r="J1524" t="n">
        <v>0</v>
      </c>
      <c r="K1524" t="n">
        <v>0</v>
      </c>
      <c r="L1524" t="n">
        <v>0</v>
      </c>
      <c r="M1524" t="n">
        <v>0</v>
      </c>
      <c r="N1524" t="n">
        <v>0</v>
      </c>
      <c r="O1524" t="n">
        <v>0</v>
      </c>
      <c r="P1524" t="n">
        <v>0</v>
      </c>
      <c r="Q1524" t="n">
        <v>0</v>
      </c>
      <c r="R1524" s="2" t="inlineStr"/>
    </row>
    <row r="1525" ht="15" customHeight="1">
      <c r="A1525" t="inlineStr">
        <is>
          <t>A 1685-2019</t>
        </is>
      </c>
      <c r="B1525" s="1" t="n">
        <v>43461</v>
      </c>
      <c r="C1525" s="1" t="n">
        <v>45182</v>
      </c>
      <c r="D1525" t="inlineStr">
        <is>
          <t>JÄMTLANDS LÄN</t>
        </is>
      </c>
      <c r="E1525" t="inlineStr">
        <is>
          <t>RAGUNDA</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1409-2019</t>
        </is>
      </c>
      <c r="B1526" s="1" t="n">
        <v>43461</v>
      </c>
      <c r="C1526" s="1" t="n">
        <v>45182</v>
      </c>
      <c r="D1526" t="inlineStr">
        <is>
          <t>JÄMTLANDS LÄN</t>
        </is>
      </c>
      <c r="E1526" t="inlineStr">
        <is>
          <t>HÄRJEDALEN</t>
        </is>
      </c>
      <c r="G1526" t="n">
        <v>43.3</v>
      </c>
      <c r="H1526" t="n">
        <v>0</v>
      </c>
      <c r="I1526" t="n">
        <v>0</v>
      </c>
      <c r="J1526" t="n">
        <v>0</v>
      </c>
      <c r="K1526" t="n">
        <v>0</v>
      </c>
      <c r="L1526" t="n">
        <v>0</v>
      </c>
      <c r="M1526" t="n">
        <v>0</v>
      </c>
      <c r="N1526" t="n">
        <v>0</v>
      </c>
      <c r="O1526" t="n">
        <v>0</v>
      </c>
      <c r="P1526" t="n">
        <v>0</v>
      </c>
      <c r="Q1526" t="n">
        <v>0</v>
      </c>
      <c r="R1526" s="2" t="inlineStr"/>
    </row>
    <row r="1527" ht="15" customHeight="1">
      <c r="A1527" t="inlineStr">
        <is>
          <t>A 72510-2018</t>
        </is>
      </c>
      <c r="B1527" s="1" t="n">
        <v>43462</v>
      </c>
      <c r="C1527" s="1" t="n">
        <v>45182</v>
      </c>
      <c r="D1527" t="inlineStr">
        <is>
          <t>JÄMTLANDS LÄN</t>
        </is>
      </c>
      <c r="E1527" t="inlineStr">
        <is>
          <t>BRÄCKE</t>
        </is>
      </c>
      <c r="G1527" t="n">
        <v>0.8</v>
      </c>
      <c r="H1527" t="n">
        <v>0</v>
      </c>
      <c r="I1527" t="n">
        <v>0</v>
      </c>
      <c r="J1527" t="n">
        <v>0</v>
      </c>
      <c r="K1527" t="n">
        <v>0</v>
      </c>
      <c r="L1527" t="n">
        <v>0</v>
      </c>
      <c r="M1527" t="n">
        <v>0</v>
      </c>
      <c r="N1527" t="n">
        <v>0</v>
      </c>
      <c r="O1527" t="n">
        <v>0</v>
      </c>
      <c r="P1527" t="n">
        <v>0</v>
      </c>
      <c r="Q1527" t="n">
        <v>0</v>
      </c>
      <c r="R1527" s="2" t="inlineStr"/>
    </row>
    <row r="1528" ht="15" customHeight="1">
      <c r="A1528" t="inlineStr">
        <is>
          <t>A 72601-2018</t>
        </is>
      </c>
      <c r="B1528" s="1" t="n">
        <v>43463</v>
      </c>
      <c r="C1528" s="1" t="n">
        <v>45182</v>
      </c>
      <c r="D1528" t="inlineStr">
        <is>
          <t>JÄMTLANDS LÄN</t>
        </is>
      </c>
      <c r="E1528" t="inlineStr">
        <is>
          <t>KROKOM</t>
        </is>
      </c>
      <c r="G1528" t="n">
        <v>5.3</v>
      </c>
      <c r="H1528" t="n">
        <v>0</v>
      </c>
      <c r="I1528" t="n">
        <v>0</v>
      </c>
      <c r="J1528" t="n">
        <v>0</v>
      </c>
      <c r="K1528" t="n">
        <v>0</v>
      </c>
      <c r="L1528" t="n">
        <v>0</v>
      </c>
      <c r="M1528" t="n">
        <v>0</v>
      </c>
      <c r="N1528" t="n">
        <v>0</v>
      </c>
      <c r="O1528" t="n">
        <v>0</v>
      </c>
      <c r="P1528" t="n">
        <v>0</v>
      </c>
      <c r="Q1528" t="n">
        <v>0</v>
      </c>
      <c r="R1528" s="2" t="inlineStr"/>
    </row>
    <row r="1529" ht="15" customHeight="1">
      <c r="A1529" t="inlineStr">
        <is>
          <t>A 80-2019</t>
        </is>
      </c>
      <c r="B1529" s="1" t="n">
        <v>43467</v>
      </c>
      <c r="C1529" s="1" t="n">
        <v>45182</v>
      </c>
      <c r="D1529" t="inlineStr">
        <is>
          <t>JÄMTLANDS LÄN</t>
        </is>
      </c>
      <c r="E1529" t="inlineStr">
        <is>
          <t>ÅRE</t>
        </is>
      </c>
      <c r="G1529" t="n">
        <v>1.1</v>
      </c>
      <c r="H1529" t="n">
        <v>0</v>
      </c>
      <c r="I1529" t="n">
        <v>0</v>
      </c>
      <c r="J1529" t="n">
        <v>0</v>
      </c>
      <c r="K1529" t="n">
        <v>0</v>
      </c>
      <c r="L1529" t="n">
        <v>0</v>
      </c>
      <c r="M1529" t="n">
        <v>0</v>
      </c>
      <c r="N1529" t="n">
        <v>0</v>
      </c>
      <c r="O1529" t="n">
        <v>0</v>
      </c>
      <c r="P1529" t="n">
        <v>0</v>
      </c>
      <c r="Q1529" t="n">
        <v>0</v>
      </c>
      <c r="R1529" s="2" t="inlineStr"/>
    </row>
    <row r="1530" ht="15" customHeight="1">
      <c r="A1530" t="inlineStr">
        <is>
          <t>A 169-2019</t>
        </is>
      </c>
      <c r="B1530" s="1" t="n">
        <v>43467</v>
      </c>
      <c r="C1530" s="1" t="n">
        <v>45182</v>
      </c>
      <c r="D1530" t="inlineStr">
        <is>
          <t>JÄMTLANDS LÄN</t>
        </is>
      </c>
      <c r="E1530" t="inlineStr">
        <is>
          <t>RAGUNDA</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171-2019</t>
        </is>
      </c>
      <c r="B1531" s="1" t="n">
        <v>43467</v>
      </c>
      <c r="C1531" s="1" t="n">
        <v>45182</v>
      </c>
      <c r="D1531" t="inlineStr">
        <is>
          <t>JÄMTLANDS LÄN</t>
        </is>
      </c>
      <c r="E1531" t="inlineStr">
        <is>
          <t>RAGUNDA</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42-2019</t>
        </is>
      </c>
      <c r="B1532" s="1" t="n">
        <v>43467</v>
      </c>
      <c r="C1532" s="1" t="n">
        <v>45182</v>
      </c>
      <c r="D1532" t="inlineStr">
        <is>
          <t>JÄMTLANDS LÄN</t>
        </is>
      </c>
      <c r="E1532" t="inlineStr">
        <is>
          <t>ÅRE</t>
        </is>
      </c>
      <c r="G1532" t="n">
        <v>1.2</v>
      </c>
      <c r="H1532" t="n">
        <v>0</v>
      </c>
      <c r="I1532" t="n">
        <v>0</v>
      </c>
      <c r="J1532" t="n">
        <v>0</v>
      </c>
      <c r="K1532" t="n">
        <v>0</v>
      </c>
      <c r="L1532" t="n">
        <v>0</v>
      </c>
      <c r="M1532" t="n">
        <v>0</v>
      </c>
      <c r="N1532" t="n">
        <v>0</v>
      </c>
      <c r="O1532" t="n">
        <v>0</v>
      </c>
      <c r="P1532" t="n">
        <v>0</v>
      </c>
      <c r="Q1532" t="n">
        <v>0</v>
      </c>
      <c r="R1532" s="2" t="inlineStr"/>
    </row>
    <row r="1533" ht="15" customHeight="1">
      <c r="A1533" t="inlineStr">
        <is>
          <t>A 2385-2019</t>
        </is>
      </c>
      <c r="B1533" s="1" t="n">
        <v>43468</v>
      </c>
      <c r="C1533" s="1" t="n">
        <v>45182</v>
      </c>
      <c r="D1533" t="inlineStr">
        <is>
          <t>JÄMTLANDS LÄN</t>
        </is>
      </c>
      <c r="E1533" t="inlineStr">
        <is>
          <t>STRÖMSUND</t>
        </is>
      </c>
      <c r="G1533" t="n">
        <v>4.3</v>
      </c>
      <c r="H1533" t="n">
        <v>0</v>
      </c>
      <c r="I1533" t="n">
        <v>0</v>
      </c>
      <c r="J1533" t="n">
        <v>0</v>
      </c>
      <c r="K1533" t="n">
        <v>0</v>
      </c>
      <c r="L1533" t="n">
        <v>0</v>
      </c>
      <c r="M1533" t="n">
        <v>0</v>
      </c>
      <c r="N1533" t="n">
        <v>0</v>
      </c>
      <c r="O1533" t="n">
        <v>0</v>
      </c>
      <c r="P1533" t="n">
        <v>0</v>
      </c>
      <c r="Q1533" t="n">
        <v>0</v>
      </c>
      <c r="R1533" s="2" t="inlineStr"/>
    </row>
    <row r="1534" ht="15" customHeight="1">
      <c r="A1534" t="inlineStr">
        <is>
          <t>A 250-2019</t>
        </is>
      </c>
      <c r="B1534" s="1" t="n">
        <v>43468</v>
      </c>
      <c r="C1534" s="1" t="n">
        <v>45182</v>
      </c>
      <c r="D1534" t="inlineStr">
        <is>
          <t>JÄMTLANDS LÄN</t>
        </is>
      </c>
      <c r="E1534" t="inlineStr">
        <is>
          <t>ÅRE</t>
        </is>
      </c>
      <c r="G1534" t="n">
        <v>6.2</v>
      </c>
      <c r="H1534" t="n">
        <v>0</v>
      </c>
      <c r="I1534" t="n">
        <v>0</v>
      </c>
      <c r="J1534" t="n">
        <v>0</v>
      </c>
      <c r="K1534" t="n">
        <v>0</v>
      </c>
      <c r="L1534" t="n">
        <v>0</v>
      </c>
      <c r="M1534" t="n">
        <v>0</v>
      </c>
      <c r="N1534" t="n">
        <v>0</v>
      </c>
      <c r="O1534" t="n">
        <v>0</v>
      </c>
      <c r="P1534" t="n">
        <v>0</v>
      </c>
      <c r="Q1534" t="n">
        <v>0</v>
      </c>
      <c r="R1534" s="2" t="inlineStr"/>
    </row>
    <row r="1535" ht="15" customHeight="1">
      <c r="A1535" t="inlineStr">
        <is>
          <t>A 249-2019</t>
        </is>
      </c>
      <c r="B1535" s="1" t="n">
        <v>43468</v>
      </c>
      <c r="C1535" s="1" t="n">
        <v>45182</v>
      </c>
      <c r="D1535" t="inlineStr">
        <is>
          <t>JÄMTLANDS LÄN</t>
        </is>
      </c>
      <c r="E1535" t="inlineStr">
        <is>
          <t>KROKOM</t>
        </is>
      </c>
      <c r="G1535" t="n">
        <v>15.7</v>
      </c>
      <c r="H1535" t="n">
        <v>0</v>
      </c>
      <c r="I1535" t="n">
        <v>0</v>
      </c>
      <c r="J1535" t="n">
        <v>0</v>
      </c>
      <c r="K1535" t="n">
        <v>0</v>
      </c>
      <c r="L1535" t="n">
        <v>0</v>
      </c>
      <c r="M1535" t="n">
        <v>0</v>
      </c>
      <c r="N1535" t="n">
        <v>0</v>
      </c>
      <c r="O1535" t="n">
        <v>0</v>
      </c>
      <c r="P1535" t="n">
        <v>0</v>
      </c>
      <c r="Q1535" t="n">
        <v>0</v>
      </c>
      <c r="R1535" s="2" t="inlineStr"/>
    </row>
    <row r="1536" ht="15" customHeight="1">
      <c r="A1536" t="inlineStr">
        <is>
          <t>A 556-2019</t>
        </is>
      </c>
      <c r="B1536" s="1" t="n">
        <v>43469</v>
      </c>
      <c r="C1536" s="1" t="n">
        <v>45182</v>
      </c>
      <c r="D1536" t="inlineStr">
        <is>
          <t>JÄMTLANDS LÄN</t>
        </is>
      </c>
      <c r="E1536" t="inlineStr">
        <is>
          <t>HÄRJEDALEN</t>
        </is>
      </c>
      <c r="G1536" t="n">
        <v>3.4</v>
      </c>
      <c r="H1536" t="n">
        <v>0</v>
      </c>
      <c r="I1536" t="n">
        <v>0</v>
      </c>
      <c r="J1536" t="n">
        <v>0</v>
      </c>
      <c r="K1536" t="n">
        <v>0</v>
      </c>
      <c r="L1536" t="n">
        <v>0</v>
      </c>
      <c r="M1536" t="n">
        <v>0</v>
      </c>
      <c r="N1536" t="n">
        <v>0</v>
      </c>
      <c r="O1536" t="n">
        <v>0</v>
      </c>
      <c r="P1536" t="n">
        <v>0</v>
      </c>
      <c r="Q1536" t="n">
        <v>0</v>
      </c>
      <c r="R1536" s="2" t="inlineStr"/>
    </row>
    <row r="1537" ht="15" customHeight="1">
      <c r="A1537" t="inlineStr">
        <is>
          <t>A 699-2019</t>
        </is>
      </c>
      <c r="B1537" s="1" t="n">
        <v>43469</v>
      </c>
      <c r="C1537" s="1" t="n">
        <v>45182</v>
      </c>
      <c r="D1537" t="inlineStr">
        <is>
          <t>JÄMTLANDS LÄN</t>
        </is>
      </c>
      <c r="E1537" t="inlineStr">
        <is>
          <t>STRÖMSUND</t>
        </is>
      </c>
      <c r="F1537" t="inlineStr">
        <is>
          <t>SCA</t>
        </is>
      </c>
      <c r="G1537" t="n">
        <v>2</v>
      </c>
      <c r="H1537" t="n">
        <v>0</v>
      </c>
      <c r="I1537" t="n">
        <v>0</v>
      </c>
      <c r="J1537" t="n">
        <v>0</v>
      </c>
      <c r="K1537" t="n">
        <v>0</v>
      </c>
      <c r="L1537" t="n">
        <v>0</v>
      </c>
      <c r="M1537" t="n">
        <v>0</v>
      </c>
      <c r="N1537" t="n">
        <v>0</v>
      </c>
      <c r="O1537" t="n">
        <v>0</v>
      </c>
      <c r="P1537" t="n">
        <v>0</v>
      </c>
      <c r="Q1537" t="n">
        <v>0</v>
      </c>
      <c r="R1537" s="2" t="inlineStr"/>
    </row>
    <row r="1538" ht="15" customHeight="1">
      <c r="A1538" t="inlineStr">
        <is>
          <t>A 555-2019</t>
        </is>
      </c>
      <c r="B1538" s="1" t="n">
        <v>43469</v>
      </c>
      <c r="C1538" s="1" t="n">
        <v>45182</v>
      </c>
      <c r="D1538" t="inlineStr">
        <is>
          <t>JÄMTLANDS LÄN</t>
        </is>
      </c>
      <c r="E1538" t="inlineStr">
        <is>
          <t>STRÖMSUND</t>
        </is>
      </c>
      <c r="F1538" t="inlineStr">
        <is>
          <t>Holmen skog AB</t>
        </is>
      </c>
      <c r="G1538" t="n">
        <v>14.6</v>
      </c>
      <c r="H1538" t="n">
        <v>0</v>
      </c>
      <c r="I1538" t="n">
        <v>0</v>
      </c>
      <c r="J1538" t="n">
        <v>0</v>
      </c>
      <c r="K1538" t="n">
        <v>0</v>
      </c>
      <c r="L1538" t="n">
        <v>0</v>
      </c>
      <c r="M1538" t="n">
        <v>0</v>
      </c>
      <c r="N1538" t="n">
        <v>0</v>
      </c>
      <c r="O1538" t="n">
        <v>0</v>
      </c>
      <c r="P1538" t="n">
        <v>0</v>
      </c>
      <c r="Q1538" t="n">
        <v>0</v>
      </c>
      <c r="R1538" s="2" t="inlineStr"/>
    </row>
    <row r="1539" ht="15" customHeight="1">
      <c r="A1539" t="inlineStr">
        <is>
          <t>A 685-2019</t>
        </is>
      </c>
      <c r="B1539" s="1" t="n">
        <v>43469</v>
      </c>
      <c r="C1539" s="1" t="n">
        <v>45182</v>
      </c>
      <c r="D1539" t="inlineStr">
        <is>
          <t>JÄMTLANDS LÄN</t>
        </is>
      </c>
      <c r="E1539" t="inlineStr">
        <is>
          <t>ÅRE</t>
        </is>
      </c>
      <c r="G1539" t="n">
        <v>4.5</v>
      </c>
      <c r="H1539" t="n">
        <v>0</v>
      </c>
      <c r="I1539" t="n">
        <v>0</v>
      </c>
      <c r="J1539" t="n">
        <v>0</v>
      </c>
      <c r="K1539" t="n">
        <v>0</v>
      </c>
      <c r="L1539" t="n">
        <v>0</v>
      </c>
      <c r="M1539" t="n">
        <v>0</v>
      </c>
      <c r="N1539" t="n">
        <v>0</v>
      </c>
      <c r="O1539" t="n">
        <v>0</v>
      </c>
      <c r="P1539" t="n">
        <v>0</v>
      </c>
      <c r="Q1539" t="n">
        <v>0</v>
      </c>
      <c r="R1539" s="2" t="inlineStr"/>
    </row>
    <row r="1540" ht="15" customHeight="1">
      <c r="A1540" t="inlineStr">
        <is>
          <t>A 1032-2019</t>
        </is>
      </c>
      <c r="B1540" s="1" t="n">
        <v>43472</v>
      </c>
      <c r="C1540" s="1" t="n">
        <v>45182</v>
      </c>
      <c r="D1540" t="inlineStr">
        <is>
          <t>JÄMTLANDS LÄN</t>
        </is>
      </c>
      <c r="E1540" t="inlineStr">
        <is>
          <t>ÖSTERSUND</t>
        </is>
      </c>
      <c r="G1540" t="n">
        <v>1.9</v>
      </c>
      <c r="H1540" t="n">
        <v>0</v>
      </c>
      <c r="I1540" t="n">
        <v>0</v>
      </c>
      <c r="J1540" t="n">
        <v>0</v>
      </c>
      <c r="K1540" t="n">
        <v>0</v>
      </c>
      <c r="L1540" t="n">
        <v>0</v>
      </c>
      <c r="M1540" t="n">
        <v>0</v>
      </c>
      <c r="N1540" t="n">
        <v>0</v>
      </c>
      <c r="O1540" t="n">
        <v>0</v>
      </c>
      <c r="P1540" t="n">
        <v>0</v>
      </c>
      <c r="Q1540" t="n">
        <v>0</v>
      </c>
      <c r="R1540" s="2" t="inlineStr"/>
    </row>
    <row r="1541" ht="15" customHeight="1">
      <c r="A1541" t="inlineStr">
        <is>
          <t>A 1130-2019</t>
        </is>
      </c>
      <c r="B1541" s="1" t="n">
        <v>43472</v>
      </c>
      <c r="C1541" s="1" t="n">
        <v>45182</v>
      </c>
      <c r="D1541" t="inlineStr">
        <is>
          <t>JÄMTLANDS LÄN</t>
        </is>
      </c>
      <c r="E1541" t="inlineStr">
        <is>
          <t>STRÖMSUND</t>
        </is>
      </c>
      <c r="F1541" t="inlineStr">
        <is>
          <t>SCA</t>
        </is>
      </c>
      <c r="G1541" t="n">
        <v>2.1</v>
      </c>
      <c r="H1541" t="n">
        <v>0</v>
      </c>
      <c r="I1541" t="n">
        <v>0</v>
      </c>
      <c r="J1541" t="n">
        <v>0</v>
      </c>
      <c r="K1541" t="n">
        <v>0</v>
      </c>
      <c r="L1541" t="n">
        <v>0</v>
      </c>
      <c r="M1541" t="n">
        <v>0</v>
      </c>
      <c r="N1541" t="n">
        <v>0</v>
      </c>
      <c r="O1541" t="n">
        <v>0</v>
      </c>
      <c r="P1541" t="n">
        <v>0</v>
      </c>
      <c r="Q1541" t="n">
        <v>0</v>
      </c>
      <c r="R1541" s="2" t="inlineStr"/>
    </row>
    <row r="1542" ht="15" customHeight="1">
      <c r="A1542" t="inlineStr">
        <is>
          <t>A 2951-2019</t>
        </is>
      </c>
      <c r="B1542" s="1" t="n">
        <v>43472</v>
      </c>
      <c r="C1542" s="1" t="n">
        <v>45182</v>
      </c>
      <c r="D1542" t="inlineStr">
        <is>
          <t>JÄMTLANDS LÄN</t>
        </is>
      </c>
      <c r="E1542" t="inlineStr">
        <is>
          <t>ÖSTERSUND</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882-2019</t>
        </is>
      </c>
      <c r="B1543" s="1" t="n">
        <v>43472</v>
      </c>
      <c r="C1543" s="1" t="n">
        <v>45182</v>
      </c>
      <c r="D1543" t="inlineStr">
        <is>
          <t>JÄMTLANDS LÄN</t>
        </is>
      </c>
      <c r="E1543" t="inlineStr">
        <is>
          <t>BERG</t>
        </is>
      </c>
      <c r="G1543" t="n">
        <v>2.3</v>
      </c>
      <c r="H1543" t="n">
        <v>0</v>
      </c>
      <c r="I1543" t="n">
        <v>0</v>
      </c>
      <c r="J1543" t="n">
        <v>0</v>
      </c>
      <c r="K1543" t="n">
        <v>0</v>
      </c>
      <c r="L1543" t="n">
        <v>0</v>
      </c>
      <c r="M1543" t="n">
        <v>0</v>
      </c>
      <c r="N1543" t="n">
        <v>0</v>
      </c>
      <c r="O1543" t="n">
        <v>0</v>
      </c>
      <c r="P1543" t="n">
        <v>0</v>
      </c>
      <c r="Q1543" t="n">
        <v>0</v>
      </c>
      <c r="R1543" s="2" t="inlineStr"/>
    </row>
    <row r="1544" ht="15" customHeight="1">
      <c r="A1544" t="inlineStr">
        <is>
          <t>A 2920-2019</t>
        </is>
      </c>
      <c r="B1544" s="1" t="n">
        <v>43472</v>
      </c>
      <c r="C1544" s="1" t="n">
        <v>45182</v>
      </c>
      <c r="D1544" t="inlineStr">
        <is>
          <t>JÄMTLANDS LÄN</t>
        </is>
      </c>
      <c r="E1544" t="inlineStr">
        <is>
          <t>BRÄCKE</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887-2019</t>
        </is>
      </c>
      <c r="B1545" s="1" t="n">
        <v>43472</v>
      </c>
      <c r="C1545" s="1" t="n">
        <v>45182</v>
      </c>
      <c r="D1545" t="inlineStr">
        <is>
          <t>JÄMTLANDS LÄN</t>
        </is>
      </c>
      <c r="E1545" t="inlineStr">
        <is>
          <t>BRÄCKE</t>
        </is>
      </c>
      <c r="G1545" t="n">
        <v>3.5</v>
      </c>
      <c r="H1545" t="n">
        <v>0</v>
      </c>
      <c r="I1545" t="n">
        <v>0</v>
      </c>
      <c r="J1545" t="n">
        <v>0</v>
      </c>
      <c r="K1545" t="n">
        <v>0</v>
      </c>
      <c r="L1545" t="n">
        <v>0</v>
      </c>
      <c r="M1545" t="n">
        <v>0</v>
      </c>
      <c r="N1545" t="n">
        <v>0</v>
      </c>
      <c r="O1545" t="n">
        <v>0</v>
      </c>
      <c r="P1545" t="n">
        <v>0</v>
      </c>
      <c r="Q1545" t="n">
        <v>0</v>
      </c>
      <c r="R1545" s="2" t="inlineStr"/>
    </row>
    <row r="1546" ht="15" customHeight="1">
      <c r="A1546" t="inlineStr">
        <is>
          <t>A 3315-2019</t>
        </is>
      </c>
      <c r="B1546" s="1" t="n">
        <v>43473</v>
      </c>
      <c r="C1546" s="1" t="n">
        <v>45182</v>
      </c>
      <c r="D1546" t="inlineStr">
        <is>
          <t>JÄMTLANDS LÄN</t>
        </is>
      </c>
      <c r="E1546" t="inlineStr">
        <is>
          <t>RAGUNDA</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1174-2019</t>
        </is>
      </c>
      <c r="B1547" s="1" t="n">
        <v>43473</v>
      </c>
      <c r="C1547" s="1" t="n">
        <v>45182</v>
      </c>
      <c r="D1547" t="inlineStr">
        <is>
          <t>JÄMTLANDS LÄN</t>
        </is>
      </c>
      <c r="E1547" t="inlineStr">
        <is>
          <t>BRÄCKE</t>
        </is>
      </c>
      <c r="F1547" t="inlineStr">
        <is>
          <t>Kyrkan</t>
        </is>
      </c>
      <c r="G1547" t="n">
        <v>6.6</v>
      </c>
      <c r="H1547" t="n">
        <v>0</v>
      </c>
      <c r="I1547" t="n">
        <v>0</v>
      </c>
      <c r="J1547" t="n">
        <v>0</v>
      </c>
      <c r="K1547" t="n">
        <v>0</v>
      </c>
      <c r="L1547" t="n">
        <v>0</v>
      </c>
      <c r="M1547" t="n">
        <v>0</v>
      </c>
      <c r="N1547" t="n">
        <v>0</v>
      </c>
      <c r="O1547" t="n">
        <v>0</v>
      </c>
      <c r="P1547" t="n">
        <v>0</v>
      </c>
      <c r="Q1547" t="n">
        <v>0</v>
      </c>
      <c r="R1547" s="2" t="inlineStr"/>
    </row>
    <row r="1548" ht="15" customHeight="1">
      <c r="A1548" t="inlineStr">
        <is>
          <t>A 3152-2019</t>
        </is>
      </c>
      <c r="B1548" s="1" t="n">
        <v>43473</v>
      </c>
      <c r="C1548" s="1" t="n">
        <v>45182</v>
      </c>
      <c r="D1548" t="inlineStr">
        <is>
          <t>JÄMTLANDS LÄN</t>
        </is>
      </c>
      <c r="E1548" t="inlineStr">
        <is>
          <t>RAGUNDA</t>
        </is>
      </c>
      <c r="G1548" t="n">
        <v>4.8</v>
      </c>
      <c r="H1548" t="n">
        <v>0</v>
      </c>
      <c r="I1548" t="n">
        <v>0</v>
      </c>
      <c r="J1548" t="n">
        <v>0</v>
      </c>
      <c r="K1548" t="n">
        <v>0</v>
      </c>
      <c r="L1548" t="n">
        <v>0</v>
      </c>
      <c r="M1548" t="n">
        <v>0</v>
      </c>
      <c r="N1548" t="n">
        <v>0</v>
      </c>
      <c r="O1548" t="n">
        <v>0</v>
      </c>
      <c r="P1548" t="n">
        <v>0</v>
      </c>
      <c r="Q1548" t="n">
        <v>0</v>
      </c>
      <c r="R1548" s="2" t="inlineStr"/>
    </row>
    <row r="1549" ht="15" customHeight="1">
      <c r="A1549" t="inlineStr">
        <is>
          <t>A 3227-2019</t>
        </is>
      </c>
      <c r="B1549" s="1" t="n">
        <v>43473</v>
      </c>
      <c r="C1549" s="1" t="n">
        <v>45182</v>
      </c>
      <c r="D1549" t="inlineStr">
        <is>
          <t>JÄMTLANDS LÄN</t>
        </is>
      </c>
      <c r="E1549" t="inlineStr">
        <is>
          <t>STRÖMSUND</t>
        </is>
      </c>
      <c r="G1549" t="n">
        <v>21</v>
      </c>
      <c r="H1549" t="n">
        <v>0</v>
      </c>
      <c r="I1549" t="n">
        <v>0</v>
      </c>
      <c r="J1549" t="n">
        <v>0</v>
      </c>
      <c r="K1549" t="n">
        <v>0</v>
      </c>
      <c r="L1549" t="n">
        <v>0</v>
      </c>
      <c r="M1549" t="n">
        <v>0</v>
      </c>
      <c r="N1549" t="n">
        <v>0</v>
      </c>
      <c r="O1549" t="n">
        <v>0</v>
      </c>
      <c r="P1549" t="n">
        <v>0</v>
      </c>
      <c r="Q1549" t="n">
        <v>0</v>
      </c>
      <c r="R1549" s="2" t="inlineStr"/>
    </row>
    <row r="1550" ht="15" customHeight="1">
      <c r="A1550" t="inlineStr">
        <is>
          <t>A 6025-2019</t>
        </is>
      </c>
      <c r="B1550" s="1" t="n">
        <v>43474</v>
      </c>
      <c r="C1550" s="1" t="n">
        <v>45182</v>
      </c>
      <c r="D1550" t="inlineStr">
        <is>
          <t>JÄMTLANDS LÄN</t>
        </is>
      </c>
      <c r="E1550" t="inlineStr">
        <is>
          <t>HÄRJEDALEN</t>
        </is>
      </c>
      <c r="F1550" t="inlineStr">
        <is>
          <t>Bergvik skog väst AB</t>
        </is>
      </c>
      <c r="G1550" t="n">
        <v>3.7</v>
      </c>
      <c r="H1550" t="n">
        <v>0</v>
      </c>
      <c r="I1550" t="n">
        <v>0</v>
      </c>
      <c r="J1550" t="n">
        <v>0</v>
      </c>
      <c r="K1550" t="n">
        <v>0</v>
      </c>
      <c r="L1550" t="n">
        <v>0</v>
      </c>
      <c r="M1550" t="n">
        <v>0</v>
      </c>
      <c r="N1550" t="n">
        <v>0</v>
      </c>
      <c r="O1550" t="n">
        <v>0</v>
      </c>
      <c r="P1550" t="n">
        <v>0</v>
      </c>
      <c r="Q1550" t="n">
        <v>0</v>
      </c>
      <c r="R1550" s="2" t="inlineStr"/>
    </row>
    <row r="1551" ht="15" customHeight="1">
      <c r="A1551" t="inlineStr">
        <is>
          <t>A 3328-2019</t>
        </is>
      </c>
      <c r="B1551" s="1" t="n">
        <v>43474</v>
      </c>
      <c r="C1551" s="1" t="n">
        <v>45182</v>
      </c>
      <c r="D1551" t="inlineStr">
        <is>
          <t>JÄMTLANDS LÄN</t>
        </is>
      </c>
      <c r="E1551" t="inlineStr">
        <is>
          <t>HÄRJEDALEN</t>
        </is>
      </c>
      <c r="F1551" t="inlineStr">
        <is>
          <t>Bergvik skog väst AB</t>
        </is>
      </c>
      <c r="G1551" t="n">
        <v>0.7</v>
      </c>
      <c r="H1551" t="n">
        <v>0</v>
      </c>
      <c r="I1551" t="n">
        <v>0</v>
      </c>
      <c r="J1551" t="n">
        <v>0</v>
      </c>
      <c r="K1551" t="n">
        <v>0</v>
      </c>
      <c r="L1551" t="n">
        <v>0</v>
      </c>
      <c r="M1551" t="n">
        <v>0</v>
      </c>
      <c r="N1551" t="n">
        <v>0</v>
      </c>
      <c r="O1551" t="n">
        <v>0</v>
      </c>
      <c r="P1551" t="n">
        <v>0</v>
      </c>
      <c r="Q1551" t="n">
        <v>0</v>
      </c>
      <c r="R1551" s="2" t="inlineStr"/>
    </row>
    <row r="1552" ht="15" customHeight="1">
      <c r="A1552" t="inlineStr">
        <is>
          <t>A 3722-2019</t>
        </is>
      </c>
      <c r="B1552" s="1" t="n">
        <v>43474</v>
      </c>
      <c r="C1552" s="1" t="n">
        <v>45182</v>
      </c>
      <c r="D1552" t="inlineStr">
        <is>
          <t>JÄMTLANDS LÄN</t>
        </is>
      </c>
      <c r="E1552" t="inlineStr">
        <is>
          <t>KROKOM</t>
        </is>
      </c>
      <c r="G1552" t="n">
        <v>0.7</v>
      </c>
      <c r="H1552" t="n">
        <v>0</v>
      </c>
      <c r="I1552" t="n">
        <v>0</v>
      </c>
      <c r="J1552" t="n">
        <v>0</v>
      </c>
      <c r="K1552" t="n">
        <v>0</v>
      </c>
      <c r="L1552" t="n">
        <v>0</v>
      </c>
      <c r="M1552" t="n">
        <v>0</v>
      </c>
      <c r="N1552" t="n">
        <v>0</v>
      </c>
      <c r="O1552" t="n">
        <v>0</v>
      </c>
      <c r="P1552" t="n">
        <v>0</v>
      </c>
      <c r="Q1552" t="n">
        <v>0</v>
      </c>
      <c r="R1552" s="2" t="inlineStr"/>
    </row>
    <row r="1553" ht="15" customHeight="1">
      <c r="A1553" t="inlineStr">
        <is>
          <t>A 1707-2019</t>
        </is>
      </c>
      <c r="B1553" s="1" t="n">
        <v>43474</v>
      </c>
      <c r="C1553" s="1" t="n">
        <v>45182</v>
      </c>
      <c r="D1553" t="inlineStr">
        <is>
          <t>JÄMTLANDS LÄN</t>
        </is>
      </c>
      <c r="E1553" t="inlineStr">
        <is>
          <t>RAGUNDA</t>
        </is>
      </c>
      <c r="G1553" t="n">
        <v>1.8</v>
      </c>
      <c r="H1553" t="n">
        <v>0</v>
      </c>
      <c r="I1553" t="n">
        <v>0</v>
      </c>
      <c r="J1553" t="n">
        <v>0</v>
      </c>
      <c r="K1553" t="n">
        <v>0</v>
      </c>
      <c r="L1553" t="n">
        <v>0</v>
      </c>
      <c r="M1553" t="n">
        <v>0</v>
      </c>
      <c r="N1553" t="n">
        <v>0</v>
      </c>
      <c r="O1553" t="n">
        <v>0</v>
      </c>
      <c r="P1553" t="n">
        <v>0</v>
      </c>
      <c r="Q1553" t="n">
        <v>0</v>
      </c>
      <c r="R1553" s="2" t="inlineStr"/>
    </row>
    <row r="1554" ht="15" customHeight="1">
      <c r="A1554" t="inlineStr">
        <is>
          <t>A 1750-2019</t>
        </is>
      </c>
      <c r="B1554" s="1" t="n">
        <v>43474</v>
      </c>
      <c r="C1554" s="1" t="n">
        <v>45182</v>
      </c>
      <c r="D1554" t="inlineStr">
        <is>
          <t>JÄMTLANDS LÄN</t>
        </is>
      </c>
      <c r="E1554" t="inlineStr">
        <is>
          <t>HÄRJEDALEN</t>
        </is>
      </c>
      <c r="G1554" t="n">
        <v>6.4</v>
      </c>
      <c r="H1554" t="n">
        <v>0</v>
      </c>
      <c r="I1554" t="n">
        <v>0</v>
      </c>
      <c r="J1554" t="n">
        <v>0</v>
      </c>
      <c r="K1554" t="n">
        <v>0</v>
      </c>
      <c r="L1554" t="n">
        <v>0</v>
      </c>
      <c r="M1554" t="n">
        <v>0</v>
      </c>
      <c r="N1554" t="n">
        <v>0</v>
      </c>
      <c r="O1554" t="n">
        <v>0</v>
      </c>
      <c r="P1554" t="n">
        <v>0</v>
      </c>
      <c r="Q1554" t="n">
        <v>0</v>
      </c>
      <c r="R1554" s="2" t="inlineStr"/>
    </row>
    <row r="1555" ht="15" customHeight="1">
      <c r="A1555" t="inlineStr">
        <is>
          <t>A 1706-2019</t>
        </is>
      </c>
      <c r="B1555" s="1" t="n">
        <v>43474</v>
      </c>
      <c r="C1555" s="1" t="n">
        <v>45182</v>
      </c>
      <c r="D1555" t="inlineStr">
        <is>
          <t>JÄMTLANDS LÄN</t>
        </is>
      </c>
      <c r="E1555" t="inlineStr">
        <is>
          <t>KROKOM</t>
        </is>
      </c>
      <c r="G1555" t="n">
        <v>2.2</v>
      </c>
      <c r="H1555" t="n">
        <v>0</v>
      </c>
      <c r="I1555" t="n">
        <v>0</v>
      </c>
      <c r="J1555" t="n">
        <v>0</v>
      </c>
      <c r="K1555" t="n">
        <v>0</v>
      </c>
      <c r="L1555" t="n">
        <v>0</v>
      </c>
      <c r="M1555" t="n">
        <v>0</v>
      </c>
      <c r="N1555" t="n">
        <v>0</v>
      </c>
      <c r="O1555" t="n">
        <v>0</v>
      </c>
      <c r="P1555" t="n">
        <v>0</v>
      </c>
      <c r="Q1555" t="n">
        <v>0</v>
      </c>
      <c r="R1555" s="2" t="inlineStr"/>
    </row>
    <row r="1556" ht="15" customHeight="1">
      <c r="A1556" t="inlineStr">
        <is>
          <t>A 1713-2019</t>
        </is>
      </c>
      <c r="B1556" s="1" t="n">
        <v>43474</v>
      </c>
      <c r="C1556" s="1" t="n">
        <v>45182</v>
      </c>
      <c r="D1556" t="inlineStr">
        <is>
          <t>JÄMTLANDS LÄN</t>
        </is>
      </c>
      <c r="E1556" t="inlineStr">
        <is>
          <t>KROKOM</t>
        </is>
      </c>
      <c r="G1556" t="n">
        <v>6.3</v>
      </c>
      <c r="H1556" t="n">
        <v>0</v>
      </c>
      <c r="I1556" t="n">
        <v>0</v>
      </c>
      <c r="J1556" t="n">
        <v>0</v>
      </c>
      <c r="K1556" t="n">
        <v>0</v>
      </c>
      <c r="L1556" t="n">
        <v>0</v>
      </c>
      <c r="M1556" t="n">
        <v>0</v>
      </c>
      <c r="N1556" t="n">
        <v>0</v>
      </c>
      <c r="O1556" t="n">
        <v>0</v>
      </c>
      <c r="P1556" t="n">
        <v>0</v>
      </c>
      <c r="Q1556" t="n">
        <v>0</v>
      </c>
      <c r="R1556" s="2" t="inlineStr"/>
    </row>
    <row r="1557" ht="15" customHeight="1">
      <c r="A1557" t="inlineStr">
        <is>
          <t>A 1835-2019</t>
        </is>
      </c>
      <c r="B1557" s="1" t="n">
        <v>43474</v>
      </c>
      <c r="C1557" s="1" t="n">
        <v>45182</v>
      </c>
      <c r="D1557" t="inlineStr">
        <is>
          <t>JÄMTLANDS LÄN</t>
        </is>
      </c>
      <c r="E1557" t="inlineStr">
        <is>
          <t>HÄRJEDALEN</t>
        </is>
      </c>
      <c r="G1557" t="n">
        <v>4.9</v>
      </c>
      <c r="H1557" t="n">
        <v>0</v>
      </c>
      <c r="I1557" t="n">
        <v>0</v>
      </c>
      <c r="J1557" t="n">
        <v>0</v>
      </c>
      <c r="K1557" t="n">
        <v>0</v>
      </c>
      <c r="L1557" t="n">
        <v>0</v>
      </c>
      <c r="M1557" t="n">
        <v>0</v>
      </c>
      <c r="N1557" t="n">
        <v>0</v>
      </c>
      <c r="O1557" t="n">
        <v>0</v>
      </c>
      <c r="P1557" t="n">
        <v>0</v>
      </c>
      <c r="Q1557" t="n">
        <v>0</v>
      </c>
      <c r="R1557" s="2" t="inlineStr"/>
    </row>
    <row r="1558" ht="15" customHeight="1">
      <c r="A1558" t="inlineStr">
        <is>
          <t>A 6127-2019</t>
        </is>
      </c>
      <c r="B1558" s="1" t="n">
        <v>43474</v>
      </c>
      <c r="C1558" s="1" t="n">
        <v>45182</v>
      </c>
      <c r="D1558" t="inlineStr">
        <is>
          <t>JÄMTLANDS LÄN</t>
        </is>
      </c>
      <c r="E1558" t="inlineStr">
        <is>
          <t>HÄRJEDALEN</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2135-2019</t>
        </is>
      </c>
      <c r="B1559" s="1" t="n">
        <v>43475</v>
      </c>
      <c r="C1559" s="1" t="n">
        <v>45182</v>
      </c>
      <c r="D1559" t="inlineStr">
        <is>
          <t>JÄMTLANDS LÄN</t>
        </is>
      </c>
      <c r="E1559" t="inlineStr">
        <is>
          <t>HÄRJEDALEN</t>
        </is>
      </c>
      <c r="G1559" t="n">
        <v>0.1</v>
      </c>
      <c r="H1559" t="n">
        <v>0</v>
      </c>
      <c r="I1559" t="n">
        <v>0</v>
      </c>
      <c r="J1559" t="n">
        <v>0</v>
      </c>
      <c r="K1559" t="n">
        <v>0</v>
      </c>
      <c r="L1559" t="n">
        <v>0</v>
      </c>
      <c r="M1559" t="n">
        <v>0</v>
      </c>
      <c r="N1559" t="n">
        <v>0</v>
      </c>
      <c r="O1559" t="n">
        <v>0</v>
      </c>
      <c r="P1559" t="n">
        <v>0</v>
      </c>
      <c r="Q1559" t="n">
        <v>0</v>
      </c>
      <c r="R1559" s="2" t="inlineStr"/>
    </row>
    <row r="1560" ht="15" customHeight="1">
      <c r="A1560" t="inlineStr">
        <is>
          <t>A 2307-2019</t>
        </is>
      </c>
      <c r="B1560" s="1" t="n">
        <v>43475</v>
      </c>
      <c r="C1560" s="1" t="n">
        <v>45182</v>
      </c>
      <c r="D1560" t="inlineStr">
        <is>
          <t>JÄMTLANDS LÄN</t>
        </is>
      </c>
      <c r="E1560" t="inlineStr">
        <is>
          <t>ÖSTERSUND</t>
        </is>
      </c>
      <c r="G1560" t="n">
        <v>4.9</v>
      </c>
      <c r="H1560" t="n">
        <v>0</v>
      </c>
      <c r="I1560" t="n">
        <v>0</v>
      </c>
      <c r="J1560" t="n">
        <v>0</v>
      </c>
      <c r="K1560" t="n">
        <v>0</v>
      </c>
      <c r="L1560" t="n">
        <v>0</v>
      </c>
      <c r="M1560" t="n">
        <v>0</v>
      </c>
      <c r="N1560" t="n">
        <v>0</v>
      </c>
      <c r="O1560" t="n">
        <v>0</v>
      </c>
      <c r="P1560" t="n">
        <v>0</v>
      </c>
      <c r="Q1560" t="n">
        <v>0</v>
      </c>
      <c r="R1560" s="2" t="inlineStr"/>
    </row>
    <row r="1561" ht="15" customHeight="1">
      <c r="A1561" t="inlineStr">
        <is>
          <t>A 2126-2019</t>
        </is>
      </c>
      <c r="B1561" s="1" t="n">
        <v>43475</v>
      </c>
      <c r="C1561" s="1" t="n">
        <v>45182</v>
      </c>
      <c r="D1561" t="inlineStr">
        <is>
          <t>JÄMTLANDS LÄN</t>
        </is>
      </c>
      <c r="E1561" t="inlineStr">
        <is>
          <t>ÅRE</t>
        </is>
      </c>
      <c r="G1561" t="n">
        <v>8.199999999999999</v>
      </c>
      <c r="H1561" t="n">
        <v>0</v>
      </c>
      <c r="I1561" t="n">
        <v>0</v>
      </c>
      <c r="J1561" t="n">
        <v>0</v>
      </c>
      <c r="K1561" t="n">
        <v>0</v>
      </c>
      <c r="L1561" t="n">
        <v>0</v>
      </c>
      <c r="M1561" t="n">
        <v>0</v>
      </c>
      <c r="N1561" t="n">
        <v>0</v>
      </c>
      <c r="O1561" t="n">
        <v>0</v>
      </c>
      <c r="P1561" t="n">
        <v>0</v>
      </c>
      <c r="Q1561" t="n">
        <v>0</v>
      </c>
      <c r="R1561" s="2" t="inlineStr"/>
    </row>
    <row r="1562" ht="15" customHeight="1">
      <c r="A1562" t="inlineStr">
        <is>
          <t>A 2530-2019</t>
        </is>
      </c>
      <c r="B1562" s="1" t="n">
        <v>43476</v>
      </c>
      <c r="C1562" s="1" t="n">
        <v>45182</v>
      </c>
      <c r="D1562" t="inlineStr">
        <is>
          <t>JÄMTLANDS LÄN</t>
        </is>
      </c>
      <c r="E1562" t="inlineStr">
        <is>
          <t>BERG</t>
        </is>
      </c>
      <c r="F1562" t="inlineStr">
        <is>
          <t>Kommuner</t>
        </is>
      </c>
      <c r="G1562" t="n">
        <v>1.7</v>
      </c>
      <c r="H1562" t="n">
        <v>0</v>
      </c>
      <c r="I1562" t="n">
        <v>0</v>
      </c>
      <c r="J1562" t="n">
        <v>0</v>
      </c>
      <c r="K1562" t="n">
        <v>0</v>
      </c>
      <c r="L1562" t="n">
        <v>0</v>
      </c>
      <c r="M1562" t="n">
        <v>0</v>
      </c>
      <c r="N1562" t="n">
        <v>0</v>
      </c>
      <c r="O1562" t="n">
        <v>0</v>
      </c>
      <c r="P1562" t="n">
        <v>0</v>
      </c>
      <c r="Q1562" t="n">
        <v>0</v>
      </c>
      <c r="R1562" s="2" t="inlineStr"/>
    </row>
    <row r="1563" ht="15" customHeight="1">
      <c r="A1563" t="inlineStr">
        <is>
          <t>A 2430-2019</t>
        </is>
      </c>
      <c r="B1563" s="1" t="n">
        <v>43476</v>
      </c>
      <c r="C1563" s="1" t="n">
        <v>45182</v>
      </c>
      <c r="D1563" t="inlineStr">
        <is>
          <t>JÄMTLANDS LÄN</t>
        </is>
      </c>
      <c r="E1563" t="inlineStr">
        <is>
          <t>KROKOM</t>
        </is>
      </c>
      <c r="G1563" t="n">
        <v>2.9</v>
      </c>
      <c r="H1563" t="n">
        <v>0</v>
      </c>
      <c r="I1563" t="n">
        <v>0</v>
      </c>
      <c r="J1563" t="n">
        <v>0</v>
      </c>
      <c r="K1563" t="n">
        <v>0</v>
      </c>
      <c r="L1563" t="n">
        <v>0</v>
      </c>
      <c r="M1563" t="n">
        <v>0</v>
      </c>
      <c r="N1563" t="n">
        <v>0</v>
      </c>
      <c r="O1563" t="n">
        <v>0</v>
      </c>
      <c r="P1563" t="n">
        <v>0</v>
      </c>
      <c r="Q1563" t="n">
        <v>0</v>
      </c>
      <c r="R1563" s="2" t="inlineStr"/>
    </row>
    <row r="1564" ht="15" customHeight="1">
      <c r="A1564" t="inlineStr">
        <is>
          <t>A 2502-2019</t>
        </is>
      </c>
      <c r="B1564" s="1" t="n">
        <v>43476</v>
      </c>
      <c r="C1564" s="1" t="n">
        <v>45182</v>
      </c>
      <c r="D1564" t="inlineStr">
        <is>
          <t>JÄMTLANDS LÄN</t>
        </is>
      </c>
      <c r="E1564" t="inlineStr">
        <is>
          <t>KROKOM</t>
        </is>
      </c>
      <c r="G1564" t="n">
        <v>4</v>
      </c>
      <c r="H1564" t="n">
        <v>0</v>
      </c>
      <c r="I1564" t="n">
        <v>0</v>
      </c>
      <c r="J1564" t="n">
        <v>0</v>
      </c>
      <c r="K1564" t="n">
        <v>0</v>
      </c>
      <c r="L1564" t="n">
        <v>0</v>
      </c>
      <c r="M1564" t="n">
        <v>0</v>
      </c>
      <c r="N1564" t="n">
        <v>0</v>
      </c>
      <c r="O1564" t="n">
        <v>0</v>
      </c>
      <c r="P1564" t="n">
        <v>0</v>
      </c>
      <c r="Q1564" t="n">
        <v>0</v>
      </c>
      <c r="R1564" s="2" t="inlineStr"/>
    </row>
    <row r="1565" ht="15" customHeight="1">
      <c r="A1565" t="inlineStr">
        <is>
          <t>A 4247-2019</t>
        </is>
      </c>
      <c r="B1565" s="1" t="n">
        <v>43476</v>
      </c>
      <c r="C1565" s="1" t="n">
        <v>45182</v>
      </c>
      <c r="D1565" t="inlineStr">
        <is>
          <t>JÄMTLANDS LÄN</t>
        </is>
      </c>
      <c r="E1565" t="inlineStr">
        <is>
          <t>ÖSTERSUND</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2616-2019</t>
        </is>
      </c>
      <c r="B1566" s="1" t="n">
        <v>43477</v>
      </c>
      <c r="C1566" s="1" t="n">
        <v>45182</v>
      </c>
      <c r="D1566" t="inlineStr">
        <is>
          <t>JÄMTLANDS LÄN</t>
        </is>
      </c>
      <c r="E1566" t="inlineStr">
        <is>
          <t>KROKOM</t>
        </is>
      </c>
      <c r="G1566" t="n">
        <v>2.1</v>
      </c>
      <c r="H1566" t="n">
        <v>0</v>
      </c>
      <c r="I1566" t="n">
        <v>0</v>
      </c>
      <c r="J1566" t="n">
        <v>0</v>
      </c>
      <c r="K1566" t="n">
        <v>0</v>
      </c>
      <c r="L1566" t="n">
        <v>0</v>
      </c>
      <c r="M1566" t="n">
        <v>0</v>
      </c>
      <c r="N1566" t="n">
        <v>0</v>
      </c>
      <c r="O1566" t="n">
        <v>0</v>
      </c>
      <c r="P1566" t="n">
        <v>0</v>
      </c>
      <c r="Q1566" t="n">
        <v>0</v>
      </c>
      <c r="R1566" s="2" t="inlineStr"/>
    </row>
    <row r="1567" ht="15" customHeight="1">
      <c r="A1567" t="inlineStr">
        <is>
          <t>A 2668-2019</t>
        </is>
      </c>
      <c r="B1567" s="1" t="n">
        <v>43478</v>
      </c>
      <c r="C1567" s="1" t="n">
        <v>45182</v>
      </c>
      <c r="D1567" t="inlineStr">
        <is>
          <t>JÄMTLANDS LÄN</t>
        </is>
      </c>
      <c r="E1567" t="inlineStr">
        <is>
          <t>ÖSTERSUND</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3037-2019</t>
        </is>
      </c>
      <c r="B1568" s="1" t="n">
        <v>43479</v>
      </c>
      <c r="C1568" s="1" t="n">
        <v>45182</v>
      </c>
      <c r="D1568" t="inlineStr">
        <is>
          <t>JÄMTLANDS LÄN</t>
        </is>
      </c>
      <c r="E1568" t="inlineStr">
        <is>
          <t>BRÄCKE</t>
        </is>
      </c>
      <c r="G1568" t="n">
        <v>5.6</v>
      </c>
      <c r="H1568" t="n">
        <v>0</v>
      </c>
      <c r="I1568" t="n">
        <v>0</v>
      </c>
      <c r="J1568" t="n">
        <v>0</v>
      </c>
      <c r="K1568" t="n">
        <v>0</v>
      </c>
      <c r="L1568" t="n">
        <v>0</v>
      </c>
      <c r="M1568" t="n">
        <v>0</v>
      </c>
      <c r="N1568" t="n">
        <v>0</v>
      </c>
      <c r="O1568" t="n">
        <v>0</v>
      </c>
      <c r="P1568" t="n">
        <v>0</v>
      </c>
      <c r="Q1568" t="n">
        <v>0</v>
      </c>
      <c r="R1568" s="2" t="inlineStr"/>
    </row>
    <row r="1569" ht="15" customHeight="1">
      <c r="A1569" t="inlineStr">
        <is>
          <t>A 4477-2019</t>
        </is>
      </c>
      <c r="B1569" s="1" t="n">
        <v>43479</v>
      </c>
      <c r="C1569" s="1" t="n">
        <v>45182</v>
      </c>
      <c r="D1569" t="inlineStr">
        <is>
          <t>JÄMTLANDS LÄN</t>
        </is>
      </c>
      <c r="E1569" t="inlineStr">
        <is>
          <t>KROKOM</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3108-2019</t>
        </is>
      </c>
      <c r="B1570" s="1" t="n">
        <v>43479</v>
      </c>
      <c r="C1570" s="1" t="n">
        <v>45182</v>
      </c>
      <c r="D1570" t="inlineStr">
        <is>
          <t>JÄMTLANDS LÄN</t>
        </is>
      </c>
      <c r="E1570" t="inlineStr">
        <is>
          <t>STRÖMSUND</t>
        </is>
      </c>
      <c r="F1570" t="inlineStr">
        <is>
          <t>SCA</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3014-2019</t>
        </is>
      </c>
      <c r="B1571" s="1" t="n">
        <v>43479</v>
      </c>
      <c r="C1571" s="1" t="n">
        <v>45182</v>
      </c>
      <c r="D1571" t="inlineStr">
        <is>
          <t>JÄMTLANDS LÄN</t>
        </is>
      </c>
      <c r="E1571" t="inlineStr">
        <is>
          <t>HÄRJEDALEN</t>
        </is>
      </c>
      <c r="G1571" t="n">
        <v>1.8</v>
      </c>
      <c r="H1571" t="n">
        <v>0</v>
      </c>
      <c r="I1571" t="n">
        <v>0</v>
      </c>
      <c r="J1571" t="n">
        <v>0</v>
      </c>
      <c r="K1571" t="n">
        <v>0</v>
      </c>
      <c r="L1571" t="n">
        <v>0</v>
      </c>
      <c r="M1571" t="n">
        <v>0</v>
      </c>
      <c r="N1571" t="n">
        <v>0</v>
      </c>
      <c r="O1571" t="n">
        <v>0</v>
      </c>
      <c r="P1571" t="n">
        <v>0</v>
      </c>
      <c r="Q1571" t="n">
        <v>0</v>
      </c>
      <c r="R1571" s="2" t="inlineStr"/>
    </row>
    <row r="1572" ht="15" customHeight="1">
      <c r="A1572" t="inlineStr">
        <is>
          <t>A 5445-2019</t>
        </is>
      </c>
      <c r="B1572" s="1" t="n">
        <v>43481</v>
      </c>
      <c r="C1572" s="1" t="n">
        <v>45182</v>
      </c>
      <c r="D1572" t="inlineStr">
        <is>
          <t>JÄMTLANDS LÄN</t>
        </is>
      </c>
      <c r="E1572" t="inlineStr">
        <is>
          <t>RAGUNDA</t>
        </is>
      </c>
      <c r="G1572" t="n">
        <v>21.7</v>
      </c>
      <c r="H1572" t="n">
        <v>0</v>
      </c>
      <c r="I1572" t="n">
        <v>0</v>
      </c>
      <c r="J1572" t="n">
        <v>0</v>
      </c>
      <c r="K1572" t="n">
        <v>0</v>
      </c>
      <c r="L1572" t="n">
        <v>0</v>
      </c>
      <c r="M1572" t="n">
        <v>0</v>
      </c>
      <c r="N1572" t="n">
        <v>0</v>
      </c>
      <c r="O1572" t="n">
        <v>0</v>
      </c>
      <c r="P1572" t="n">
        <v>0</v>
      </c>
      <c r="Q1572" t="n">
        <v>0</v>
      </c>
      <c r="R1572" s="2" t="inlineStr"/>
    </row>
    <row r="1573" ht="15" customHeight="1">
      <c r="A1573" t="inlineStr">
        <is>
          <t>A 3524-2019</t>
        </is>
      </c>
      <c r="B1573" s="1" t="n">
        <v>43481</v>
      </c>
      <c r="C1573" s="1" t="n">
        <v>45182</v>
      </c>
      <c r="D1573" t="inlineStr">
        <is>
          <t>JÄMTLANDS LÄN</t>
        </is>
      </c>
      <c r="E1573" t="inlineStr">
        <is>
          <t>STRÖMSUND</t>
        </is>
      </c>
      <c r="G1573" t="n">
        <v>5.1</v>
      </c>
      <c r="H1573" t="n">
        <v>0</v>
      </c>
      <c r="I1573" t="n">
        <v>0</v>
      </c>
      <c r="J1573" t="n">
        <v>0</v>
      </c>
      <c r="K1573" t="n">
        <v>0</v>
      </c>
      <c r="L1573" t="n">
        <v>0</v>
      </c>
      <c r="M1573" t="n">
        <v>0</v>
      </c>
      <c r="N1573" t="n">
        <v>0</v>
      </c>
      <c r="O1573" t="n">
        <v>0</v>
      </c>
      <c r="P1573" t="n">
        <v>0</v>
      </c>
      <c r="Q1573" t="n">
        <v>0</v>
      </c>
      <c r="R1573" s="2" t="inlineStr"/>
    </row>
    <row r="1574" ht="15" customHeight="1">
      <c r="A1574" t="inlineStr">
        <is>
          <t>A 3571-2019</t>
        </is>
      </c>
      <c r="B1574" s="1" t="n">
        <v>43481</v>
      </c>
      <c r="C1574" s="1" t="n">
        <v>45182</v>
      </c>
      <c r="D1574" t="inlineStr">
        <is>
          <t>JÄMTLANDS LÄN</t>
        </is>
      </c>
      <c r="E1574" t="inlineStr">
        <is>
          <t>HÄRJEDALEN</t>
        </is>
      </c>
      <c r="G1574" t="n">
        <v>1.4</v>
      </c>
      <c r="H1574" t="n">
        <v>0</v>
      </c>
      <c r="I1574" t="n">
        <v>0</v>
      </c>
      <c r="J1574" t="n">
        <v>0</v>
      </c>
      <c r="K1574" t="n">
        <v>0</v>
      </c>
      <c r="L1574" t="n">
        <v>0</v>
      </c>
      <c r="M1574" t="n">
        <v>0</v>
      </c>
      <c r="N1574" t="n">
        <v>0</v>
      </c>
      <c r="O1574" t="n">
        <v>0</v>
      </c>
      <c r="P1574" t="n">
        <v>0</v>
      </c>
      <c r="Q1574" t="n">
        <v>0</v>
      </c>
      <c r="R1574" s="2" t="inlineStr"/>
    </row>
    <row r="1575" ht="15" customHeight="1">
      <c r="A1575" t="inlineStr">
        <is>
          <t>A 3624-2019</t>
        </is>
      </c>
      <c r="B1575" s="1" t="n">
        <v>43481</v>
      </c>
      <c r="C1575" s="1" t="n">
        <v>45182</v>
      </c>
      <c r="D1575" t="inlineStr">
        <is>
          <t>JÄMTLANDS LÄN</t>
        </is>
      </c>
      <c r="E1575" t="inlineStr">
        <is>
          <t>HÄRJEDALEN</t>
        </is>
      </c>
      <c r="F1575" t="inlineStr">
        <is>
          <t>Holmen skog AB</t>
        </is>
      </c>
      <c r="G1575" t="n">
        <v>6.5</v>
      </c>
      <c r="H1575" t="n">
        <v>0</v>
      </c>
      <c r="I1575" t="n">
        <v>0</v>
      </c>
      <c r="J1575" t="n">
        <v>0</v>
      </c>
      <c r="K1575" t="n">
        <v>0</v>
      </c>
      <c r="L1575" t="n">
        <v>0</v>
      </c>
      <c r="M1575" t="n">
        <v>0</v>
      </c>
      <c r="N1575" t="n">
        <v>0</v>
      </c>
      <c r="O1575" t="n">
        <v>0</v>
      </c>
      <c r="P1575" t="n">
        <v>0</v>
      </c>
      <c r="Q1575" t="n">
        <v>0</v>
      </c>
      <c r="R1575" s="2" t="inlineStr"/>
    </row>
    <row r="1576" ht="15" customHeight="1">
      <c r="A1576" t="inlineStr">
        <is>
          <t>A 3527-2019</t>
        </is>
      </c>
      <c r="B1576" s="1" t="n">
        <v>43481</v>
      </c>
      <c r="C1576" s="1" t="n">
        <v>45182</v>
      </c>
      <c r="D1576" t="inlineStr">
        <is>
          <t>JÄMTLANDS LÄN</t>
        </is>
      </c>
      <c r="E1576" t="inlineStr">
        <is>
          <t>STRÖMSUND</t>
        </is>
      </c>
      <c r="G1576" t="n">
        <v>3.3</v>
      </c>
      <c r="H1576" t="n">
        <v>0</v>
      </c>
      <c r="I1576" t="n">
        <v>0</v>
      </c>
      <c r="J1576" t="n">
        <v>0</v>
      </c>
      <c r="K1576" t="n">
        <v>0</v>
      </c>
      <c r="L1576" t="n">
        <v>0</v>
      </c>
      <c r="M1576" t="n">
        <v>0</v>
      </c>
      <c r="N1576" t="n">
        <v>0</v>
      </c>
      <c r="O1576" t="n">
        <v>0</v>
      </c>
      <c r="P1576" t="n">
        <v>0</v>
      </c>
      <c r="Q1576" t="n">
        <v>0</v>
      </c>
      <c r="R1576" s="2" t="inlineStr"/>
    </row>
    <row r="1577" ht="15" customHeight="1">
      <c r="A1577" t="inlineStr">
        <is>
          <t>A 3579-2019</t>
        </is>
      </c>
      <c r="B1577" s="1" t="n">
        <v>43481</v>
      </c>
      <c r="C1577" s="1" t="n">
        <v>45182</v>
      </c>
      <c r="D1577" t="inlineStr">
        <is>
          <t>JÄMTLANDS LÄN</t>
        </is>
      </c>
      <c r="E1577" t="inlineStr">
        <is>
          <t>RAGUNDA</t>
        </is>
      </c>
      <c r="G1577" t="n">
        <v>2.7</v>
      </c>
      <c r="H1577" t="n">
        <v>0</v>
      </c>
      <c r="I1577" t="n">
        <v>0</v>
      </c>
      <c r="J1577" t="n">
        <v>0</v>
      </c>
      <c r="K1577" t="n">
        <v>0</v>
      </c>
      <c r="L1577" t="n">
        <v>0</v>
      </c>
      <c r="M1577" t="n">
        <v>0</v>
      </c>
      <c r="N1577" t="n">
        <v>0</v>
      </c>
      <c r="O1577" t="n">
        <v>0</v>
      </c>
      <c r="P1577" t="n">
        <v>0</v>
      </c>
      <c r="Q1577" t="n">
        <v>0</v>
      </c>
      <c r="R1577" s="2" t="inlineStr"/>
    </row>
    <row r="1578" ht="15" customHeight="1">
      <c r="A1578" t="inlineStr">
        <is>
          <t>A 3787-2019</t>
        </is>
      </c>
      <c r="B1578" s="1" t="n">
        <v>43482</v>
      </c>
      <c r="C1578" s="1" t="n">
        <v>45182</v>
      </c>
      <c r="D1578" t="inlineStr">
        <is>
          <t>JÄMTLANDS LÄN</t>
        </is>
      </c>
      <c r="E1578" t="inlineStr">
        <is>
          <t>HÄRJEDALEN</t>
        </is>
      </c>
      <c r="G1578" t="n">
        <v>7.1</v>
      </c>
      <c r="H1578" t="n">
        <v>0</v>
      </c>
      <c r="I1578" t="n">
        <v>0</v>
      </c>
      <c r="J1578" t="n">
        <v>0</v>
      </c>
      <c r="K1578" t="n">
        <v>0</v>
      </c>
      <c r="L1578" t="n">
        <v>0</v>
      </c>
      <c r="M1578" t="n">
        <v>0</v>
      </c>
      <c r="N1578" t="n">
        <v>0</v>
      </c>
      <c r="O1578" t="n">
        <v>0</v>
      </c>
      <c r="P1578" t="n">
        <v>0</v>
      </c>
      <c r="Q1578" t="n">
        <v>0</v>
      </c>
      <c r="R1578" s="2" t="inlineStr"/>
    </row>
    <row r="1579" ht="15" customHeight="1">
      <c r="A1579" t="inlineStr">
        <is>
          <t>A 5509-2019</t>
        </is>
      </c>
      <c r="B1579" s="1" t="n">
        <v>43482</v>
      </c>
      <c r="C1579" s="1" t="n">
        <v>45182</v>
      </c>
      <c r="D1579" t="inlineStr">
        <is>
          <t>JÄMTLANDS LÄN</t>
        </is>
      </c>
      <c r="E1579" t="inlineStr">
        <is>
          <t>KROKOM</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3785-2019</t>
        </is>
      </c>
      <c r="B1580" s="1" t="n">
        <v>43482</v>
      </c>
      <c r="C1580" s="1" t="n">
        <v>45182</v>
      </c>
      <c r="D1580" t="inlineStr">
        <is>
          <t>JÄMTLANDS LÄN</t>
        </is>
      </c>
      <c r="E1580" t="inlineStr">
        <is>
          <t>HÄRJEDALEN</t>
        </is>
      </c>
      <c r="G1580" t="n">
        <v>8.1</v>
      </c>
      <c r="H1580" t="n">
        <v>0</v>
      </c>
      <c r="I1580" t="n">
        <v>0</v>
      </c>
      <c r="J1580" t="n">
        <v>0</v>
      </c>
      <c r="K1580" t="n">
        <v>0</v>
      </c>
      <c r="L1580" t="n">
        <v>0</v>
      </c>
      <c r="M1580" t="n">
        <v>0</v>
      </c>
      <c r="N1580" t="n">
        <v>0</v>
      </c>
      <c r="O1580" t="n">
        <v>0</v>
      </c>
      <c r="P1580" t="n">
        <v>0</v>
      </c>
      <c r="Q1580" t="n">
        <v>0</v>
      </c>
      <c r="R1580" s="2" t="inlineStr"/>
    </row>
    <row r="1581" ht="15" customHeight="1">
      <c r="A1581" t="inlineStr">
        <is>
          <t>A 5510-2019</t>
        </is>
      </c>
      <c r="B1581" s="1" t="n">
        <v>43482</v>
      </c>
      <c r="C1581" s="1" t="n">
        <v>45182</v>
      </c>
      <c r="D1581" t="inlineStr">
        <is>
          <t>JÄMTLANDS LÄN</t>
        </is>
      </c>
      <c r="E1581" t="inlineStr">
        <is>
          <t>KROKOM</t>
        </is>
      </c>
      <c r="G1581" t="n">
        <v>3.3</v>
      </c>
      <c r="H1581" t="n">
        <v>0</v>
      </c>
      <c r="I1581" t="n">
        <v>0</v>
      </c>
      <c r="J1581" t="n">
        <v>0</v>
      </c>
      <c r="K1581" t="n">
        <v>0</v>
      </c>
      <c r="L1581" t="n">
        <v>0</v>
      </c>
      <c r="M1581" t="n">
        <v>0</v>
      </c>
      <c r="N1581" t="n">
        <v>0</v>
      </c>
      <c r="O1581" t="n">
        <v>0</v>
      </c>
      <c r="P1581" t="n">
        <v>0</v>
      </c>
      <c r="Q1581" t="n">
        <v>0</v>
      </c>
      <c r="R1581" s="2" t="inlineStr"/>
    </row>
    <row r="1582" ht="15" customHeight="1">
      <c r="A1582" t="inlineStr">
        <is>
          <t>A 4345-2019</t>
        </is>
      </c>
      <c r="B1582" s="1" t="n">
        <v>43483</v>
      </c>
      <c r="C1582" s="1" t="n">
        <v>45182</v>
      </c>
      <c r="D1582" t="inlineStr">
        <is>
          <t>JÄMTLANDS LÄN</t>
        </is>
      </c>
      <c r="E1582" t="inlineStr">
        <is>
          <t>RAGUNDA</t>
        </is>
      </c>
      <c r="G1582" t="n">
        <v>1.1</v>
      </c>
      <c r="H1582" t="n">
        <v>0</v>
      </c>
      <c r="I1582" t="n">
        <v>0</v>
      </c>
      <c r="J1582" t="n">
        <v>0</v>
      </c>
      <c r="K1582" t="n">
        <v>0</v>
      </c>
      <c r="L1582" t="n">
        <v>0</v>
      </c>
      <c r="M1582" t="n">
        <v>0</v>
      </c>
      <c r="N1582" t="n">
        <v>0</v>
      </c>
      <c r="O1582" t="n">
        <v>0</v>
      </c>
      <c r="P1582" t="n">
        <v>0</v>
      </c>
      <c r="Q1582" t="n">
        <v>0</v>
      </c>
      <c r="R1582" s="2" t="inlineStr"/>
    </row>
    <row r="1583" ht="15" customHeight="1">
      <c r="A1583" t="inlineStr">
        <is>
          <t>A 4359-2019</t>
        </is>
      </c>
      <c r="B1583" s="1" t="n">
        <v>43483</v>
      </c>
      <c r="C1583" s="1" t="n">
        <v>45182</v>
      </c>
      <c r="D1583" t="inlineStr">
        <is>
          <t>JÄMTLANDS LÄN</t>
        </is>
      </c>
      <c r="E1583" t="inlineStr">
        <is>
          <t>HÄRJEDALEN</t>
        </is>
      </c>
      <c r="G1583" t="n">
        <v>1.9</v>
      </c>
      <c r="H1583" t="n">
        <v>0</v>
      </c>
      <c r="I1583" t="n">
        <v>0</v>
      </c>
      <c r="J1583" t="n">
        <v>0</v>
      </c>
      <c r="K1583" t="n">
        <v>0</v>
      </c>
      <c r="L1583" t="n">
        <v>0</v>
      </c>
      <c r="M1583" t="n">
        <v>0</v>
      </c>
      <c r="N1583" t="n">
        <v>0</v>
      </c>
      <c r="O1583" t="n">
        <v>0</v>
      </c>
      <c r="P1583" t="n">
        <v>0</v>
      </c>
      <c r="Q1583" t="n">
        <v>0</v>
      </c>
      <c r="R1583" s="2" t="inlineStr"/>
    </row>
    <row r="1584" ht="15" customHeight="1">
      <c r="A1584" t="inlineStr">
        <is>
          <t>A 4218-2019</t>
        </is>
      </c>
      <c r="B1584" s="1" t="n">
        <v>43483</v>
      </c>
      <c r="C1584" s="1" t="n">
        <v>45182</v>
      </c>
      <c r="D1584" t="inlineStr">
        <is>
          <t>JÄMTLANDS LÄN</t>
        </is>
      </c>
      <c r="E1584" t="inlineStr">
        <is>
          <t>BRÄCKE</t>
        </is>
      </c>
      <c r="G1584" t="n">
        <v>0.2</v>
      </c>
      <c r="H1584" t="n">
        <v>0</v>
      </c>
      <c r="I1584" t="n">
        <v>0</v>
      </c>
      <c r="J1584" t="n">
        <v>0</v>
      </c>
      <c r="K1584" t="n">
        <v>0</v>
      </c>
      <c r="L1584" t="n">
        <v>0</v>
      </c>
      <c r="M1584" t="n">
        <v>0</v>
      </c>
      <c r="N1584" t="n">
        <v>0</v>
      </c>
      <c r="O1584" t="n">
        <v>0</v>
      </c>
      <c r="P1584" t="n">
        <v>0</v>
      </c>
      <c r="Q1584" t="n">
        <v>0</v>
      </c>
      <c r="R1584" s="2" t="inlineStr"/>
    </row>
    <row r="1585" ht="15" customHeight="1">
      <c r="A1585" t="inlineStr">
        <is>
          <t>A 4402-2019</t>
        </is>
      </c>
      <c r="B1585" s="1" t="n">
        <v>43484</v>
      </c>
      <c r="C1585" s="1" t="n">
        <v>45182</v>
      </c>
      <c r="D1585" t="inlineStr">
        <is>
          <t>JÄMTLANDS LÄN</t>
        </is>
      </c>
      <c r="E1585" t="inlineStr">
        <is>
          <t>STRÖMSUND</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6418-2019</t>
        </is>
      </c>
      <c r="B1586" s="1" t="n">
        <v>43486</v>
      </c>
      <c r="C1586" s="1" t="n">
        <v>45182</v>
      </c>
      <c r="D1586" t="inlineStr">
        <is>
          <t>JÄMTLANDS LÄN</t>
        </is>
      </c>
      <c r="E1586" t="inlineStr">
        <is>
          <t>HÄRJEDALEN</t>
        </is>
      </c>
      <c r="F1586" t="inlineStr">
        <is>
          <t>Övriga statliga verk och myndigheter</t>
        </is>
      </c>
      <c r="G1586" t="n">
        <v>0.3</v>
      </c>
      <c r="H1586" t="n">
        <v>0</v>
      </c>
      <c r="I1586" t="n">
        <v>0</v>
      </c>
      <c r="J1586" t="n">
        <v>0</v>
      </c>
      <c r="K1586" t="n">
        <v>0</v>
      </c>
      <c r="L1586" t="n">
        <v>0</v>
      </c>
      <c r="M1586" t="n">
        <v>0</v>
      </c>
      <c r="N1586" t="n">
        <v>0</v>
      </c>
      <c r="O1586" t="n">
        <v>0</v>
      </c>
      <c r="P1586" t="n">
        <v>0</v>
      </c>
      <c r="Q1586" t="n">
        <v>0</v>
      </c>
      <c r="R1586" s="2" t="inlineStr"/>
    </row>
    <row r="1587" ht="15" customHeight="1">
      <c r="A1587" t="inlineStr">
        <is>
          <t>A 4617-2019</t>
        </is>
      </c>
      <c r="B1587" s="1" t="n">
        <v>43486</v>
      </c>
      <c r="C1587" s="1" t="n">
        <v>45182</v>
      </c>
      <c r="D1587" t="inlineStr">
        <is>
          <t>JÄMTLANDS LÄN</t>
        </is>
      </c>
      <c r="E1587" t="inlineStr">
        <is>
          <t>HÄRJEDALEN</t>
        </is>
      </c>
      <c r="G1587" t="n">
        <v>2.1</v>
      </c>
      <c r="H1587" t="n">
        <v>0</v>
      </c>
      <c r="I1587" t="n">
        <v>0</v>
      </c>
      <c r="J1587" t="n">
        <v>0</v>
      </c>
      <c r="K1587" t="n">
        <v>0</v>
      </c>
      <c r="L1587" t="n">
        <v>0</v>
      </c>
      <c r="M1587" t="n">
        <v>0</v>
      </c>
      <c r="N1587" t="n">
        <v>0</v>
      </c>
      <c r="O1587" t="n">
        <v>0</v>
      </c>
      <c r="P1587" t="n">
        <v>0</v>
      </c>
      <c r="Q1587" t="n">
        <v>0</v>
      </c>
      <c r="R1587" s="2" t="inlineStr"/>
    </row>
    <row r="1588" ht="15" customHeight="1">
      <c r="A1588" t="inlineStr">
        <is>
          <t>A 5024-2019</t>
        </is>
      </c>
      <c r="B1588" s="1" t="n">
        <v>43487</v>
      </c>
      <c r="C1588" s="1" t="n">
        <v>45182</v>
      </c>
      <c r="D1588" t="inlineStr">
        <is>
          <t>JÄMTLANDS LÄN</t>
        </is>
      </c>
      <c r="E1588" t="inlineStr">
        <is>
          <t>ÖSTERSUND</t>
        </is>
      </c>
      <c r="G1588" t="n">
        <v>2.7</v>
      </c>
      <c r="H1588" t="n">
        <v>0</v>
      </c>
      <c r="I1588" t="n">
        <v>0</v>
      </c>
      <c r="J1588" t="n">
        <v>0</v>
      </c>
      <c r="K1588" t="n">
        <v>0</v>
      </c>
      <c r="L1588" t="n">
        <v>0</v>
      </c>
      <c r="M1588" t="n">
        <v>0</v>
      </c>
      <c r="N1588" t="n">
        <v>0</v>
      </c>
      <c r="O1588" t="n">
        <v>0</v>
      </c>
      <c r="P1588" t="n">
        <v>0</v>
      </c>
      <c r="Q1588" t="n">
        <v>0</v>
      </c>
      <c r="R1588" s="2" t="inlineStr"/>
    </row>
    <row r="1589" ht="15" customHeight="1">
      <c r="A1589" t="inlineStr">
        <is>
          <t>A 5327-2019</t>
        </is>
      </c>
      <c r="B1589" s="1" t="n">
        <v>43488</v>
      </c>
      <c r="C1589" s="1" t="n">
        <v>45182</v>
      </c>
      <c r="D1589" t="inlineStr">
        <is>
          <t>JÄMTLANDS LÄN</t>
        </is>
      </c>
      <c r="E1589" t="inlineStr">
        <is>
          <t>HÄRJEDALEN</t>
        </is>
      </c>
      <c r="F1589" t="inlineStr">
        <is>
          <t>Bergvik skog väst AB</t>
        </is>
      </c>
      <c r="G1589" t="n">
        <v>5.1</v>
      </c>
      <c r="H1589" t="n">
        <v>0</v>
      </c>
      <c r="I1589" t="n">
        <v>0</v>
      </c>
      <c r="J1589" t="n">
        <v>0</v>
      </c>
      <c r="K1589" t="n">
        <v>0</v>
      </c>
      <c r="L1589" t="n">
        <v>0</v>
      </c>
      <c r="M1589" t="n">
        <v>0</v>
      </c>
      <c r="N1589" t="n">
        <v>0</v>
      </c>
      <c r="O1589" t="n">
        <v>0</v>
      </c>
      <c r="P1589" t="n">
        <v>0</v>
      </c>
      <c r="Q1589" t="n">
        <v>0</v>
      </c>
      <c r="R1589" s="2" t="inlineStr"/>
    </row>
    <row r="1590" ht="15" customHeight="1">
      <c r="A1590" t="inlineStr">
        <is>
          <t>A 5215-2019</t>
        </is>
      </c>
      <c r="B1590" s="1" t="n">
        <v>43488</v>
      </c>
      <c r="C1590" s="1" t="n">
        <v>45182</v>
      </c>
      <c r="D1590" t="inlineStr">
        <is>
          <t>JÄMTLANDS LÄN</t>
        </is>
      </c>
      <c r="E1590" t="inlineStr">
        <is>
          <t>KROKOM</t>
        </is>
      </c>
      <c r="G1590" t="n">
        <v>8.9</v>
      </c>
      <c r="H1590" t="n">
        <v>0</v>
      </c>
      <c r="I1590" t="n">
        <v>0</v>
      </c>
      <c r="J1590" t="n">
        <v>0</v>
      </c>
      <c r="K1590" t="n">
        <v>0</v>
      </c>
      <c r="L1590" t="n">
        <v>0</v>
      </c>
      <c r="M1590" t="n">
        <v>0</v>
      </c>
      <c r="N1590" t="n">
        <v>0</v>
      </c>
      <c r="O1590" t="n">
        <v>0</v>
      </c>
      <c r="P1590" t="n">
        <v>0</v>
      </c>
      <c r="Q1590" t="n">
        <v>0</v>
      </c>
      <c r="R1590" s="2" t="inlineStr"/>
    </row>
    <row r="1591" ht="15" customHeight="1">
      <c r="A1591" t="inlineStr">
        <is>
          <t>A 5663-2019</t>
        </is>
      </c>
      <c r="B1591" s="1" t="n">
        <v>43489</v>
      </c>
      <c r="C1591" s="1" t="n">
        <v>45182</v>
      </c>
      <c r="D1591" t="inlineStr">
        <is>
          <t>JÄMTLANDS LÄN</t>
        </is>
      </c>
      <c r="E1591" t="inlineStr">
        <is>
          <t>HÄRJEDALEN</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5629-2019</t>
        </is>
      </c>
      <c r="B1592" s="1" t="n">
        <v>43489</v>
      </c>
      <c r="C1592" s="1" t="n">
        <v>45182</v>
      </c>
      <c r="D1592" t="inlineStr">
        <is>
          <t>JÄMTLANDS LÄN</t>
        </is>
      </c>
      <c r="E1592" t="inlineStr">
        <is>
          <t>ÖSTERSUND</t>
        </is>
      </c>
      <c r="G1592" t="n">
        <v>1.2</v>
      </c>
      <c r="H1592" t="n">
        <v>0</v>
      </c>
      <c r="I1592" t="n">
        <v>0</v>
      </c>
      <c r="J1592" t="n">
        <v>0</v>
      </c>
      <c r="K1592" t="n">
        <v>0</v>
      </c>
      <c r="L1592" t="n">
        <v>0</v>
      </c>
      <c r="M1592" t="n">
        <v>0</v>
      </c>
      <c r="N1592" t="n">
        <v>0</v>
      </c>
      <c r="O1592" t="n">
        <v>0</v>
      </c>
      <c r="P1592" t="n">
        <v>0</v>
      </c>
      <c r="Q1592" t="n">
        <v>0</v>
      </c>
      <c r="R1592" s="2" t="inlineStr"/>
    </row>
    <row r="1593" ht="15" customHeight="1">
      <c r="A1593" t="inlineStr">
        <is>
          <t>A 5619-2019</t>
        </is>
      </c>
      <c r="B1593" s="1" t="n">
        <v>43489</v>
      </c>
      <c r="C1593" s="1" t="n">
        <v>45182</v>
      </c>
      <c r="D1593" t="inlineStr">
        <is>
          <t>JÄMTLANDS LÄN</t>
        </is>
      </c>
      <c r="E1593" t="inlineStr">
        <is>
          <t>ÖSTERSUND</t>
        </is>
      </c>
      <c r="G1593" t="n">
        <v>4.1</v>
      </c>
      <c r="H1593" t="n">
        <v>0</v>
      </c>
      <c r="I1593" t="n">
        <v>0</v>
      </c>
      <c r="J1593" t="n">
        <v>0</v>
      </c>
      <c r="K1593" t="n">
        <v>0</v>
      </c>
      <c r="L1593" t="n">
        <v>0</v>
      </c>
      <c r="M1593" t="n">
        <v>0</v>
      </c>
      <c r="N1593" t="n">
        <v>0</v>
      </c>
      <c r="O1593" t="n">
        <v>0</v>
      </c>
      <c r="P1593" t="n">
        <v>0</v>
      </c>
      <c r="Q1593" t="n">
        <v>0</v>
      </c>
      <c r="R1593" s="2" t="inlineStr"/>
    </row>
    <row r="1594" ht="15" customHeight="1">
      <c r="A1594" t="inlineStr">
        <is>
          <t>A 5770-2019</t>
        </is>
      </c>
      <c r="B1594" s="1" t="n">
        <v>43490</v>
      </c>
      <c r="C1594" s="1" t="n">
        <v>45182</v>
      </c>
      <c r="D1594" t="inlineStr">
        <is>
          <t>JÄMTLANDS LÄN</t>
        </is>
      </c>
      <c r="E1594" t="inlineStr">
        <is>
          <t>KROKOM</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5779-2019</t>
        </is>
      </c>
      <c r="B1595" s="1" t="n">
        <v>43490</v>
      </c>
      <c r="C1595" s="1" t="n">
        <v>45182</v>
      </c>
      <c r="D1595" t="inlineStr">
        <is>
          <t>JÄMTLANDS LÄN</t>
        </is>
      </c>
      <c r="E1595" t="inlineStr">
        <is>
          <t>HÄRJEDALEN</t>
        </is>
      </c>
      <c r="G1595" t="n">
        <v>0.7</v>
      </c>
      <c r="H1595" t="n">
        <v>0</v>
      </c>
      <c r="I1595" t="n">
        <v>0</v>
      </c>
      <c r="J1595" t="n">
        <v>0</v>
      </c>
      <c r="K1595" t="n">
        <v>0</v>
      </c>
      <c r="L1595" t="n">
        <v>0</v>
      </c>
      <c r="M1595" t="n">
        <v>0</v>
      </c>
      <c r="N1595" t="n">
        <v>0</v>
      </c>
      <c r="O1595" t="n">
        <v>0</v>
      </c>
      <c r="P1595" t="n">
        <v>0</v>
      </c>
      <c r="Q1595" t="n">
        <v>0</v>
      </c>
      <c r="R1595" s="2" t="inlineStr"/>
    </row>
    <row r="1596" ht="15" customHeight="1">
      <c r="A1596" t="inlineStr">
        <is>
          <t>A 5914-2019</t>
        </is>
      </c>
      <c r="B1596" s="1" t="n">
        <v>43490</v>
      </c>
      <c r="C1596" s="1" t="n">
        <v>45182</v>
      </c>
      <c r="D1596" t="inlineStr">
        <is>
          <t>JÄMTLANDS LÄN</t>
        </is>
      </c>
      <c r="E1596" t="inlineStr">
        <is>
          <t>ÅRE</t>
        </is>
      </c>
      <c r="G1596" t="n">
        <v>3.5</v>
      </c>
      <c r="H1596" t="n">
        <v>0</v>
      </c>
      <c r="I1596" t="n">
        <v>0</v>
      </c>
      <c r="J1596" t="n">
        <v>0</v>
      </c>
      <c r="K1596" t="n">
        <v>0</v>
      </c>
      <c r="L1596" t="n">
        <v>0</v>
      </c>
      <c r="M1596" t="n">
        <v>0</v>
      </c>
      <c r="N1596" t="n">
        <v>0</v>
      </c>
      <c r="O1596" t="n">
        <v>0</v>
      </c>
      <c r="P1596" t="n">
        <v>0</v>
      </c>
      <c r="Q1596" t="n">
        <v>0</v>
      </c>
      <c r="R1596" s="2" t="inlineStr"/>
    </row>
    <row r="1597" ht="15" customHeight="1">
      <c r="A1597" t="inlineStr">
        <is>
          <t>A 5930-2019</t>
        </is>
      </c>
      <c r="B1597" s="1" t="n">
        <v>43490</v>
      </c>
      <c r="C1597" s="1" t="n">
        <v>45182</v>
      </c>
      <c r="D1597" t="inlineStr">
        <is>
          <t>JÄMTLANDS LÄN</t>
        </is>
      </c>
      <c r="E1597" t="inlineStr">
        <is>
          <t>ÅRE</t>
        </is>
      </c>
      <c r="G1597" t="n">
        <v>0.9</v>
      </c>
      <c r="H1597" t="n">
        <v>0</v>
      </c>
      <c r="I1597" t="n">
        <v>0</v>
      </c>
      <c r="J1597" t="n">
        <v>0</v>
      </c>
      <c r="K1597" t="n">
        <v>0</v>
      </c>
      <c r="L1597" t="n">
        <v>0</v>
      </c>
      <c r="M1597" t="n">
        <v>0</v>
      </c>
      <c r="N1597" t="n">
        <v>0</v>
      </c>
      <c r="O1597" t="n">
        <v>0</v>
      </c>
      <c r="P1597" t="n">
        <v>0</v>
      </c>
      <c r="Q1597" t="n">
        <v>0</v>
      </c>
      <c r="R1597" s="2" t="inlineStr"/>
    </row>
    <row r="1598" ht="15" customHeight="1">
      <c r="A1598" t="inlineStr">
        <is>
          <t>A 7370-2019</t>
        </is>
      </c>
      <c r="B1598" s="1" t="n">
        <v>43490</v>
      </c>
      <c r="C1598" s="1" t="n">
        <v>45182</v>
      </c>
      <c r="D1598" t="inlineStr">
        <is>
          <t>JÄMTLANDS LÄN</t>
        </is>
      </c>
      <c r="E1598" t="inlineStr">
        <is>
          <t>BERG</t>
        </is>
      </c>
      <c r="G1598" t="n">
        <v>5.5</v>
      </c>
      <c r="H1598" t="n">
        <v>0</v>
      </c>
      <c r="I1598" t="n">
        <v>0</v>
      </c>
      <c r="J1598" t="n">
        <v>0</v>
      </c>
      <c r="K1598" t="n">
        <v>0</v>
      </c>
      <c r="L1598" t="n">
        <v>0</v>
      </c>
      <c r="M1598" t="n">
        <v>0</v>
      </c>
      <c r="N1598" t="n">
        <v>0</v>
      </c>
      <c r="O1598" t="n">
        <v>0</v>
      </c>
      <c r="P1598" t="n">
        <v>0</v>
      </c>
      <c r="Q1598" t="n">
        <v>0</v>
      </c>
      <c r="R1598" s="2" t="inlineStr"/>
    </row>
    <row r="1599" ht="15" customHeight="1">
      <c r="A1599" t="inlineStr">
        <is>
          <t>A 5790-2019</t>
        </is>
      </c>
      <c r="B1599" s="1" t="n">
        <v>43490</v>
      </c>
      <c r="C1599" s="1" t="n">
        <v>45182</v>
      </c>
      <c r="D1599" t="inlineStr">
        <is>
          <t>JÄMTLANDS LÄN</t>
        </is>
      </c>
      <c r="E1599" t="inlineStr">
        <is>
          <t>HÄRJEDALEN</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5805-2019</t>
        </is>
      </c>
      <c r="B1600" s="1" t="n">
        <v>43490</v>
      </c>
      <c r="C1600" s="1" t="n">
        <v>45182</v>
      </c>
      <c r="D1600" t="inlineStr">
        <is>
          <t>JÄMTLANDS LÄN</t>
        </is>
      </c>
      <c r="E1600" t="inlineStr">
        <is>
          <t>HÄRJEDALEN</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5929-2019</t>
        </is>
      </c>
      <c r="B1601" s="1" t="n">
        <v>43490</v>
      </c>
      <c r="C1601" s="1" t="n">
        <v>45182</v>
      </c>
      <c r="D1601" t="inlineStr">
        <is>
          <t>JÄMTLANDS LÄN</t>
        </is>
      </c>
      <c r="E1601" t="inlineStr">
        <is>
          <t>ÅRE</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6774-2019</t>
        </is>
      </c>
      <c r="B1602" s="1" t="n">
        <v>43494</v>
      </c>
      <c r="C1602" s="1" t="n">
        <v>45182</v>
      </c>
      <c r="D1602" t="inlineStr">
        <is>
          <t>JÄMTLANDS LÄN</t>
        </is>
      </c>
      <c r="E1602" t="inlineStr">
        <is>
          <t>ÖSTERSUND</t>
        </is>
      </c>
      <c r="G1602" t="n">
        <v>6.2</v>
      </c>
      <c r="H1602" t="n">
        <v>0</v>
      </c>
      <c r="I1602" t="n">
        <v>0</v>
      </c>
      <c r="J1602" t="n">
        <v>0</v>
      </c>
      <c r="K1602" t="n">
        <v>0</v>
      </c>
      <c r="L1602" t="n">
        <v>0</v>
      </c>
      <c r="M1602" t="n">
        <v>0</v>
      </c>
      <c r="N1602" t="n">
        <v>0</v>
      </c>
      <c r="O1602" t="n">
        <v>0</v>
      </c>
      <c r="P1602" t="n">
        <v>0</v>
      </c>
      <c r="Q1602" t="n">
        <v>0</v>
      </c>
      <c r="R1602" s="2" t="inlineStr"/>
    </row>
    <row r="1603" ht="15" customHeight="1">
      <c r="A1603" t="inlineStr">
        <is>
          <t>A 6549-2019</t>
        </is>
      </c>
      <c r="B1603" s="1" t="n">
        <v>43494</v>
      </c>
      <c r="C1603" s="1" t="n">
        <v>45182</v>
      </c>
      <c r="D1603" t="inlineStr">
        <is>
          <t>JÄMTLANDS LÄN</t>
        </is>
      </c>
      <c r="E1603" t="inlineStr">
        <is>
          <t>ÖSTERSUND</t>
        </is>
      </c>
      <c r="G1603" t="n">
        <v>3.1</v>
      </c>
      <c r="H1603" t="n">
        <v>0</v>
      </c>
      <c r="I1603" t="n">
        <v>0</v>
      </c>
      <c r="J1603" t="n">
        <v>0</v>
      </c>
      <c r="K1603" t="n">
        <v>0</v>
      </c>
      <c r="L1603" t="n">
        <v>0</v>
      </c>
      <c r="M1603" t="n">
        <v>0</v>
      </c>
      <c r="N1603" t="n">
        <v>0</v>
      </c>
      <c r="O1603" t="n">
        <v>0</v>
      </c>
      <c r="P1603" t="n">
        <v>0</v>
      </c>
      <c r="Q1603" t="n">
        <v>0</v>
      </c>
      <c r="R1603" s="2" t="inlineStr"/>
    </row>
    <row r="1604" ht="15" customHeight="1">
      <c r="A1604" t="inlineStr">
        <is>
          <t>A 6775-2019</t>
        </is>
      </c>
      <c r="B1604" s="1" t="n">
        <v>43494</v>
      </c>
      <c r="C1604" s="1" t="n">
        <v>45182</v>
      </c>
      <c r="D1604" t="inlineStr">
        <is>
          <t>JÄMTLANDS LÄN</t>
        </is>
      </c>
      <c r="E1604" t="inlineStr">
        <is>
          <t>ÖSTERSUND</t>
        </is>
      </c>
      <c r="G1604" t="n">
        <v>6</v>
      </c>
      <c r="H1604" t="n">
        <v>0</v>
      </c>
      <c r="I1604" t="n">
        <v>0</v>
      </c>
      <c r="J1604" t="n">
        <v>0</v>
      </c>
      <c r="K1604" t="n">
        <v>0</v>
      </c>
      <c r="L1604" t="n">
        <v>0</v>
      </c>
      <c r="M1604" t="n">
        <v>0</v>
      </c>
      <c r="N1604" t="n">
        <v>0</v>
      </c>
      <c r="O1604" t="n">
        <v>0</v>
      </c>
      <c r="P1604" t="n">
        <v>0</v>
      </c>
      <c r="Q1604" t="n">
        <v>0</v>
      </c>
      <c r="R1604" s="2" t="inlineStr"/>
    </row>
    <row r="1605" ht="15" customHeight="1">
      <c r="A1605" t="inlineStr">
        <is>
          <t>A 7065-2019</t>
        </is>
      </c>
      <c r="B1605" s="1" t="n">
        <v>43495</v>
      </c>
      <c r="C1605" s="1" t="n">
        <v>45182</v>
      </c>
      <c r="D1605" t="inlineStr">
        <is>
          <t>JÄMTLANDS LÄN</t>
        </is>
      </c>
      <c r="E1605" t="inlineStr">
        <is>
          <t>RAGUNDA</t>
        </is>
      </c>
      <c r="G1605" t="n">
        <v>13.2</v>
      </c>
      <c r="H1605" t="n">
        <v>0</v>
      </c>
      <c r="I1605" t="n">
        <v>0</v>
      </c>
      <c r="J1605" t="n">
        <v>0</v>
      </c>
      <c r="K1605" t="n">
        <v>0</v>
      </c>
      <c r="L1605" t="n">
        <v>0</v>
      </c>
      <c r="M1605" t="n">
        <v>0</v>
      </c>
      <c r="N1605" t="n">
        <v>0</v>
      </c>
      <c r="O1605" t="n">
        <v>0</v>
      </c>
      <c r="P1605" t="n">
        <v>0</v>
      </c>
      <c r="Q1605" t="n">
        <v>0</v>
      </c>
      <c r="R1605" s="2" t="inlineStr"/>
    </row>
    <row r="1606" ht="15" customHeight="1">
      <c r="A1606" t="inlineStr">
        <is>
          <t>A 6834-2019</t>
        </is>
      </c>
      <c r="B1606" s="1" t="n">
        <v>43495</v>
      </c>
      <c r="C1606" s="1" t="n">
        <v>45182</v>
      </c>
      <c r="D1606" t="inlineStr">
        <is>
          <t>JÄMTLANDS LÄN</t>
        </is>
      </c>
      <c r="E1606" t="inlineStr">
        <is>
          <t>ÖSTERSUND</t>
        </is>
      </c>
      <c r="G1606" t="n">
        <v>2.9</v>
      </c>
      <c r="H1606" t="n">
        <v>0</v>
      </c>
      <c r="I1606" t="n">
        <v>0</v>
      </c>
      <c r="J1606" t="n">
        <v>0</v>
      </c>
      <c r="K1606" t="n">
        <v>0</v>
      </c>
      <c r="L1606" t="n">
        <v>0</v>
      </c>
      <c r="M1606" t="n">
        <v>0</v>
      </c>
      <c r="N1606" t="n">
        <v>0</v>
      </c>
      <c r="O1606" t="n">
        <v>0</v>
      </c>
      <c r="P1606" t="n">
        <v>0</v>
      </c>
      <c r="Q1606" t="n">
        <v>0</v>
      </c>
      <c r="R1606" s="2" t="inlineStr"/>
    </row>
    <row r="1607" ht="15" customHeight="1">
      <c r="A1607" t="inlineStr">
        <is>
          <t>A 8155-2019</t>
        </is>
      </c>
      <c r="B1607" s="1" t="n">
        <v>43495</v>
      </c>
      <c r="C1607" s="1" t="n">
        <v>45182</v>
      </c>
      <c r="D1607" t="inlineStr">
        <is>
          <t>JÄMTLANDS LÄN</t>
        </is>
      </c>
      <c r="E1607" t="inlineStr">
        <is>
          <t>HÄRJEDALEN</t>
        </is>
      </c>
      <c r="G1607" t="n">
        <v>16.9</v>
      </c>
      <c r="H1607" t="n">
        <v>0</v>
      </c>
      <c r="I1607" t="n">
        <v>0</v>
      </c>
      <c r="J1607" t="n">
        <v>0</v>
      </c>
      <c r="K1607" t="n">
        <v>0</v>
      </c>
      <c r="L1607" t="n">
        <v>0</v>
      </c>
      <c r="M1607" t="n">
        <v>0</v>
      </c>
      <c r="N1607" t="n">
        <v>0</v>
      </c>
      <c r="O1607" t="n">
        <v>0</v>
      </c>
      <c r="P1607" t="n">
        <v>0</v>
      </c>
      <c r="Q1607" t="n">
        <v>0</v>
      </c>
      <c r="R1607" s="2" t="inlineStr"/>
    </row>
    <row r="1608" ht="15" customHeight="1">
      <c r="A1608" t="inlineStr">
        <is>
          <t>A 7128-2019</t>
        </is>
      </c>
      <c r="B1608" s="1" t="n">
        <v>43495</v>
      </c>
      <c r="C1608" s="1" t="n">
        <v>45182</v>
      </c>
      <c r="D1608" t="inlineStr">
        <is>
          <t>JÄMTLANDS LÄN</t>
        </is>
      </c>
      <c r="E1608" t="inlineStr">
        <is>
          <t>ÖSTERSUND</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6886-2019</t>
        </is>
      </c>
      <c r="B1609" s="1" t="n">
        <v>43495</v>
      </c>
      <c r="C1609" s="1" t="n">
        <v>45182</v>
      </c>
      <c r="D1609" t="inlineStr">
        <is>
          <t>JÄMTLANDS LÄN</t>
        </is>
      </c>
      <c r="E1609" t="inlineStr">
        <is>
          <t>HÄRJEDALEN</t>
        </is>
      </c>
      <c r="G1609" t="n">
        <v>10.4</v>
      </c>
      <c r="H1609" t="n">
        <v>0</v>
      </c>
      <c r="I1609" t="n">
        <v>0</v>
      </c>
      <c r="J1609" t="n">
        <v>0</v>
      </c>
      <c r="K1609" t="n">
        <v>0</v>
      </c>
      <c r="L1609" t="n">
        <v>0</v>
      </c>
      <c r="M1609" t="n">
        <v>0</v>
      </c>
      <c r="N1609" t="n">
        <v>0</v>
      </c>
      <c r="O1609" t="n">
        <v>0</v>
      </c>
      <c r="P1609" t="n">
        <v>0</v>
      </c>
      <c r="Q1609" t="n">
        <v>0</v>
      </c>
      <c r="R1609" s="2" t="inlineStr"/>
    </row>
    <row r="1610" ht="15" customHeight="1">
      <c r="A1610" t="inlineStr">
        <is>
          <t>A 7094-2019</t>
        </is>
      </c>
      <c r="B1610" s="1" t="n">
        <v>43496</v>
      </c>
      <c r="C1610" s="1" t="n">
        <v>45182</v>
      </c>
      <c r="D1610" t="inlineStr">
        <is>
          <t>JÄMTLANDS LÄN</t>
        </is>
      </c>
      <c r="E1610" t="inlineStr">
        <is>
          <t>BERG</t>
        </is>
      </c>
      <c r="G1610" t="n">
        <v>5.5</v>
      </c>
      <c r="H1610" t="n">
        <v>0</v>
      </c>
      <c r="I1610" t="n">
        <v>0</v>
      </c>
      <c r="J1610" t="n">
        <v>0</v>
      </c>
      <c r="K1610" t="n">
        <v>0</v>
      </c>
      <c r="L1610" t="n">
        <v>0</v>
      </c>
      <c r="M1610" t="n">
        <v>0</v>
      </c>
      <c r="N1610" t="n">
        <v>0</v>
      </c>
      <c r="O1610" t="n">
        <v>0</v>
      </c>
      <c r="P1610" t="n">
        <v>0</v>
      </c>
      <c r="Q1610" t="n">
        <v>0</v>
      </c>
      <c r="R1610" s="2" t="inlineStr"/>
    </row>
    <row r="1611" ht="15" customHeight="1">
      <c r="A1611" t="inlineStr">
        <is>
          <t>A 7088-2019</t>
        </is>
      </c>
      <c r="B1611" s="1" t="n">
        <v>43496</v>
      </c>
      <c r="C1611" s="1" t="n">
        <v>45182</v>
      </c>
      <c r="D1611" t="inlineStr">
        <is>
          <t>JÄMTLANDS LÄN</t>
        </is>
      </c>
      <c r="E1611" t="inlineStr">
        <is>
          <t>ÅRE</t>
        </is>
      </c>
      <c r="G1611" t="n">
        <v>4.7</v>
      </c>
      <c r="H1611" t="n">
        <v>0</v>
      </c>
      <c r="I1611" t="n">
        <v>0</v>
      </c>
      <c r="J1611" t="n">
        <v>0</v>
      </c>
      <c r="K1611" t="n">
        <v>0</v>
      </c>
      <c r="L1611" t="n">
        <v>0</v>
      </c>
      <c r="M1611" t="n">
        <v>0</v>
      </c>
      <c r="N1611" t="n">
        <v>0</v>
      </c>
      <c r="O1611" t="n">
        <v>0</v>
      </c>
      <c r="P1611" t="n">
        <v>0</v>
      </c>
      <c r="Q1611" t="n">
        <v>0</v>
      </c>
      <c r="R1611" s="2" t="inlineStr"/>
    </row>
    <row r="1612" ht="15" customHeight="1">
      <c r="A1612" t="inlineStr">
        <is>
          <t>A 7129-2019</t>
        </is>
      </c>
      <c r="B1612" s="1" t="n">
        <v>43496</v>
      </c>
      <c r="C1612" s="1" t="n">
        <v>45182</v>
      </c>
      <c r="D1612" t="inlineStr">
        <is>
          <t>JÄMTLANDS LÄN</t>
        </is>
      </c>
      <c r="E1612" t="inlineStr">
        <is>
          <t>BERG</t>
        </is>
      </c>
      <c r="F1612" t="inlineStr">
        <is>
          <t>Kyrkan</t>
        </is>
      </c>
      <c r="G1612" t="n">
        <v>21.7</v>
      </c>
      <c r="H1612" t="n">
        <v>0</v>
      </c>
      <c r="I1612" t="n">
        <v>0</v>
      </c>
      <c r="J1612" t="n">
        <v>0</v>
      </c>
      <c r="K1612" t="n">
        <v>0</v>
      </c>
      <c r="L1612" t="n">
        <v>0</v>
      </c>
      <c r="M1612" t="n">
        <v>0</v>
      </c>
      <c r="N1612" t="n">
        <v>0</v>
      </c>
      <c r="O1612" t="n">
        <v>0</v>
      </c>
      <c r="P1612" t="n">
        <v>0</v>
      </c>
      <c r="Q1612" t="n">
        <v>0</v>
      </c>
      <c r="R1612" s="2" t="inlineStr"/>
    </row>
    <row r="1613" ht="15" customHeight="1">
      <c r="A1613" t="inlineStr">
        <is>
          <t>A 7305-2019</t>
        </is>
      </c>
      <c r="B1613" s="1" t="n">
        <v>43496</v>
      </c>
      <c r="C1613" s="1" t="n">
        <v>45182</v>
      </c>
      <c r="D1613" t="inlineStr">
        <is>
          <t>JÄMTLANDS LÄN</t>
        </is>
      </c>
      <c r="E1613" t="inlineStr">
        <is>
          <t>RAGUNDA</t>
        </is>
      </c>
      <c r="F1613" t="inlineStr">
        <is>
          <t>Kommuner</t>
        </is>
      </c>
      <c r="G1613" t="n">
        <v>32.6</v>
      </c>
      <c r="H1613" t="n">
        <v>0</v>
      </c>
      <c r="I1613" t="n">
        <v>0</v>
      </c>
      <c r="J1613" t="n">
        <v>0</v>
      </c>
      <c r="K1613" t="n">
        <v>0</v>
      </c>
      <c r="L1613" t="n">
        <v>0</v>
      </c>
      <c r="M1613" t="n">
        <v>0</v>
      </c>
      <c r="N1613" t="n">
        <v>0</v>
      </c>
      <c r="O1613" t="n">
        <v>0</v>
      </c>
      <c r="P1613" t="n">
        <v>0</v>
      </c>
      <c r="Q1613" t="n">
        <v>0</v>
      </c>
      <c r="R1613" s="2" t="inlineStr"/>
    </row>
    <row r="1614" ht="15" customHeight="1">
      <c r="A1614" t="inlineStr">
        <is>
          <t>A 7406-2019</t>
        </is>
      </c>
      <c r="B1614" s="1" t="n">
        <v>43497</v>
      </c>
      <c r="C1614" s="1" t="n">
        <v>45182</v>
      </c>
      <c r="D1614" t="inlineStr">
        <is>
          <t>JÄMTLANDS LÄN</t>
        </is>
      </c>
      <c r="E1614" t="inlineStr">
        <is>
          <t>BRÄCKE</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7469-2019</t>
        </is>
      </c>
      <c r="B1615" s="1" t="n">
        <v>43497</v>
      </c>
      <c r="C1615" s="1" t="n">
        <v>45182</v>
      </c>
      <c r="D1615" t="inlineStr">
        <is>
          <t>JÄMTLANDS LÄN</t>
        </is>
      </c>
      <c r="E1615" t="inlineStr">
        <is>
          <t>KROKOM</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7478-2019</t>
        </is>
      </c>
      <c r="B1616" s="1" t="n">
        <v>43497</v>
      </c>
      <c r="C1616" s="1" t="n">
        <v>45182</v>
      </c>
      <c r="D1616" t="inlineStr">
        <is>
          <t>JÄMTLANDS LÄN</t>
        </is>
      </c>
      <c r="E1616" t="inlineStr">
        <is>
          <t>HÄRJEDALEN</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7793-2019</t>
        </is>
      </c>
      <c r="B1617" s="1" t="n">
        <v>43500</v>
      </c>
      <c r="C1617" s="1" t="n">
        <v>45182</v>
      </c>
      <c r="D1617" t="inlineStr">
        <is>
          <t>JÄMTLANDS LÄN</t>
        </is>
      </c>
      <c r="E1617" t="inlineStr">
        <is>
          <t>HÄRJEDALEN</t>
        </is>
      </c>
      <c r="F1617" t="inlineStr">
        <is>
          <t>Holmen skog AB</t>
        </is>
      </c>
      <c r="G1617" t="n">
        <v>18</v>
      </c>
      <c r="H1617" t="n">
        <v>0</v>
      </c>
      <c r="I1617" t="n">
        <v>0</v>
      </c>
      <c r="J1617" t="n">
        <v>0</v>
      </c>
      <c r="K1617" t="n">
        <v>0</v>
      </c>
      <c r="L1617" t="n">
        <v>0</v>
      </c>
      <c r="M1617" t="n">
        <v>0</v>
      </c>
      <c r="N1617" t="n">
        <v>0</v>
      </c>
      <c r="O1617" t="n">
        <v>0</v>
      </c>
      <c r="P1617" t="n">
        <v>0</v>
      </c>
      <c r="Q1617" t="n">
        <v>0</v>
      </c>
      <c r="R1617" s="2" t="inlineStr"/>
    </row>
    <row r="1618" ht="15" customHeight="1">
      <c r="A1618" t="inlineStr">
        <is>
          <t>A 7839-2019</t>
        </is>
      </c>
      <c r="B1618" s="1" t="n">
        <v>43500</v>
      </c>
      <c r="C1618" s="1" t="n">
        <v>45182</v>
      </c>
      <c r="D1618" t="inlineStr">
        <is>
          <t>JÄMTLANDS LÄN</t>
        </is>
      </c>
      <c r="E1618" t="inlineStr">
        <is>
          <t>HÄRJEDALEN</t>
        </is>
      </c>
      <c r="F1618" t="inlineStr">
        <is>
          <t>Holmen skog AB</t>
        </is>
      </c>
      <c r="G1618" t="n">
        <v>43</v>
      </c>
      <c r="H1618" t="n">
        <v>0</v>
      </c>
      <c r="I1618" t="n">
        <v>0</v>
      </c>
      <c r="J1618" t="n">
        <v>0</v>
      </c>
      <c r="K1618" t="n">
        <v>0</v>
      </c>
      <c r="L1618" t="n">
        <v>0</v>
      </c>
      <c r="M1618" t="n">
        <v>0</v>
      </c>
      <c r="N1618" t="n">
        <v>0</v>
      </c>
      <c r="O1618" t="n">
        <v>0</v>
      </c>
      <c r="P1618" t="n">
        <v>0</v>
      </c>
      <c r="Q1618" t="n">
        <v>0</v>
      </c>
      <c r="R1618" s="2" t="inlineStr"/>
    </row>
    <row r="1619" ht="15" customHeight="1">
      <c r="A1619" t="inlineStr">
        <is>
          <t>A 7791-2019</t>
        </is>
      </c>
      <c r="B1619" s="1" t="n">
        <v>43500</v>
      </c>
      <c r="C1619" s="1" t="n">
        <v>45182</v>
      </c>
      <c r="D1619" t="inlineStr">
        <is>
          <t>JÄMTLANDS LÄN</t>
        </is>
      </c>
      <c r="E1619" t="inlineStr">
        <is>
          <t>HÄRJEDALEN</t>
        </is>
      </c>
      <c r="F1619" t="inlineStr">
        <is>
          <t>Holmen skog AB</t>
        </is>
      </c>
      <c r="G1619" t="n">
        <v>18.3</v>
      </c>
      <c r="H1619" t="n">
        <v>0</v>
      </c>
      <c r="I1619" t="n">
        <v>0</v>
      </c>
      <c r="J1619" t="n">
        <v>0</v>
      </c>
      <c r="K1619" t="n">
        <v>0</v>
      </c>
      <c r="L1619" t="n">
        <v>0</v>
      </c>
      <c r="M1619" t="n">
        <v>0</v>
      </c>
      <c r="N1619" t="n">
        <v>0</v>
      </c>
      <c r="O1619" t="n">
        <v>0</v>
      </c>
      <c r="P1619" t="n">
        <v>0</v>
      </c>
      <c r="Q1619" t="n">
        <v>0</v>
      </c>
      <c r="R1619" s="2" t="inlineStr"/>
    </row>
    <row r="1620" ht="15" customHeight="1">
      <c r="A1620" t="inlineStr">
        <is>
          <t>A 7790-2019</t>
        </is>
      </c>
      <c r="B1620" s="1" t="n">
        <v>43500</v>
      </c>
      <c r="C1620" s="1" t="n">
        <v>45182</v>
      </c>
      <c r="D1620" t="inlineStr">
        <is>
          <t>JÄMTLANDS LÄN</t>
        </is>
      </c>
      <c r="E1620" t="inlineStr">
        <is>
          <t>HÄRJEDALEN</t>
        </is>
      </c>
      <c r="F1620" t="inlineStr">
        <is>
          <t>Holmen skog AB</t>
        </is>
      </c>
      <c r="G1620" t="n">
        <v>7.9</v>
      </c>
      <c r="H1620" t="n">
        <v>0</v>
      </c>
      <c r="I1620" t="n">
        <v>0</v>
      </c>
      <c r="J1620" t="n">
        <v>0</v>
      </c>
      <c r="K1620" t="n">
        <v>0</v>
      </c>
      <c r="L1620" t="n">
        <v>0</v>
      </c>
      <c r="M1620" t="n">
        <v>0</v>
      </c>
      <c r="N1620" t="n">
        <v>0</v>
      </c>
      <c r="O1620" t="n">
        <v>0</v>
      </c>
      <c r="P1620" t="n">
        <v>0</v>
      </c>
      <c r="Q1620" t="n">
        <v>0</v>
      </c>
      <c r="R1620" s="2" t="inlineStr"/>
    </row>
    <row r="1621" ht="15" customHeight="1">
      <c r="A1621" t="inlineStr">
        <is>
          <t>A 7853-2019</t>
        </is>
      </c>
      <c r="B1621" s="1" t="n">
        <v>43500</v>
      </c>
      <c r="C1621" s="1" t="n">
        <v>45182</v>
      </c>
      <c r="D1621" t="inlineStr">
        <is>
          <t>JÄMTLANDS LÄN</t>
        </is>
      </c>
      <c r="E1621" t="inlineStr">
        <is>
          <t>HÄRJEDALEN</t>
        </is>
      </c>
      <c r="F1621" t="inlineStr">
        <is>
          <t>Holmen skog AB</t>
        </is>
      </c>
      <c r="G1621" t="n">
        <v>6.6</v>
      </c>
      <c r="H1621" t="n">
        <v>0</v>
      </c>
      <c r="I1621" t="n">
        <v>0</v>
      </c>
      <c r="J1621" t="n">
        <v>0</v>
      </c>
      <c r="K1621" t="n">
        <v>0</v>
      </c>
      <c r="L1621" t="n">
        <v>0</v>
      </c>
      <c r="M1621" t="n">
        <v>0</v>
      </c>
      <c r="N1621" t="n">
        <v>0</v>
      </c>
      <c r="O1621" t="n">
        <v>0</v>
      </c>
      <c r="P1621" t="n">
        <v>0</v>
      </c>
      <c r="Q1621" t="n">
        <v>0</v>
      </c>
      <c r="R1621" s="2" t="inlineStr"/>
    </row>
    <row r="1622" ht="15" customHeight="1">
      <c r="A1622" t="inlineStr">
        <is>
          <t>A 7840-2019</t>
        </is>
      </c>
      <c r="B1622" s="1" t="n">
        <v>43500</v>
      </c>
      <c r="C1622" s="1" t="n">
        <v>45182</v>
      </c>
      <c r="D1622" t="inlineStr">
        <is>
          <t>JÄMTLANDS LÄN</t>
        </is>
      </c>
      <c r="E1622" t="inlineStr">
        <is>
          <t>HÄRJEDALEN</t>
        </is>
      </c>
      <c r="F1622" t="inlineStr">
        <is>
          <t>Holmen skog AB</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8489-2019</t>
        </is>
      </c>
      <c r="B1623" s="1" t="n">
        <v>43500</v>
      </c>
      <c r="C1623" s="1" t="n">
        <v>45182</v>
      </c>
      <c r="D1623" t="inlineStr">
        <is>
          <t>JÄMTLANDS LÄN</t>
        </is>
      </c>
      <c r="E1623" t="inlineStr">
        <is>
          <t>KROKOM</t>
        </is>
      </c>
      <c r="G1623" t="n">
        <v>18.1</v>
      </c>
      <c r="H1623" t="n">
        <v>0</v>
      </c>
      <c r="I1623" t="n">
        <v>0</v>
      </c>
      <c r="J1623" t="n">
        <v>0</v>
      </c>
      <c r="K1623" t="n">
        <v>0</v>
      </c>
      <c r="L1623" t="n">
        <v>0</v>
      </c>
      <c r="M1623" t="n">
        <v>0</v>
      </c>
      <c r="N1623" t="n">
        <v>0</v>
      </c>
      <c r="O1623" t="n">
        <v>0</v>
      </c>
      <c r="P1623" t="n">
        <v>0</v>
      </c>
      <c r="Q1623" t="n">
        <v>0</v>
      </c>
      <c r="R1623" s="2" t="inlineStr"/>
    </row>
    <row r="1624" ht="15" customHeight="1">
      <c r="A1624" t="inlineStr">
        <is>
          <t>A 8006-2019</t>
        </is>
      </c>
      <c r="B1624" s="1" t="n">
        <v>43501</v>
      </c>
      <c r="C1624" s="1" t="n">
        <v>45182</v>
      </c>
      <c r="D1624" t="inlineStr">
        <is>
          <t>JÄMTLANDS LÄN</t>
        </is>
      </c>
      <c r="E1624" t="inlineStr">
        <is>
          <t>ÅRE</t>
        </is>
      </c>
      <c r="G1624" t="n">
        <v>23.8</v>
      </c>
      <c r="H1624" t="n">
        <v>0</v>
      </c>
      <c r="I1624" t="n">
        <v>0</v>
      </c>
      <c r="J1624" t="n">
        <v>0</v>
      </c>
      <c r="K1624" t="n">
        <v>0</v>
      </c>
      <c r="L1624" t="n">
        <v>0</v>
      </c>
      <c r="M1624" t="n">
        <v>0</v>
      </c>
      <c r="N1624" t="n">
        <v>0</v>
      </c>
      <c r="O1624" t="n">
        <v>0</v>
      </c>
      <c r="P1624" t="n">
        <v>0</v>
      </c>
      <c r="Q1624" t="n">
        <v>0</v>
      </c>
      <c r="R1624" s="2" t="inlineStr"/>
    </row>
    <row r="1625" ht="15" customHeight="1">
      <c r="A1625" t="inlineStr">
        <is>
          <t>A 8267-2019</t>
        </is>
      </c>
      <c r="B1625" s="1" t="n">
        <v>43501</v>
      </c>
      <c r="C1625" s="1" t="n">
        <v>45182</v>
      </c>
      <c r="D1625" t="inlineStr">
        <is>
          <t>JÄMTLANDS LÄN</t>
        </is>
      </c>
      <c r="E1625" t="inlineStr">
        <is>
          <t>STRÖMSUND</t>
        </is>
      </c>
      <c r="G1625" t="n">
        <v>7</v>
      </c>
      <c r="H1625" t="n">
        <v>0</v>
      </c>
      <c r="I1625" t="n">
        <v>0</v>
      </c>
      <c r="J1625" t="n">
        <v>0</v>
      </c>
      <c r="K1625" t="n">
        <v>0</v>
      </c>
      <c r="L1625" t="n">
        <v>0</v>
      </c>
      <c r="M1625" t="n">
        <v>0</v>
      </c>
      <c r="N1625" t="n">
        <v>0</v>
      </c>
      <c r="O1625" t="n">
        <v>0</v>
      </c>
      <c r="P1625" t="n">
        <v>0</v>
      </c>
      <c r="Q1625" t="n">
        <v>0</v>
      </c>
      <c r="R1625" s="2" t="inlineStr"/>
    </row>
    <row r="1626" ht="15" customHeight="1">
      <c r="A1626" t="inlineStr">
        <is>
          <t>A 8215-2019</t>
        </is>
      </c>
      <c r="B1626" s="1" t="n">
        <v>43501</v>
      </c>
      <c r="C1626" s="1" t="n">
        <v>45182</v>
      </c>
      <c r="D1626" t="inlineStr">
        <is>
          <t>JÄMTLANDS LÄN</t>
        </is>
      </c>
      <c r="E1626" t="inlineStr">
        <is>
          <t>BERG</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8001-2019</t>
        </is>
      </c>
      <c r="B1627" s="1" t="n">
        <v>43501</v>
      </c>
      <c r="C1627" s="1" t="n">
        <v>45182</v>
      </c>
      <c r="D1627" t="inlineStr">
        <is>
          <t>JÄMTLANDS LÄN</t>
        </is>
      </c>
      <c r="E1627" t="inlineStr">
        <is>
          <t>ÅRE</t>
        </is>
      </c>
      <c r="G1627" t="n">
        <v>20.3</v>
      </c>
      <c r="H1627" t="n">
        <v>0</v>
      </c>
      <c r="I1627" t="n">
        <v>0</v>
      </c>
      <c r="J1627" t="n">
        <v>0</v>
      </c>
      <c r="K1627" t="n">
        <v>0</v>
      </c>
      <c r="L1627" t="n">
        <v>0</v>
      </c>
      <c r="M1627" t="n">
        <v>0</v>
      </c>
      <c r="N1627" t="n">
        <v>0</v>
      </c>
      <c r="O1627" t="n">
        <v>0</v>
      </c>
      <c r="P1627" t="n">
        <v>0</v>
      </c>
      <c r="Q1627" t="n">
        <v>0</v>
      </c>
      <c r="R1627" s="2" t="inlineStr"/>
    </row>
    <row r="1628" ht="15" customHeight="1">
      <c r="A1628" t="inlineStr">
        <is>
          <t>A 8282-2019</t>
        </is>
      </c>
      <c r="B1628" s="1" t="n">
        <v>43501</v>
      </c>
      <c r="C1628" s="1" t="n">
        <v>45182</v>
      </c>
      <c r="D1628" t="inlineStr">
        <is>
          <t>JÄMTLANDS LÄN</t>
        </is>
      </c>
      <c r="E1628" t="inlineStr">
        <is>
          <t>BRÄCKE</t>
        </is>
      </c>
      <c r="F1628" t="inlineStr">
        <is>
          <t>SCA</t>
        </is>
      </c>
      <c r="G1628" t="n">
        <v>22.3</v>
      </c>
      <c r="H1628" t="n">
        <v>0</v>
      </c>
      <c r="I1628" t="n">
        <v>0</v>
      </c>
      <c r="J1628" t="n">
        <v>0</v>
      </c>
      <c r="K1628" t="n">
        <v>0</v>
      </c>
      <c r="L1628" t="n">
        <v>0</v>
      </c>
      <c r="M1628" t="n">
        <v>0</v>
      </c>
      <c r="N1628" t="n">
        <v>0</v>
      </c>
      <c r="O1628" t="n">
        <v>0</v>
      </c>
      <c r="P1628" t="n">
        <v>0</v>
      </c>
      <c r="Q1628" t="n">
        <v>0</v>
      </c>
      <c r="R1628" s="2" t="inlineStr"/>
    </row>
    <row r="1629" ht="15" customHeight="1">
      <c r="A1629" t="inlineStr">
        <is>
          <t>A 8915-2019</t>
        </is>
      </c>
      <c r="B1629" s="1" t="n">
        <v>43503</v>
      </c>
      <c r="C1629" s="1" t="n">
        <v>45182</v>
      </c>
      <c r="D1629" t="inlineStr">
        <is>
          <t>JÄMTLANDS LÄN</t>
        </is>
      </c>
      <c r="E1629" t="inlineStr">
        <is>
          <t>KROKOM</t>
        </is>
      </c>
      <c r="F1629" t="inlineStr">
        <is>
          <t>SCA</t>
        </is>
      </c>
      <c r="G1629" t="n">
        <v>7.8</v>
      </c>
      <c r="H1629" t="n">
        <v>0</v>
      </c>
      <c r="I1629" t="n">
        <v>0</v>
      </c>
      <c r="J1629" t="n">
        <v>0</v>
      </c>
      <c r="K1629" t="n">
        <v>0</v>
      </c>
      <c r="L1629" t="n">
        <v>0</v>
      </c>
      <c r="M1629" t="n">
        <v>0</v>
      </c>
      <c r="N1629" t="n">
        <v>0</v>
      </c>
      <c r="O1629" t="n">
        <v>0</v>
      </c>
      <c r="P1629" t="n">
        <v>0</v>
      </c>
      <c r="Q1629" t="n">
        <v>0</v>
      </c>
      <c r="R1629" s="2" t="inlineStr"/>
    </row>
    <row r="1630" ht="15" customHeight="1">
      <c r="A1630" t="inlineStr">
        <is>
          <t>A 8930-2019</t>
        </is>
      </c>
      <c r="B1630" s="1" t="n">
        <v>43503</v>
      </c>
      <c r="C1630" s="1" t="n">
        <v>45182</v>
      </c>
      <c r="D1630" t="inlineStr">
        <is>
          <t>JÄMTLANDS LÄN</t>
        </is>
      </c>
      <c r="E1630" t="inlineStr">
        <is>
          <t>ÅRE</t>
        </is>
      </c>
      <c r="G1630" t="n">
        <v>1.7</v>
      </c>
      <c r="H1630" t="n">
        <v>0</v>
      </c>
      <c r="I1630" t="n">
        <v>0</v>
      </c>
      <c r="J1630" t="n">
        <v>0</v>
      </c>
      <c r="K1630" t="n">
        <v>0</v>
      </c>
      <c r="L1630" t="n">
        <v>0</v>
      </c>
      <c r="M1630" t="n">
        <v>0</v>
      </c>
      <c r="N1630" t="n">
        <v>0</v>
      </c>
      <c r="O1630" t="n">
        <v>0</v>
      </c>
      <c r="P1630" t="n">
        <v>0</v>
      </c>
      <c r="Q1630" t="n">
        <v>0</v>
      </c>
      <c r="R1630" s="2" t="inlineStr"/>
    </row>
    <row r="1631" ht="15" customHeight="1">
      <c r="A1631" t="inlineStr">
        <is>
          <t>A 8911-2019</t>
        </is>
      </c>
      <c r="B1631" s="1" t="n">
        <v>43503</v>
      </c>
      <c r="C1631" s="1" t="n">
        <v>45182</v>
      </c>
      <c r="D1631" t="inlineStr">
        <is>
          <t>JÄMTLANDS LÄN</t>
        </is>
      </c>
      <c r="E1631" t="inlineStr">
        <is>
          <t>KROKOM</t>
        </is>
      </c>
      <c r="F1631" t="inlineStr">
        <is>
          <t>Övriga Aktiebolag</t>
        </is>
      </c>
      <c r="G1631" t="n">
        <v>0.3</v>
      </c>
      <c r="H1631" t="n">
        <v>0</v>
      </c>
      <c r="I1631" t="n">
        <v>0</v>
      </c>
      <c r="J1631" t="n">
        <v>0</v>
      </c>
      <c r="K1631" t="n">
        <v>0</v>
      </c>
      <c r="L1631" t="n">
        <v>0</v>
      </c>
      <c r="M1631" t="n">
        <v>0</v>
      </c>
      <c r="N1631" t="n">
        <v>0</v>
      </c>
      <c r="O1631" t="n">
        <v>0</v>
      </c>
      <c r="P1631" t="n">
        <v>0</v>
      </c>
      <c r="Q1631" t="n">
        <v>0</v>
      </c>
      <c r="R1631" s="2" t="inlineStr"/>
    </row>
    <row r="1632" ht="15" customHeight="1">
      <c r="A1632" t="inlineStr">
        <is>
          <t>A 8917-2019</t>
        </is>
      </c>
      <c r="B1632" s="1" t="n">
        <v>43503</v>
      </c>
      <c r="C1632" s="1" t="n">
        <v>45182</v>
      </c>
      <c r="D1632" t="inlineStr">
        <is>
          <t>JÄMTLANDS LÄN</t>
        </is>
      </c>
      <c r="E1632" t="inlineStr">
        <is>
          <t>KROKOM</t>
        </is>
      </c>
      <c r="F1632" t="inlineStr">
        <is>
          <t>SCA</t>
        </is>
      </c>
      <c r="G1632" t="n">
        <v>2.4</v>
      </c>
      <c r="H1632" t="n">
        <v>0</v>
      </c>
      <c r="I1632" t="n">
        <v>0</v>
      </c>
      <c r="J1632" t="n">
        <v>0</v>
      </c>
      <c r="K1632" t="n">
        <v>0</v>
      </c>
      <c r="L1632" t="n">
        <v>0</v>
      </c>
      <c r="M1632" t="n">
        <v>0</v>
      </c>
      <c r="N1632" t="n">
        <v>0</v>
      </c>
      <c r="O1632" t="n">
        <v>0</v>
      </c>
      <c r="P1632" t="n">
        <v>0</v>
      </c>
      <c r="Q1632" t="n">
        <v>0</v>
      </c>
      <c r="R1632" s="2" t="inlineStr"/>
    </row>
    <row r="1633" ht="15" customHeight="1">
      <c r="A1633" t="inlineStr">
        <is>
          <t>A 8931-2019</t>
        </is>
      </c>
      <c r="B1633" s="1" t="n">
        <v>43503</v>
      </c>
      <c r="C1633" s="1" t="n">
        <v>45182</v>
      </c>
      <c r="D1633" t="inlineStr">
        <is>
          <t>JÄMTLANDS LÄN</t>
        </is>
      </c>
      <c r="E1633" t="inlineStr">
        <is>
          <t>ÅRE</t>
        </is>
      </c>
      <c r="G1633" t="n">
        <v>7.7</v>
      </c>
      <c r="H1633" t="n">
        <v>0</v>
      </c>
      <c r="I1633" t="n">
        <v>0</v>
      </c>
      <c r="J1633" t="n">
        <v>0</v>
      </c>
      <c r="K1633" t="n">
        <v>0</v>
      </c>
      <c r="L1633" t="n">
        <v>0</v>
      </c>
      <c r="M1633" t="n">
        <v>0</v>
      </c>
      <c r="N1633" t="n">
        <v>0</v>
      </c>
      <c r="O1633" t="n">
        <v>0</v>
      </c>
      <c r="P1633" t="n">
        <v>0</v>
      </c>
      <c r="Q1633" t="n">
        <v>0</v>
      </c>
      <c r="R1633" s="2" t="inlineStr"/>
    </row>
    <row r="1634" ht="15" customHeight="1">
      <c r="A1634" t="inlineStr">
        <is>
          <t>A 8920-2019</t>
        </is>
      </c>
      <c r="B1634" s="1" t="n">
        <v>43503</v>
      </c>
      <c r="C1634" s="1" t="n">
        <v>45182</v>
      </c>
      <c r="D1634" t="inlineStr">
        <is>
          <t>JÄMTLANDS LÄN</t>
        </is>
      </c>
      <c r="E1634" t="inlineStr">
        <is>
          <t>ÖSTERSUND</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8850-2019</t>
        </is>
      </c>
      <c r="B1635" s="1" t="n">
        <v>43503</v>
      </c>
      <c r="C1635" s="1" t="n">
        <v>45182</v>
      </c>
      <c r="D1635" t="inlineStr">
        <is>
          <t>JÄMTLANDS LÄN</t>
        </is>
      </c>
      <c r="E1635" t="inlineStr">
        <is>
          <t>BRÄCKE</t>
        </is>
      </c>
      <c r="G1635" t="n">
        <v>5.2</v>
      </c>
      <c r="H1635" t="n">
        <v>0</v>
      </c>
      <c r="I1635" t="n">
        <v>0</v>
      </c>
      <c r="J1635" t="n">
        <v>0</v>
      </c>
      <c r="K1635" t="n">
        <v>0</v>
      </c>
      <c r="L1635" t="n">
        <v>0</v>
      </c>
      <c r="M1635" t="n">
        <v>0</v>
      </c>
      <c r="N1635" t="n">
        <v>0</v>
      </c>
      <c r="O1635" t="n">
        <v>0</v>
      </c>
      <c r="P1635" t="n">
        <v>0</v>
      </c>
      <c r="Q1635" t="n">
        <v>0</v>
      </c>
      <c r="R1635" s="2" t="inlineStr"/>
    </row>
    <row r="1636" ht="15" customHeight="1">
      <c r="A1636" t="inlineStr">
        <is>
          <t>A 9236-2019</t>
        </is>
      </c>
      <c r="B1636" s="1" t="n">
        <v>43507</v>
      </c>
      <c r="C1636" s="1" t="n">
        <v>45182</v>
      </c>
      <c r="D1636" t="inlineStr">
        <is>
          <t>JÄMTLANDS LÄN</t>
        </is>
      </c>
      <c r="E1636" t="inlineStr">
        <is>
          <t>HÄRJEDALEN</t>
        </is>
      </c>
      <c r="F1636" t="inlineStr">
        <is>
          <t>Bergvik skog väst AB</t>
        </is>
      </c>
      <c r="G1636" t="n">
        <v>23.2</v>
      </c>
      <c r="H1636" t="n">
        <v>0</v>
      </c>
      <c r="I1636" t="n">
        <v>0</v>
      </c>
      <c r="J1636" t="n">
        <v>0</v>
      </c>
      <c r="K1636" t="n">
        <v>0</v>
      </c>
      <c r="L1636" t="n">
        <v>0</v>
      </c>
      <c r="M1636" t="n">
        <v>0</v>
      </c>
      <c r="N1636" t="n">
        <v>0</v>
      </c>
      <c r="O1636" t="n">
        <v>0</v>
      </c>
      <c r="P1636" t="n">
        <v>0</v>
      </c>
      <c r="Q1636" t="n">
        <v>0</v>
      </c>
      <c r="R1636" s="2" t="inlineStr"/>
    </row>
    <row r="1637" ht="15" customHeight="1">
      <c r="A1637" t="inlineStr">
        <is>
          <t>A 9728-2019</t>
        </is>
      </c>
      <c r="B1637" s="1" t="n">
        <v>43508</v>
      </c>
      <c r="C1637" s="1" t="n">
        <v>45182</v>
      </c>
      <c r="D1637" t="inlineStr">
        <is>
          <t>JÄMTLANDS LÄN</t>
        </is>
      </c>
      <c r="E1637" t="inlineStr">
        <is>
          <t>STRÖMSUND</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9625-2019</t>
        </is>
      </c>
      <c r="B1638" s="1" t="n">
        <v>43508</v>
      </c>
      <c r="C1638" s="1" t="n">
        <v>45182</v>
      </c>
      <c r="D1638" t="inlineStr">
        <is>
          <t>JÄMTLANDS LÄN</t>
        </is>
      </c>
      <c r="E1638" t="inlineStr">
        <is>
          <t>STRÖMSUND</t>
        </is>
      </c>
      <c r="G1638" t="n">
        <v>4.2</v>
      </c>
      <c r="H1638" t="n">
        <v>0</v>
      </c>
      <c r="I1638" t="n">
        <v>0</v>
      </c>
      <c r="J1638" t="n">
        <v>0</v>
      </c>
      <c r="K1638" t="n">
        <v>0</v>
      </c>
      <c r="L1638" t="n">
        <v>0</v>
      </c>
      <c r="M1638" t="n">
        <v>0</v>
      </c>
      <c r="N1638" t="n">
        <v>0</v>
      </c>
      <c r="O1638" t="n">
        <v>0</v>
      </c>
      <c r="P1638" t="n">
        <v>0</v>
      </c>
      <c r="Q1638" t="n">
        <v>0</v>
      </c>
      <c r="R1638" s="2" t="inlineStr"/>
    </row>
    <row r="1639" ht="15" customHeight="1">
      <c r="A1639" t="inlineStr">
        <is>
          <t>A 9670-2019</t>
        </is>
      </c>
      <c r="B1639" s="1" t="n">
        <v>43508</v>
      </c>
      <c r="C1639" s="1" t="n">
        <v>45182</v>
      </c>
      <c r="D1639" t="inlineStr">
        <is>
          <t>JÄMTLANDS LÄN</t>
        </is>
      </c>
      <c r="E1639" t="inlineStr">
        <is>
          <t>HÄRJEDALEN</t>
        </is>
      </c>
      <c r="G1639" t="n">
        <v>34.2</v>
      </c>
      <c r="H1639" t="n">
        <v>0</v>
      </c>
      <c r="I1639" t="n">
        <v>0</v>
      </c>
      <c r="J1639" t="n">
        <v>0</v>
      </c>
      <c r="K1639" t="n">
        <v>0</v>
      </c>
      <c r="L1639" t="n">
        <v>0</v>
      </c>
      <c r="M1639" t="n">
        <v>0</v>
      </c>
      <c r="N1639" t="n">
        <v>0</v>
      </c>
      <c r="O1639" t="n">
        <v>0</v>
      </c>
      <c r="P1639" t="n">
        <v>0</v>
      </c>
      <c r="Q1639" t="n">
        <v>0</v>
      </c>
      <c r="R1639" s="2" t="inlineStr"/>
    </row>
    <row r="1640" ht="15" customHeight="1">
      <c r="A1640" t="inlineStr">
        <is>
          <t>A 9729-2019</t>
        </is>
      </c>
      <c r="B1640" s="1" t="n">
        <v>43508</v>
      </c>
      <c r="C1640" s="1" t="n">
        <v>45182</v>
      </c>
      <c r="D1640" t="inlineStr">
        <is>
          <t>JÄMTLANDS LÄN</t>
        </is>
      </c>
      <c r="E1640" t="inlineStr">
        <is>
          <t>BRÄCKE</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9632-2019</t>
        </is>
      </c>
      <c r="B1641" s="1" t="n">
        <v>43508</v>
      </c>
      <c r="C1641" s="1" t="n">
        <v>45182</v>
      </c>
      <c r="D1641" t="inlineStr">
        <is>
          <t>JÄMTLANDS LÄN</t>
        </is>
      </c>
      <c r="E1641" t="inlineStr">
        <is>
          <t>STRÖMSUND</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16980-2019</t>
        </is>
      </c>
      <c r="B1642" s="1" t="n">
        <v>43509</v>
      </c>
      <c r="C1642" s="1" t="n">
        <v>45182</v>
      </c>
      <c r="D1642" t="inlineStr">
        <is>
          <t>JÄMTLANDS LÄN</t>
        </is>
      </c>
      <c r="E1642" t="inlineStr">
        <is>
          <t>BRÄCKE</t>
        </is>
      </c>
      <c r="G1642" t="n">
        <v>5.1</v>
      </c>
      <c r="H1642" t="n">
        <v>0</v>
      </c>
      <c r="I1642" t="n">
        <v>0</v>
      </c>
      <c r="J1642" t="n">
        <v>0</v>
      </c>
      <c r="K1642" t="n">
        <v>0</v>
      </c>
      <c r="L1642" t="n">
        <v>0</v>
      </c>
      <c r="M1642" t="n">
        <v>0</v>
      </c>
      <c r="N1642" t="n">
        <v>0</v>
      </c>
      <c r="O1642" t="n">
        <v>0</v>
      </c>
      <c r="P1642" t="n">
        <v>0</v>
      </c>
      <c r="Q1642" t="n">
        <v>0</v>
      </c>
      <c r="R1642" s="2" t="inlineStr"/>
    </row>
    <row r="1643" ht="15" customHeight="1">
      <c r="A1643" t="inlineStr">
        <is>
          <t>A 9879-2019</t>
        </is>
      </c>
      <c r="B1643" s="1" t="n">
        <v>43509</v>
      </c>
      <c r="C1643" s="1" t="n">
        <v>45182</v>
      </c>
      <c r="D1643" t="inlineStr">
        <is>
          <t>JÄMTLANDS LÄN</t>
        </is>
      </c>
      <c r="E1643" t="inlineStr">
        <is>
          <t>KROKOM</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9995-2019</t>
        </is>
      </c>
      <c r="B1644" s="1" t="n">
        <v>43509</v>
      </c>
      <c r="C1644" s="1" t="n">
        <v>45182</v>
      </c>
      <c r="D1644" t="inlineStr">
        <is>
          <t>JÄMTLANDS LÄN</t>
        </is>
      </c>
      <c r="E1644" t="inlineStr">
        <is>
          <t>RAGUNDA</t>
        </is>
      </c>
      <c r="G1644" t="n">
        <v>16.4</v>
      </c>
      <c r="H1644" t="n">
        <v>0</v>
      </c>
      <c r="I1644" t="n">
        <v>0</v>
      </c>
      <c r="J1644" t="n">
        <v>0</v>
      </c>
      <c r="K1644" t="n">
        <v>0</v>
      </c>
      <c r="L1644" t="n">
        <v>0</v>
      </c>
      <c r="M1644" t="n">
        <v>0</v>
      </c>
      <c r="N1644" t="n">
        <v>0</v>
      </c>
      <c r="O1644" t="n">
        <v>0</v>
      </c>
      <c r="P1644" t="n">
        <v>0</v>
      </c>
      <c r="Q1644" t="n">
        <v>0</v>
      </c>
      <c r="R1644" s="2" t="inlineStr"/>
    </row>
    <row r="1645" ht="15" customHeight="1">
      <c r="A1645" t="inlineStr">
        <is>
          <t>A 9883-2019</t>
        </is>
      </c>
      <c r="B1645" s="1" t="n">
        <v>43509</v>
      </c>
      <c r="C1645" s="1" t="n">
        <v>45182</v>
      </c>
      <c r="D1645" t="inlineStr">
        <is>
          <t>JÄMTLANDS LÄN</t>
        </is>
      </c>
      <c r="E1645" t="inlineStr">
        <is>
          <t>KROKOM</t>
        </is>
      </c>
      <c r="G1645" t="n">
        <v>5.7</v>
      </c>
      <c r="H1645" t="n">
        <v>0</v>
      </c>
      <c r="I1645" t="n">
        <v>0</v>
      </c>
      <c r="J1645" t="n">
        <v>0</v>
      </c>
      <c r="K1645" t="n">
        <v>0</v>
      </c>
      <c r="L1645" t="n">
        <v>0</v>
      </c>
      <c r="M1645" t="n">
        <v>0</v>
      </c>
      <c r="N1645" t="n">
        <v>0</v>
      </c>
      <c r="O1645" t="n">
        <v>0</v>
      </c>
      <c r="P1645" t="n">
        <v>0</v>
      </c>
      <c r="Q1645" t="n">
        <v>0</v>
      </c>
      <c r="R1645" s="2" t="inlineStr"/>
    </row>
    <row r="1646" ht="15" customHeight="1">
      <c r="A1646" t="inlineStr">
        <is>
          <t>A 10139-2019</t>
        </is>
      </c>
      <c r="B1646" s="1" t="n">
        <v>43510</v>
      </c>
      <c r="C1646" s="1" t="n">
        <v>45182</v>
      </c>
      <c r="D1646" t="inlineStr">
        <is>
          <t>JÄMTLANDS LÄN</t>
        </is>
      </c>
      <c r="E1646" t="inlineStr">
        <is>
          <t>HÄRJEDALEN</t>
        </is>
      </c>
      <c r="G1646" t="n">
        <v>2.4</v>
      </c>
      <c r="H1646" t="n">
        <v>0</v>
      </c>
      <c r="I1646" t="n">
        <v>0</v>
      </c>
      <c r="J1646" t="n">
        <v>0</v>
      </c>
      <c r="K1646" t="n">
        <v>0</v>
      </c>
      <c r="L1646" t="n">
        <v>0</v>
      </c>
      <c r="M1646" t="n">
        <v>0</v>
      </c>
      <c r="N1646" t="n">
        <v>0</v>
      </c>
      <c r="O1646" t="n">
        <v>0</v>
      </c>
      <c r="P1646" t="n">
        <v>0</v>
      </c>
      <c r="Q1646" t="n">
        <v>0</v>
      </c>
      <c r="R1646" s="2" t="inlineStr"/>
    </row>
    <row r="1647" ht="15" customHeight="1">
      <c r="A1647" t="inlineStr">
        <is>
          <t>A 10106-2019</t>
        </is>
      </c>
      <c r="B1647" s="1" t="n">
        <v>43510</v>
      </c>
      <c r="C1647" s="1" t="n">
        <v>45182</v>
      </c>
      <c r="D1647" t="inlineStr">
        <is>
          <t>JÄMTLANDS LÄN</t>
        </is>
      </c>
      <c r="E1647" t="inlineStr">
        <is>
          <t>ÅRE</t>
        </is>
      </c>
      <c r="G1647" t="n">
        <v>0.9</v>
      </c>
      <c r="H1647" t="n">
        <v>0</v>
      </c>
      <c r="I1647" t="n">
        <v>0</v>
      </c>
      <c r="J1647" t="n">
        <v>0</v>
      </c>
      <c r="K1647" t="n">
        <v>0</v>
      </c>
      <c r="L1647" t="n">
        <v>0</v>
      </c>
      <c r="M1647" t="n">
        <v>0</v>
      </c>
      <c r="N1647" t="n">
        <v>0</v>
      </c>
      <c r="O1647" t="n">
        <v>0</v>
      </c>
      <c r="P1647" t="n">
        <v>0</v>
      </c>
      <c r="Q1647" t="n">
        <v>0</v>
      </c>
      <c r="R1647" s="2" t="inlineStr"/>
    </row>
    <row r="1648" ht="15" customHeight="1">
      <c r="A1648" t="inlineStr">
        <is>
          <t>A 10111-2019</t>
        </is>
      </c>
      <c r="B1648" s="1" t="n">
        <v>43510</v>
      </c>
      <c r="C1648" s="1" t="n">
        <v>45182</v>
      </c>
      <c r="D1648" t="inlineStr">
        <is>
          <t>JÄMTLANDS LÄN</t>
        </is>
      </c>
      <c r="E1648" t="inlineStr">
        <is>
          <t>ÅRE</t>
        </is>
      </c>
      <c r="G1648" t="n">
        <v>2.8</v>
      </c>
      <c r="H1648" t="n">
        <v>0</v>
      </c>
      <c r="I1648" t="n">
        <v>0</v>
      </c>
      <c r="J1648" t="n">
        <v>0</v>
      </c>
      <c r="K1648" t="n">
        <v>0</v>
      </c>
      <c r="L1648" t="n">
        <v>0</v>
      </c>
      <c r="M1648" t="n">
        <v>0</v>
      </c>
      <c r="N1648" t="n">
        <v>0</v>
      </c>
      <c r="O1648" t="n">
        <v>0</v>
      </c>
      <c r="P1648" t="n">
        <v>0</v>
      </c>
      <c r="Q1648" t="n">
        <v>0</v>
      </c>
      <c r="R1648" s="2" t="inlineStr"/>
    </row>
    <row r="1649" ht="15" customHeight="1">
      <c r="A1649" t="inlineStr">
        <is>
          <t>A 10013-2019</t>
        </is>
      </c>
      <c r="B1649" s="1" t="n">
        <v>43510</v>
      </c>
      <c r="C1649" s="1" t="n">
        <v>45182</v>
      </c>
      <c r="D1649" t="inlineStr">
        <is>
          <t>JÄMTLANDS LÄN</t>
        </is>
      </c>
      <c r="E1649" t="inlineStr">
        <is>
          <t>RAGUNDA</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10688-2019</t>
        </is>
      </c>
      <c r="B1650" s="1" t="n">
        <v>43514</v>
      </c>
      <c r="C1650" s="1" t="n">
        <v>45182</v>
      </c>
      <c r="D1650" t="inlineStr">
        <is>
          <t>JÄMTLANDS LÄN</t>
        </is>
      </c>
      <c r="E1650" t="inlineStr">
        <is>
          <t>KROKOM</t>
        </is>
      </c>
      <c r="G1650" t="n">
        <v>8</v>
      </c>
      <c r="H1650" t="n">
        <v>0</v>
      </c>
      <c r="I1650" t="n">
        <v>0</v>
      </c>
      <c r="J1650" t="n">
        <v>0</v>
      </c>
      <c r="K1650" t="n">
        <v>0</v>
      </c>
      <c r="L1650" t="n">
        <v>0</v>
      </c>
      <c r="M1650" t="n">
        <v>0</v>
      </c>
      <c r="N1650" t="n">
        <v>0</v>
      </c>
      <c r="O1650" t="n">
        <v>0</v>
      </c>
      <c r="P1650" t="n">
        <v>0</v>
      </c>
      <c r="Q1650" t="n">
        <v>0</v>
      </c>
      <c r="R1650" s="2" t="inlineStr"/>
    </row>
    <row r="1651" ht="15" customHeight="1">
      <c r="A1651" t="inlineStr">
        <is>
          <t>A 10527-2019</t>
        </is>
      </c>
      <c r="B1651" s="1" t="n">
        <v>43514</v>
      </c>
      <c r="C1651" s="1" t="n">
        <v>45182</v>
      </c>
      <c r="D1651" t="inlineStr">
        <is>
          <t>JÄMTLANDS LÄN</t>
        </is>
      </c>
      <c r="E1651" t="inlineStr">
        <is>
          <t>ÖSTERSUND</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11080-2019</t>
        </is>
      </c>
      <c r="B1652" s="1" t="n">
        <v>43515</v>
      </c>
      <c r="C1652" s="1" t="n">
        <v>45182</v>
      </c>
      <c r="D1652" t="inlineStr">
        <is>
          <t>JÄMTLANDS LÄN</t>
        </is>
      </c>
      <c r="E1652" t="inlineStr">
        <is>
          <t>RAGUNDA</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11824-2019</t>
        </is>
      </c>
      <c r="B1653" s="1" t="n">
        <v>43521</v>
      </c>
      <c r="C1653" s="1" t="n">
        <v>45182</v>
      </c>
      <c r="D1653" t="inlineStr">
        <is>
          <t>JÄMTLANDS LÄN</t>
        </is>
      </c>
      <c r="E1653" t="inlineStr">
        <is>
          <t>BERG</t>
        </is>
      </c>
      <c r="G1653" t="n">
        <v>4.2</v>
      </c>
      <c r="H1653" t="n">
        <v>0</v>
      </c>
      <c r="I1653" t="n">
        <v>0</v>
      </c>
      <c r="J1653" t="n">
        <v>0</v>
      </c>
      <c r="K1653" t="n">
        <v>0</v>
      </c>
      <c r="L1653" t="n">
        <v>0</v>
      </c>
      <c r="M1653" t="n">
        <v>0</v>
      </c>
      <c r="N1653" t="n">
        <v>0</v>
      </c>
      <c r="O1653" t="n">
        <v>0</v>
      </c>
      <c r="P1653" t="n">
        <v>0</v>
      </c>
      <c r="Q1653" t="n">
        <v>0</v>
      </c>
      <c r="R1653" s="2" t="inlineStr"/>
    </row>
    <row r="1654" ht="15" customHeight="1">
      <c r="A1654" t="inlineStr">
        <is>
          <t>A 11826-2019</t>
        </is>
      </c>
      <c r="B1654" s="1" t="n">
        <v>43521</v>
      </c>
      <c r="C1654" s="1" t="n">
        <v>45182</v>
      </c>
      <c r="D1654" t="inlineStr">
        <is>
          <t>JÄMTLANDS LÄN</t>
        </is>
      </c>
      <c r="E1654" t="inlineStr">
        <is>
          <t>KROKOM</t>
        </is>
      </c>
      <c r="G1654" t="n">
        <v>22.9</v>
      </c>
      <c r="H1654" t="n">
        <v>0</v>
      </c>
      <c r="I1654" t="n">
        <v>0</v>
      </c>
      <c r="J1654" t="n">
        <v>0</v>
      </c>
      <c r="K1654" t="n">
        <v>0</v>
      </c>
      <c r="L1654" t="n">
        <v>0</v>
      </c>
      <c r="M1654" t="n">
        <v>0</v>
      </c>
      <c r="N1654" t="n">
        <v>0</v>
      </c>
      <c r="O1654" t="n">
        <v>0</v>
      </c>
      <c r="P1654" t="n">
        <v>0</v>
      </c>
      <c r="Q1654" t="n">
        <v>0</v>
      </c>
      <c r="R1654" s="2" t="inlineStr"/>
    </row>
    <row r="1655" ht="15" customHeight="1">
      <c r="A1655" t="inlineStr">
        <is>
          <t>A 11983-2019</t>
        </is>
      </c>
      <c r="B1655" s="1" t="n">
        <v>43521</v>
      </c>
      <c r="C1655" s="1" t="n">
        <v>45182</v>
      </c>
      <c r="D1655" t="inlineStr">
        <is>
          <t>JÄMTLANDS LÄN</t>
        </is>
      </c>
      <c r="E1655" t="inlineStr">
        <is>
          <t>ÅRE</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12116-2019</t>
        </is>
      </c>
      <c r="B1656" s="1" t="n">
        <v>43522</v>
      </c>
      <c r="C1656" s="1" t="n">
        <v>45182</v>
      </c>
      <c r="D1656" t="inlineStr">
        <is>
          <t>JÄMTLANDS LÄN</t>
        </is>
      </c>
      <c r="E1656" t="inlineStr">
        <is>
          <t>KROKOM</t>
        </is>
      </c>
      <c r="G1656" t="n">
        <v>2</v>
      </c>
      <c r="H1656" t="n">
        <v>0</v>
      </c>
      <c r="I1656" t="n">
        <v>0</v>
      </c>
      <c r="J1656" t="n">
        <v>0</v>
      </c>
      <c r="K1656" t="n">
        <v>0</v>
      </c>
      <c r="L1656" t="n">
        <v>0</v>
      </c>
      <c r="M1656" t="n">
        <v>0</v>
      </c>
      <c r="N1656" t="n">
        <v>0</v>
      </c>
      <c r="O1656" t="n">
        <v>0</v>
      </c>
      <c r="P1656" t="n">
        <v>0</v>
      </c>
      <c r="Q1656" t="n">
        <v>0</v>
      </c>
      <c r="R1656" s="2" t="inlineStr"/>
    </row>
    <row r="1657" ht="15" customHeight="1">
      <c r="A1657" t="inlineStr">
        <is>
          <t>A 12149-2019</t>
        </is>
      </c>
      <c r="B1657" s="1" t="n">
        <v>43522</v>
      </c>
      <c r="C1657" s="1" t="n">
        <v>45182</v>
      </c>
      <c r="D1657" t="inlineStr">
        <is>
          <t>JÄMTLANDS LÄN</t>
        </is>
      </c>
      <c r="E1657" t="inlineStr">
        <is>
          <t>HÄRJEDALEN</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12089-2019</t>
        </is>
      </c>
      <c r="B1658" s="1" t="n">
        <v>43522</v>
      </c>
      <c r="C1658" s="1" t="n">
        <v>45182</v>
      </c>
      <c r="D1658" t="inlineStr">
        <is>
          <t>JÄMTLANDS LÄN</t>
        </is>
      </c>
      <c r="E1658" t="inlineStr">
        <is>
          <t>KROKOM</t>
        </is>
      </c>
      <c r="G1658" t="n">
        <v>26</v>
      </c>
      <c r="H1658" t="n">
        <v>0</v>
      </c>
      <c r="I1658" t="n">
        <v>0</v>
      </c>
      <c r="J1658" t="n">
        <v>0</v>
      </c>
      <c r="K1658" t="n">
        <v>0</v>
      </c>
      <c r="L1658" t="n">
        <v>0</v>
      </c>
      <c r="M1658" t="n">
        <v>0</v>
      </c>
      <c r="N1658" t="n">
        <v>0</v>
      </c>
      <c r="O1658" t="n">
        <v>0</v>
      </c>
      <c r="P1658" t="n">
        <v>0</v>
      </c>
      <c r="Q1658" t="n">
        <v>0</v>
      </c>
      <c r="R1658" s="2" t="inlineStr"/>
    </row>
    <row r="1659" ht="15" customHeight="1">
      <c r="A1659" t="inlineStr">
        <is>
          <t>A 12109-2019</t>
        </is>
      </c>
      <c r="B1659" s="1" t="n">
        <v>43522</v>
      </c>
      <c r="C1659" s="1" t="n">
        <v>45182</v>
      </c>
      <c r="D1659" t="inlineStr">
        <is>
          <t>JÄMTLANDS LÄN</t>
        </is>
      </c>
      <c r="E1659" t="inlineStr">
        <is>
          <t>KROKOM</t>
        </is>
      </c>
      <c r="G1659" t="n">
        <v>5.8</v>
      </c>
      <c r="H1659" t="n">
        <v>0</v>
      </c>
      <c r="I1659" t="n">
        <v>0</v>
      </c>
      <c r="J1659" t="n">
        <v>0</v>
      </c>
      <c r="K1659" t="n">
        <v>0</v>
      </c>
      <c r="L1659" t="n">
        <v>0</v>
      </c>
      <c r="M1659" t="n">
        <v>0</v>
      </c>
      <c r="N1659" t="n">
        <v>0</v>
      </c>
      <c r="O1659" t="n">
        <v>0</v>
      </c>
      <c r="P1659" t="n">
        <v>0</v>
      </c>
      <c r="Q1659" t="n">
        <v>0</v>
      </c>
      <c r="R1659" s="2" t="inlineStr"/>
    </row>
    <row r="1660" ht="15" customHeight="1">
      <c r="A1660" t="inlineStr">
        <is>
          <t>A 12151-2019</t>
        </is>
      </c>
      <c r="B1660" s="1" t="n">
        <v>43522</v>
      </c>
      <c r="C1660" s="1" t="n">
        <v>45182</v>
      </c>
      <c r="D1660" t="inlineStr">
        <is>
          <t>JÄMTLANDS LÄN</t>
        </is>
      </c>
      <c r="E1660" t="inlineStr">
        <is>
          <t>HÄRJEDALEN</t>
        </is>
      </c>
      <c r="G1660" t="n">
        <v>5.6</v>
      </c>
      <c r="H1660" t="n">
        <v>0</v>
      </c>
      <c r="I1660" t="n">
        <v>0</v>
      </c>
      <c r="J1660" t="n">
        <v>0</v>
      </c>
      <c r="K1660" t="n">
        <v>0</v>
      </c>
      <c r="L1660" t="n">
        <v>0</v>
      </c>
      <c r="M1660" t="n">
        <v>0</v>
      </c>
      <c r="N1660" t="n">
        <v>0</v>
      </c>
      <c r="O1660" t="n">
        <v>0</v>
      </c>
      <c r="P1660" t="n">
        <v>0</v>
      </c>
      <c r="Q1660" t="n">
        <v>0</v>
      </c>
      <c r="R1660" s="2" t="inlineStr"/>
    </row>
    <row r="1661" ht="15" customHeight="1">
      <c r="A1661" t="inlineStr">
        <is>
          <t>A 12299-2019</t>
        </is>
      </c>
      <c r="B1661" s="1" t="n">
        <v>43523</v>
      </c>
      <c r="C1661" s="1" t="n">
        <v>45182</v>
      </c>
      <c r="D1661" t="inlineStr">
        <is>
          <t>JÄMTLANDS LÄN</t>
        </is>
      </c>
      <c r="E1661" t="inlineStr">
        <is>
          <t>KROKOM</t>
        </is>
      </c>
      <c r="G1661" t="n">
        <v>5.3</v>
      </c>
      <c r="H1661" t="n">
        <v>0</v>
      </c>
      <c r="I1661" t="n">
        <v>0</v>
      </c>
      <c r="J1661" t="n">
        <v>0</v>
      </c>
      <c r="K1661" t="n">
        <v>0</v>
      </c>
      <c r="L1661" t="n">
        <v>0</v>
      </c>
      <c r="M1661" t="n">
        <v>0</v>
      </c>
      <c r="N1661" t="n">
        <v>0</v>
      </c>
      <c r="O1661" t="n">
        <v>0</v>
      </c>
      <c r="P1661" t="n">
        <v>0</v>
      </c>
      <c r="Q1661" t="n">
        <v>0</v>
      </c>
      <c r="R1661" s="2" t="inlineStr"/>
    </row>
    <row r="1662" ht="15" customHeight="1">
      <c r="A1662" t="inlineStr">
        <is>
          <t>A 12484-2019</t>
        </is>
      </c>
      <c r="B1662" s="1" t="n">
        <v>43523</v>
      </c>
      <c r="C1662" s="1" t="n">
        <v>45182</v>
      </c>
      <c r="D1662" t="inlineStr">
        <is>
          <t>JÄMTLANDS LÄN</t>
        </is>
      </c>
      <c r="E1662" t="inlineStr">
        <is>
          <t>BRÄCKE</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12310-2019</t>
        </is>
      </c>
      <c r="B1663" s="1" t="n">
        <v>43523</v>
      </c>
      <c r="C1663" s="1" t="n">
        <v>45182</v>
      </c>
      <c r="D1663" t="inlineStr">
        <is>
          <t>JÄMTLANDS LÄN</t>
        </is>
      </c>
      <c r="E1663" t="inlineStr">
        <is>
          <t>BERG</t>
        </is>
      </c>
      <c r="G1663" t="n">
        <v>1.9</v>
      </c>
      <c r="H1663" t="n">
        <v>0</v>
      </c>
      <c r="I1663" t="n">
        <v>0</v>
      </c>
      <c r="J1663" t="n">
        <v>0</v>
      </c>
      <c r="K1663" t="n">
        <v>0</v>
      </c>
      <c r="L1663" t="n">
        <v>0</v>
      </c>
      <c r="M1663" t="n">
        <v>0</v>
      </c>
      <c r="N1663" t="n">
        <v>0</v>
      </c>
      <c r="O1663" t="n">
        <v>0</v>
      </c>
      <c r="P1663" t="n">
        <v>0</v>
      </c>
      <c r="Q1663" t="n">
        <v>0</v>
      </c>
      <c r="R1663" s="2" t="inlineStr"/>
    </row>
    <row r="1664" ht="15" customHeight="1">
      <c r="A1664" t="inlineStr">
        <is>
          <t>A 12300-2019</t>
        </is>
      </c>
      <c r="B1664" s="1" t="n">
        <v>43523</v>
      </c>
      <c r="C1664" s="1" t="n">
        <v>45182</v>
      </c>
      <c r="D1664" t="inlineStr">
        <is>
          <t>JÄMTLANDS LÄN</t>
        </is>
      </c>
      <c r="E1664" t="inlineStr">
        <is>
          <t>KROKOM</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12764-2019</t>
        </is>
      </c>
      <c r="B1665" s="1" t="n">
        <v>43525</v>
      </c>
      <c r="C1665" s="1" t="n">
        <v>45182</v>
      </c>
      <c r="D1665" t="inlineStr">
        <is>
          <t>JÄMTLANDS LÄN</t>
        </is>
      </c>
      <c r="E1665" t="inlineStr">
        <is>
          <t>HÄRJEDALEN</t>
        </is>
      </c>
      <c r="F1665" t="inlineStr">
        <is>
          <t>Kyrkan</t>
        </is>
      </c>
      <c r="G1665" t="n">
        <v>19.2</v>
      </c>
      <c r="H1665" t="n">
        <v>0</v>
      </c>
      <c r="I1665" t="n">
        <v>0</v>
      </c>
      <c r="J1665" t="n">
        <v>0</v>
      </c>
      <c r="K1665" t="n">
        <v>0</v>
      </c>
      <c r="L1665" t="n">
        <v>0</v>
      </c>
      <c r="M1665" t="n">
        <v>0</v>
      </c>
      <c r="N1665" t="n">
        <v>0</v>
      </c>
      <c r="O1665" t="n">
        <v>0</v>
      </c>
      <c r="P1665" t="n">
        <v>0</v>
      </c>
      <c r="Q1665" t="n">
        <v>0</v>
      </c>
      <c r="R1665" s="2" t="inlineStr"/>
    </row>
    <row r="1666" ht="15" customHeight="1">
      <c r="A1666" t="inlineStr">
        <is>
          <t>A 12822-2019</t>
        </is>
      </c>
      <c r="B1666" s="1" t="n">
        <v>43525</v>
      </c>
      <c r="C1666" s="1" t="n">
        <v>45182</v>
      </c>
      <c r="D1666" t="inlineStr">
        <is>
          <t>JÄMTLANDS LÄN</t>
        </is>
      </c>
      <c r="E1666" t="inlineStr">
        <is>
          <t>HÄRJEDALEN</t>
        </is>
      </c>
      <c r="G1666" t="n">
        <v>17.1</v>
      </c>
      <c r="H1666" t="n">
        <v>0</v>
      </c>
      <c r="I1666" t="n">
        <v>0</v>
      </c>
      <c r="J1666" t="n">
        <v>0</v>
      </c>
      <c r="K1666" t="n">
        <v>0</v>
      </c>
      <c r="L1666" t="n">
        <v>0</v>
      </c>
      <c r="M1666" t="n">
        <v>0</v>
      </c>
      <c r="N1666" t="n">
        <v>0</v>
      </c>
      <c r="O1666" t="n">
        <v>0</v>
      </c>
      <c r="P1666" t="n">
        <v>0</v>
      </c>
      <c r="Q1666" t="n">
        <v>0</v>
      </c>
      <c r="R1666" s="2" t="inlineStr"/>
    </row>
    <row r="1667" ht="15" customHeight="1">
      <c r="A1667" t="inlineStr">
        <is>
          <t>A 12829-2019</t>
        </is>
      </c>
      <c r="B1667" s="1" t="n">
        <v>43525</v>
      </c>
      <c r="C1667" s="1" t="n">
        <v>45182</v>
      </c>
      <c r="D1667" t="inlineStr">
        <is>
          <t>JÄMTLANDS LÄN</t>
        </is>
      </c>
      <c r="E1667" t="inlineStr">
        <is>
          <t>HÄRJEDALEN</t>
        </is>
      </c>
      <c r="G1667" t="n">
        <v>20.6</v>
      </c>
      <c r="H1667" t="n">
        <v>0</v>
      </c>
      <c r="I1667" t="n">
        <v>0</v>
      </c>
      <c r="J1667" t="n">
        <v>0</v>
      </c>
      <c r="K1667" t="n">
        <v>0</v>
      </c>
      <c r="L1667" t="n">
        <v>0</v>
      </c>
      <c r="M1667" t="n">
        <v>0</v>
      </c>
      <c r="N1667" t="n">
        <v>0</v>
      </c>
      <c r="O1667" t="n">
        <v>0</v>
      </c>
      <c r="P1667" t="n">
        <v>0</v>
      </c>
      <c r="Q1667" t="n">
        <v>0</v>
      </c>
      <c r="R1667" s="2" t="inlineStr"/>
    </row>
    <row r="1668" ht="15" customHeight="1">
      <c r="A1668" t="inlineStr">
        <is>
          <t>A 12825-2019</t>
        </is>
      </c>
      <c r="B1668" s="1" t="n">
        <v>43525</v>
      </c>
      <c r="C1668" s="1" t="n">
        <v>45182</v>
      </c>
      <c r="D1668" t="inlineStr">
        <is>
          <t>JÄMTLANDS LÄN</t>
        </is>
      </c>
      <c r="E1668" t="inlineStr">
        <is>
          <t>HÄRJEDALEN</t>
        </is>
      </c>
      <c r="G1668" t="n">
        <v>19.6</v>
      </c>
      <c r="H1668" t="n">
        <v>0</v>
      </c>
      <c r="I1668" t="n">
        <v>0</v>
      </c>
      <c r="J1668" t="n">
        <v>0</v>
      </c>
      <c r="K1668" t="n">
        <v>0</v>
      </c>
      <c r="L1668" t="n">
        <v>0</v>
      </c>
      <c r="M1668" t="n">
        <v>0</v>
      </c>
      <c r="N1668" t="n">
        <v>0</v>
      </c>
      <c r="O1668" t="n">
        <v>0</v>
      </c>
      <c r="P1668" t="n">
        <v>0</v>
      </c>
      <c r="Q1668" t="n">
        <v>0</v>
      </c>
      <c r="R1668" s="2" t="inlineStr"/>
    </row>
    <row r="1669" ht="15" customHeight="1">
      <c r="A1669" t="inlineStr">
        <is>
          <t>A 13004-2019</t>
        </is>
      </c>
      <c r="B1669" s="1" t="n">
        <v>43525</v>
      </c>
      <c r="C1669" s="1" t="n">
        <v>45182</v>
      </c>
      <c r="D1669" t="inlineStr">
        <is>
          <t>JÄMTLANDS LÄN</t>
        </is>
      </c>
      <c r="E1669" t="inlineStr">
        <is>
          <t>STRÖMSUND</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13202-2019</t>
        </is>
      </c>
      <c r="B1670" s="1" t="n">
        <v>43528</v>
      </c>
      <c r="C1670" s="1" t="n">
        <v>45182</v>
      </c>
      <c r="D1670" t="inlineStr">
        <is>
          <t>JÄMTLANDS LÄN</t>
        </is>
      </c>
      <c r="E1670" t="inlineStr">
        <is>
          <t>HÄRJEDALEN</t>
        </is>
      </c>
      <c r="G1670" t="n">
        <v>2.6</v>
      </c>
      <c r="H1670" t="n">
        <v>0</v>
      </c>
      <c r="I1670" t="n">
        <v>0</v>
      </c>
      <c r="J1670" t="n">
        <v>0</v>
      </c>
      <c r="K1670" t="n">
        <v>0</v>
      </c>
      <c r="L1670" t="n">
        <v>0</v>
      </c>
      <c r="M1670" t="n">
        <v>0</v>
      </c>
      <c r="N1670" t="n">
        <v>0</v>
      </c>
      <c r="O1670" t="n">
        <v>0</v>
      </c>
      <c r="P1670" t="n">
        <v>0</v>
      </c>
      <c r="Q1670" t="n">
        <v>0</v>
      </c>
      <c r="R1670" s="2" t="inlineStr"/>
    </row>
    <row r="1671" ht="15" customHeight="1">
      <c r="A1671" t="inlineStr">
        <is>
          <t>A 13230-2019</t>
        </is>
      </c>
      <c r="B1671" s="1" t="n">
        <v>43528</v>
      </c>
      <c r="C1671" s="1" t="n">
        <v>45182</v>
      </c>
      <c r="D1671" t="inlineStr">
        <is>
          <t>JÄMTLANDS LÄN</t>
        </is>
      </c>
      <c r="E1671" t="inlineStr">
        <is>
          <t>STRÖMSUND</t>
        </is>
      </c>
      <c r="G1671" t="n">
        <v>0.8</v>
      </c>
      <c r="H1671" t="n">
        <v>0</v>
      </c>
      <c r="I1671" t="n">
        <v>0</v>
      </c>
      <c r="J1671" t="n">
        <v>0</v>
      </c>
      <c r="K1671" t="n">
        <v>0</v>
      </c>
      <c r="L1671" t="n">
        <v>0</v>
      </c>
      <c r="M1671" t="n">
        <v>0</v>
      </c>
      <c r="N1671" t="n">
        <v>0</v>
      </c>
      <c r="O1671" t="n">
        <v>0</v>
      </c>
      <c r="P1671" t="n">
        <v>0</v>
      </c>
      <c r="Q1671" t="n">
        <v>0</v>
      </c>
      <c r="R1671" s="2" t="inlineStr"/>
    </row>
    <row r="1672" ht="15" customHeight="1">
      <c r="A1672" t="inlineStr">
        <is>
          <t>A 13182-2019</t>
        </is>
      </c>
      <c r="B1672" s="1" t="n">
        <v>43528</v>
      </c>
      <c r="C1672" s="1" t="n">
        <v>45182</v>
      </c>
      <c r="D1672" t="inlineStr">
        <is>
          <t>JÄMTLANDS LÄN</t>
        </is>
      </c>
      <c r="E1672" t="inlineStr">
        <is>
          <t>HÄRJEDALEN</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13209-2019</t>
        </is>
      </c>
      <c r="B1673" s="1" t="n">
        <v>43528</v>
      </c>
      <c r="C1673" s="1" t="n">
        <v>45182</v>
      </c>
      <c r="D1673" t="inlineStr">
        <is>
          <t>JÄMTLANDS LÄN</t>
        </is>
      </c>
      <c r="E1673" t="inlineStr">
        <is>
          <t>KROKOM</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13291-2019</t>
        </is>
      </c>
      <c r="B1674" s="1" t="n">
        <v>43528</v>
      </c>
      <c r="C1674" s="1" t="n">
        <v>45182</v>
      </c>
      <c r="D1674" t="inlineStr">
        <is>
          <t>JÄMTLANDS LÄN</t>
        </is>
      </c>
      <c r="E1674" t="inlineStr">
        <is>
          <t>STRÖMSUND</t>
        </is>
      </c>
      <c r="G1674" t="n">
        <v>2.1</v>
      </c>
      <c r="H1674" t="n">
        <v>0</v>
      </c>
      <c r="I1674" t="n">
        <v>0</v>
      </c>
      <c r="J1674" t="n">
        <v>0</v>
      </c>
      <c r="K1674" t="n">
        <v>0</v>
      </c>
      <c r="L1674" t="n">
        <v>0</v>
      </c>
      <c r="M1674" t="n">
        <v>0</v>
      </c>
      <c r="N1674" t="n">
        <v>0</v>
      </c>
      <c r="O1674" t="n">
        <v>0</v>
      </c>
      <c r="P1674" t="n">
        <v>0</v>
      </c>
      <c r="Q1674" t="n">
        <v>0</v>
      </c>
      <c r="R1674" s="2" t="inlineStr"/>
    </row>
    <row r="1675" ht="15" customHeight="1">
      <c r="A1675" t="inlineStr">
        <is>
          <t>A 13472-2019</t>
        </is>
      </c>
      <c r="B1675" s="1" t="n">
        <v>43529</v>
      </c>
      <c r="C1675" s="1" t="n">
        <v>45182</v>
      </c>
      <c r="D1675" t="inlineStr">
        <is>
          <t>JÄMTLANDS LÄN</t>
        </is>
      </c>
      <c r="E1675" t="inlineStr">
        <is>
          <t>BRÄCKE</t>
        </is>
      </c>
      <c r="G1675" t="n">
        <v>2.4</v>
      </c>
      <c r="H1675" t="n">
        <v>0</v>
      </c>
      <c r="I1675" t="n">
        <v>0</v>
      </c>
      <c r="J1675" t="n">
        <v>0</v>
      </c>
      <c r="K1675" t="n">
        <v>0</v>
      </c>
      <c r="L1675" t="n">
        <v>0</v>
      </c>
      <c r="M1675" t="n">
        <v>0</v>
      </c>
      <c r="N1675" t="n">
        <v>0</v>
      </c>
      <c r="O1675" t="n">
        <v>0</v>
      </c>
      <c r="P1675" t="n">
        <v>0</v>
      </c>
      <c r="Q1675" t="n">
        <v>0</v>
      </c>
      <c r="R1675" s="2" t="inlineStr"/>
    </row>
    <row r="1676" ht="15" customHeight="1">
      <c r="A1676" t="inlineStr">
        <is>
          <t>A 13243-2019</t>
        </is>
      </c>
      <c r="B1676" s="1" t="n">
        <v>43529</v>
      </c>
      <c r="C1676" s="1" t="n">
        <v>45182</v>
      </c>
      <c r="D1676" t="inlineStr">
        <is>
          <t>JÄMTLANDS LÄN</t>
        </is>
      </c>
      <c r="E1676" t="inlineStr">
        <is>
          <t>BERG</t>
        </is>
      </c>
      <c r="G1676" t="n">
        <v>2.2</v>
      </c>
      <c r="H1676" t="n">
        <v>0</v>
      </c>
      <c r="I1676" t="n">
        <v>0</v>
      </c>
      <c r="J1676" t="n">
        <v>0</v>
      </c>
      <c r="K1676" t="n">
        <v>0</v>
      </c>
      <c r="L1676" t="n">
        <v>0</v>
      </c>
      <c r="M1676" t="n">
        <v>0</v>
      </c>
      <c r="N1676" t="n">
        <v>0</v>
      </c>
      <c r="O1676" t="n">
        <v>0</v>
      </c>
      <c r="P1676" t="n">
        <v>0</v>
      </c>
      <c r="Q1676" t="n">
        <v>0</v>
      </c>
      <c r="R1676" s="2" t="inlineStr"/>
    </row>
    <row r="1677" ht="15" customHeight="1">
      <c r="A1677" t="inlineStr">
        <is>
          <t>A 13622-2019</t>
        </is>
      </c>
      <c r="B1677" s="1" t="n">
        <v>43530</v>
      </c>
      <c r="C1677" s="1" t="n">
        <v>45182</v>
      </c>
      <c r="D1677" t="inlineStr">
        <is>
          <t>JÄMTLANDS LÄN</t>
        </is>
      </c>
      <c r="E1677" t="inlineStr">
        <is>
          <t>ÖSTERSUND</t>
        </is>
      </c>
      <c r="G1677" t="n">
        <v>7.8</v>
      </c>
      <c r="H1677" t="n">
        <v>0</v>
      </c>
      <c r="I1677" t="n">
        <v>0</v>
      </c>
      <c r="J1677" t="n">
        <v>0</v>
      </c>
      <c r="K1677" t="n">
        <v>0</v>
      </c>
      <c r="L1677" t="n">
        <v>0</v>
      </c>
      <c r="M1677" t="n">
        <v>0</v>
      </c>
      <c r="N1677" t="n">
        <v>0</v>
      </c>
      <c r="O1677" t="n">
        <v>0</v>
      </c>
      <c r="P1677" t="n">
        <v>0</v>
      </c>
      <c r="Q1677" t="n">
        <v>0</v>
      </c>
      <c r="R1677" s="2" t="inlineStr"/>
    </row>
    <row r="1678" ht="15" customHeight="1">
      <c r="A1678" t="inlineStr">
        <is>
          <t>A 13673-2019</t>
        </is>
      </c>
      <c r="B1678" s="1" t="n">
        <v>43530</v>
      </c>
      <c r="C1678" s="1" t="n">
        <v>45182</v>
      </c>
      <c r="D1678" t="inlineStr">
        <is>
          <t>JÄMTLANDS LÄN</t>
        </is>
      </c>
      <c r="E1678" t="inlineStr">
        <is>
          <t>KROKOM</t>
        </is>
      </c>
      <c r="G1678" t="n">
        <v>11.2</v>
      </c>
      <c r="H1678" t="n">
        <v>0</v>
      </c>
      <c r="I1678" t="n">
        <v>0</v>
      </c>
      <c r="J1678" t="n">
        <v>0</v>
      </c>
      <c r="K1678" t="n">
        <v>0</v>
      </c>
      <c r="L1678" t="n">
        <v>0</v>
      </c>
      <c r="M1678" t="n">
        <v>0</v>
      </c>
      <c r="N1678" t="n">
        <v>0</v>
      </c>
      <c r="O1678" t="n">
        <v>0</v>
      </c>
      <c r="P1678" t="n">
        <v>0</v>
      </c>
      <c r="Q1678" t="n">
        <v>0</v>
      </c>
      <c r="R1678" s="2" t="inlineStr"/>
    </row>
    <row r="1679" ht="15" customHeight="1">
      <c r="A1679" t="inlineStr">
        <is>
          <t>A 13644-2019</t>
        </is>
      </c>
      <c r="B1679" s="1" t="n">
        <v>43530</v>
      </c>
      <c r="C1679" s="1" t="n">
        <v>45182</v>
      </c>
      <c r="D1679" t="inlineStr">
        <is>
          <t>JÄMTLANDS LÄN</t>
        </is>
      </c>
      <c r="E1679" t="inlineStr">
        <is>
          <t>KROKOM</t>
        </is>
      </c>
      <c r="G1679" t="n">
        <v>2.8</v>
      </c>
      <c r="H1679" t="n">
        <v>0</v>
      </c>
      <c r="I1679" t="n">
        <v>0</v>
      </c>
      <c r="J1679" t="n">
        <v>0</v>
      </c>
      <c r="K1679" t="n">
        <v>0</v>
      </c>
      <c r="L1679" t="n">
        <v>0</v>
      </c>
      <c r="M1679" t="n">
        <v>0</v>
      </c>
      <c r="N1679" t="n">
        <v>0</v>
      </c>
      <c r="O1679" t="n">
        <v>0</v>
      </c>
      <c r="P1679" t="n">
        <v>0</v>
      </c>
      <c r="Q1679" t="n">
        <v>0</v>
      </c>
      <c r="R1679" s="2" t="inlineStr"/>
    </row>
    <row r="1680" ht="15" customHeight="1">
      <c r="A1680" t="inlineStr">
        <is>
          <t>A 13659-2019</t>
        </is>
      </c>
      <c r="B1680" s="1" t="n">
        <v>43530</v>
      </c>
      <c r="C1680" s="1" t="n">
        <v>45182</v>
      </c>
      <c r="D1680" t="inlineStr">
        <is>
          <t>JÄMTLANDS LÄN</t>
        </is>
      </c>
      <c r="E1680" t="inlineStr">
        <is>
          <t>RAGUNDA</t>
        </is>
      </c>
      <c r="G1680" t="n">
        <v>4.7</v>
      </c>
      <c r="H1680" t="n">
        <v>0</v>
      </c>
      <c r="I1680" t="n">
        <v>0</v>
      </c>
      <c r="J1680" t="n">
        <v>0</v>
      </c>
      <c r="K1680" t="n">
        <v>0</v>
      </c>
      <c r="L1680" t="n">
        <v>0</v>
      </c>
      <c r="M1680" t="n">
        <v>0</v>
      </c>
      <c r="N1680" t="n">
        <v>0</v>
      </c>
      <c r="O1680" t="n">
        <v>0</v>
      </c>
      <c r="P1680" t="n">
        <v>0</v>
      </c>
      <c r="Q1680" t="n">
        <v>0</v>
      </c>
      <c r="R1680" s="2" t="inlineStr"/>
    </row>
    <row r="1681" ht="15" customHeight="1">
      <c r="A1681" t="inlineStr">
        <is>
          <t>A 13913-2019</t>
        </is>
      </c>
      <c r="B1681" s="1" t="n">
        <v>43531</v>
      </c>
      <c r="C1681" s="1" t="n">
        <v>45182</v>
      </c>
      <c r="D1681" t="inlineStr">
        <is>
          <t>JÄMTLANDS LÄN</t>
        </is>
      </c>
      <c r="E1681" t="inlineStr">
        <is>
          <t>STRÖMSUND</t>
        </is>
      </c>
      <c r="G1681" t="n">
        <v>5.7</v>
      </c>
      <c r="H1681" t="n">
        <v>0</v>
      </c>
      <c r="I1681" t="n">
        <v>0</v>
      </c>
      <c r="J1681" t="n">
        <v>0</v>
      </c>
      <c r="K1681" t="n">
        <v>0</v>
      </c>
      <c r="L1681" t="n">
        <v>0</v>
      </c>
      <c r="M1681" t="n">
        <v>0</v>
      </c>
      <c r="N1681" t="n">
        <v>0</v>
      </c>
      <c r="O1681" t="n">
        <v>0</v>
      </c>
      <c r="P1681" t="n">
        <v>0</v>
      </c>
      <c r="Q1681" t="n">
        <v>0</v>
      </c>
      <c r="R1681" s="2" t="inlineStr"/>
    </row>
    <row r="1682" ht="15" customHeight="1">
      <c r="A1682" t="inlineStr">
        <is>
          <t>A 14721-2019</t>
        </is>
      </c>
      <c r="B1682" s="1" t="n">
        <v>43535</v>
      </c>
      <c r="C1682" s="1" t="n">
        <v>45182</v>
      </c>
      <c r="D1682" t="inlineStr">
        <is>
          <t>JÄMTLANDS LÄN</t>
        </is>
      </c>
      <c r="E1682" t="inlineStr">
        <is>
          <t>BRÄCKE</t>
        </is>
      </c>
      <c r="F1682" t="inlineStr">
        <is>
          <t>SCA</t>
        </is>
      </c>
      <c r="G1682" t="n">
        <v>5.3</v>
      </c>
      <c r="H1682" t="n">
        <v>0</v>
      </c>
      <c r="I1682" t="n">
        <v>0</v>
      </c>
      <c r="J1682" t="n">
        <v>0</v>
      </c>
      <c r="K1682" t="n">
        <v>0</v>
      </c>
      <c r="L1682" t="n">
        <v>0</v>
      </c>
      <c r="M1682" t="n">
        <v>0</v>
      </c>
      <c r="N1682" t="n">
        <v>0</v>
      </c>
      <c r="O1682" t="n">
        <v>0</v>
      </c>
      <c r="P1682" t="n">
        <v>0</v>
      </c>
      <c r="Q1682" t="n">
        <v>0</v>
      </c>
      <c r="R1682" s="2" t="inlineStr"/>
    </row>
    <row r="1683" ht="15" customHeight="1">
      <c r="A1683" t="inlineStr">
        <is>
          <t>A 14547-2019</t>
        </is>
      </c>
      <c r="B1683" s="1" t="n">
        <v>43535</v>
      </c>
      <c r="C1683" s="1" t="n">
        <v>45182</v>
      </c>
      <c r="D1683" t="inlineStr">
        <is>
          <t>JÄMTLANDS LÄN</t>
        </is>
      </c>
      <c r="E1683" t="inlineStr">
        <is>
          <t>KROKOM</t>
        </is>
      </c>
      <c r="G1683" t="n">
        <v>1.6</v>
      </c>
      <c r="H1683" t="n">
        <v>0</v>
      </c>
      <c r="I1683" t="n">
        <v>0</v>
      </c>
      <c r="J1683" t="n">
        <v>0</v>
      </c>
      <c r="K1683" t="n">
        <v>0</v>
      </c>
      <c r="L1683" t="n">
        <v>0</v>
      </c>
      <c r="M1683" t="n">
        <v>0</v>
      </c>
      <c r="N1683" t="n">
        <v>0</v>
      </c>
      <c r="O1683" t="n">
        <v>0</v>
      </c>
      <c r="P1683" t="n">
        <v>0</v>
      </c>
      <c r="Q1683" t="n">
        <v>0</v>
      </c>
      <c r="R1683" s="2" t="inlineStr"/>
    </row>
    <row r="1684" ht="15" customHeight="1">
      <c r="A1684" t="inlineStr">
        <is>
          <t>A 14268-2019</t>
        </is>
      </c>
      <c r="B1684" s="1" t="n">
        <v>43535</v>
      </c>
      <c r="C1684" s="1" t="n">
        <v>45182</v>
      </c>
      <c r="D1684" t="inlineStr">
        <is>
          <t>JÄMTLANDS LÄN</t>
        </is>
      </c>
      <c r="E1684" t="inlineStr">
        <is>
          <t>HÄRJEDALEN</t>
        </is>
      </c>
      <c r="G1684" t="n">
        <v>20.2</v>
      </c>
      <c r="H1684" t="n">
        <v>0</v>
      </c>
      <c r="I1684" t="n">
        <v>0</v>
      </c>
      <c r="J1684" t="n">
        <v>0</v>
      </c>
      <c r="K1684" t="n">
        <v>0</v>
      </c>
      <c r="L1684" t="n">
        <v>0</v>
      </c>
      <c r="M1684" t="n">
        <v>0</v>
      </c>
      <c r="N1684" t="n">
        <v>0</v>
      </c>
      <c r="O1684" t="n">
        <v>0</v>
      </c>
      <c r="P1684" t="n">
        <v>0</v>
      </c>
      <c r="Q1684" t="n">
        <v>0</v>
      </c>
      <c r="R1684" s="2" t="inlineStr"/>
    </row>
    <row r="1685" ht="15" customHeight="1">
      <c r="A1685" t="inlineStr">
        <is>
          <t>A 14394-2019</t>
        </is>
      </c>
      <c r="B1685" s="1" t="n">
        <v>43536</v>
      </c>
      <c r="C1685" s="1" t="n">
        <v>45182</v>
      </c>
      <c r="D1685" t="inlineStr">
        <is>
          <t>JÄMTLANDS LÄN</t>
        </is>
      </c>
      <c r="E1685" t="inlineStr">
        <is>
          <t>ÅRE</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14765-2019</t>
        </is>
      </c>
      <c r="B1686" s="1" t="n">
        <v>43536</v>
      </c>
      <c r="C1686" s="1" t="n">
        <v>45182</v>
      </c>
      <c r="D1686" t="inlineStr">
        <is>
          <t>JÄMTLANDS LÄN</t>
        </is>
      </c>
      <c r="E1686" t="inlineStr">
        <is>
          <t>STRÖMSUND</t>
        </is>
      </c>
      <c r="F1686" t="inlineStr">
        <is>
          <t>Holmen skog AB</t>
        </is>
      </c>
      <c r="G1686" t="n">
        <v>5.2</v>
      </c>
      <c r="H1686" t="n">
        <v>0</v>
      </c>
      <c r="I1686" t="n">
        <v>0</v>
      </c>
      <c r="J1686" t="n">
        <v>0</v>
      </c>
      <c r="K1686" t="n">
        <v>0</v>
      </c>
      <c r="L1686" t="n">
        <v>0</v>
      </c>
      <c r="M1686" t="n">
        <v>0</v>
      </c>
      <c r="N1686" t="n">
        <v>0</v>
      </c>
      <c r="O1686" t="n">
        <v>0</v>
      </c>
      <c r="P1686" t="n">
        <v>0</v>
      </c>
      <c r="Q1686" t="n">
        <v>0</v>
      </c>
      <c r="R1686" s="2" t="inlineStr"/>
    </row>
    <row r="1687" ht="15" customHeight="1">
      <c r="A1687" t="inlineStr">
        <is>
          <t>A 15048-2019</t>
        </is>
      </c>
      <c r="B1687" s="1" t="n">
        <v>43537</v>
      </c>
      <c r="C1687" s="1" t="n">
        <v>45182</v>
      </c>
      <c r="D1687" t="inlineStr">
        <is>
          <t>JÄMTLANDS LÄN</t>
        </is>
      </c>
      <c r="E1687" t="inlineStr">
        <is>
          <t>RAGUNDA</t>
        </is>
      </c>
      <c r="F1687" t="inlineStr">
        <is>
          <t>SCA</t>
        </is>
      </c>
      <c r="G1687" t="n">
        <v>0.7</v>
      </c>
      <c r="H1687" t="n">
        <v>0</v>
      </c>
      <c r="I1687" t="n">
        <v>0</v>
      </c>
      <c r="J1687" t="n">
        <v>0</v>
      </c>
      <c r="K1687" t="n">
        <v>0</v>
      </c>
      <c r="L1687" t="n">
        <v>0</v>
      </c>
      <c r="M1687" t="n">
        <v>0</v>
      </c>
      <c r="N1687" t="n">
        <v>0</v>
      </c>
      <c r="O1687" t="n">
        <v>0</v>
      </c>
      <c r="P1687" t="n">
        <v>0</v>
      </c>
      <c r="Q1687" t="n">
        <v>0</v>
      </c>
      <c r="R1687" s="2" t="inlineStr"/>
    </row>
    <row r="1688" ht="15" customHeight="1">
      <c r="A1688" t="inlineStr">
        <is>
          <t>A 14787-2019</t>
        </is>
      </c>
      <c r="B1688" s="1" t="n">
        <v>43537</v>
      </c>
      <c r="C1688" s="1" t="n">
        <v>45182</v>
      </c>
      <c r="D1688" t="inlineStr">
        <is>
          <t>JÄMTLANDS LÄN</t>
        </is>
      </c>
      <c r="E1688" t="inlineStr">
        <is>
          <t>BERG</t>
        </is>
      </c>
      <c r="G1688" t="n">
        <v>3.1</v>
      </c>
      <c r="H1688" t="n">
        <v>0</v>
      </c>
      <c r="I1688" t="n">
        <v>0</v>
      </c>
      <c r="J1688" t="n">
        <v>0</v>
      </c>
      <c r="K1688" t="n">
        <v>0</v>
      </c>
      <c r="L1688" t="n">
        <v>0</v>
      </c>
      <c r="M1688" t="n">
        <v>0</v>
      </c>
      <c r="N1688" t="n">
        <v>0</v>
      </c>
      <c r="O1688" t="n">
        <v>0</v>
      </c>
      <c r="P1688" t="n">
        <v>0</v>
      </c>
      <c r="Q1688" t="n">
        <v>0</v>
      </c>
      <c r="R1688" s="2" t="inlineStr"/>
    </row>
    <row r="1689" ht="15" customHeight="1">
      <c r="A1689" t="inlineStr">
        <is>
          <t>A 15015-2019</t>
        </is>
      </c>
      <c r="B1689" s="1" t="n">
        <v>43537</v>
      </c>
      <c r="C1689" s="1" t="n">
        <v>45182</v>
      </c>
      <c r="D1689" t="inlineStr">
        <is>
          <t>JÄMTLANDS LÄN</t>
        </is>
      </c>
      <c r="E1689" t="inlineStr">
        <is>
          <t>STRÖMSUND</t>
        </is>
      </c>
      <c r="F1689" t="inlineStr">
        <is>
          <t>SCA</t>
        </is>
      </c>
      <c r="G1689" t="n">
        <v>22.4</v>
      </c>
      <c r="H1689" t="n">
        <v>0</v>
      </c>
      <c r="I1689" t="n">
        <v>0</v>
      </c>
      <c r="J1689" t="n">
        <v>0</v>
      </c>
      <c r="K1689" t="n">
        <v>0</v>
      </c>
      <c r="L1689" t="n">
        <v>0</v>
      </c>
      <c r="M1689" t="n">
        <v>0</v>
      </c>
      <c r="N1689" t="n">
        <v>0</v>
      </c>
      <c r="O1689" t="n">
        <v>0</v>
      </c>
      <c r="P1689" t="n">
        <v>0</v>
      </c>
      <c r="Q1689" t="n">
        <v>0</v>
      </c>
      <c r="R1689" s="2" t="inlineStr"/>
    </row>
    <row r="1690" ht="15" customHeight="1">
      <c r="A1690" t="inlineStr">
        <is>
          <t>A 15165-2019</t>
        </is>
      </c>
      <c r="B1690" s="1" t="n">
        <v>43538</v>
      </c>
      <c r="C1690" s="1" t="n">
        <v>45182</v>
      </c>
      <c r="D1690" t="inlineStr">
        <is>
          <t>JÄMTLANDS LÄN</t>
        </is>
      </c>
      <c r="E1690" t="inlineStr">
        <is>
          <t>RAGUNDA</t>
        </is>
      </c>
      <c r="G1690" t="n">
        <v>7.4</v>
      </c>
      <c r="H1690" t="n">
        <v>0</v>
      </c>
      <c r="I1690" t="n">
        <v>0</v>
      </c>
      <c r="J1690" t="n">
        <v>0</v>
      </c>
      <c r="K1690" t="n">
        <v>0</v>
      </c>
      <c r="L1690" t="n">
        <v>0</v>
      </c>
      <c r="M1690" t="n">
        <v>0</v>
      </c>
      <c r="N1690" t="n">
        <v>0</v>
      </c>
      <c r="O1690" t="n">
        <v>0</v>
      </c>
      <c r="P1690" t="n">
        <v>0</v>
      </c>
      <c r="Q1690" t="n">
        <v>0</v>
      </c>
      <c r="R1690" s="2" t="inlineStr"/>
    </row>
    <row r="1691" ht="15" customHeight="1">
      <c r="A1691" t="inlineStr">
        <is>
          <t>A 15268-2019</t>
        </is>
      </c>
      <c r="B1691" s="1" t="n">
        <v>43539</v>
      </c>
      <c r="C1691" s="1" t="n">
        <v>45182</v>
      </c>
      <c r="D1691" t="inlineStr">
        <is>
          <t>JÄMTLANDS LÄN</t>
        </is>
      </c>
      <c r="E1691" t="inlineStr">
        <is>
          <t>STRÖMSUND</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15086-2019</t>
        </is>
      </c>
      <c r="B1692" s="1" t="n">
        <v>43539</v>
      </c>
      <c r="C1692" s="1" t="n">
        <v>45182</v>
      </c>
      <c r="D1692" t="inlineStr">
        <is>
          <t>JÄMTLANDS LÄN</t>
        </is>
      </c>
      <c r="E1692" t="inlineStr">
        <is>
          <t>STRÖMSUND</t>
        </is>
      </c>
      <c r="F1692" t="inlineStr">
        <is>
          <t>Holmen skog AB</t>
        </is>
      </c>
      <c r="G1692" t="n">
        <v>3.5</v>
      </c>
      <c r="H1692" t="n">
        <v>0</v>
      </c>
      <c r="I1692" t="n">
        <v>0</v>
      </c>
      <c r="J1692" t="n">
        <v>0</v>
      </c>
      <c r="K1692" t="n">
        <v>0</v>
      </c>
      <c r="L1692" t="n">
        <v>0</v>
      </c>
      <c r="M1692" t="n">
        <v>0</v>
      </c>
      <c r="N1692" t="n">
        <v>0</v>
      </c>
      <c r="O1692" t="n">
        <v>0</v>
      </c>
      <c r="P1692" t="n">
        <v>0</v>
      </c>
      <c r="Q1692" t="n">
        <v>0</v>
      </c>
      <c r="R1692" s="2" t="inlineStr"/>
    </row>
    <row r="1693" ht="15" customHeight="1">
      <c r="A1693" t="inlineStr">
        <is>
          <t>A 15778-2019</t>
        </is>
      </c>
      <c r="B1693" s="1" t="n">
        <v>43539</v>
      </c>
      <c r="C1693" s="1" t="n">
        <v>45182</v>
      </c>
      <c r="D1693" t="inlineStr">
        <is>
          <t>JÄMTLANDS LÄN</t>
        </is>
      </c>
      <c r="E1693" t="inlineStr">
        <is>
          <t>KROKOM</t>
        </is>
      </c>
      <c r="G1693" t="n">
        <v>5.4</v>
      </c>
      <c r="H1693" t="n">
        <v>0</v>
      </c>
      <c r="I1693" t="n">
        <v>0</v>
      </c>
      <c r="J1693" t="n">
        <v>0</v>
      </c>
      <c r="K1693" t="n">
        <v>0</v>
      </c>
      <c r="L1693" t="n">
        <v>0</v>
      </c>
      <c r="M1693" t="n">
        <v>0</v>
      </c>
      <c r="N1693" t="n">
        <v>0</v>
      </c>
      <c r="O1693" t="n">
        <v>0</v>
      </c>
      <c r="P1693" t="n">
        <v>0</v>
      </c>
      <c r="Q1693" t="n">
        <v>0</v>
      </c>
      <c r="R1693" s="2" t="inlineStr"/>
    </row>
    <row r="1694" ht="15" customHeight="1">
      <c r="A1694" t="inlineStr">
        <is>
          <t>A 14945-2019</t>
        </is>
      </c>
      <c r="B1694" s="1" t="n">
        <v>43539</v>
      </c>
      <c r="C1694" s="1" t="n">
        <v>45182</v>
      </c>
      <c r="D1694" t="inlineStr">
        <is>
          <t>JÄMTLANDS LÄN</t>
        </is>
      </c>
      <c r="E1694" t="inlineStr">
        <is>
          <t>STRÖMSUND</t>
        </is>
      </c>
      <c r="F1694" t="inlineStr">
        <is>
          <t>Holmen skog AB</t>
        </is>
      </c>
      <c r="G1694" t="n">
        <v>3.2</v>
      </c>
      <c r="H1694" t="n">
        <v>0</v>
      </c>
      <c r="I1694" t="n">
        <v>0</v>
      </c>
      <c r="J1694" t="n">
        <v>0</v>
      </c>
      <c r="K1694" t="n">
        <v>0</v>
      </c>
      <c r="L1694" t="n">
        <v>0</v>
      </c>
      <c r="M1694" t="n">
        <v>0</v>
      </c>
      <c r="N1694" t="n">
        <v>0</v>
      </c>
      <c r="O1694" t="n">
        <v>0</v>
      </c>
      <c r="P1694" t="n">
        <v>0</v>
      </c>
      <c r="Q1694" t="n">
        <v>0</v>
      </c>
      <c r="R1694" s="2" t="inlineStr"/>
    </row>
    <row r="1695" ht="15" customHeight="1">
      <c r="A1695" t="inlineStr">
        <is>
          <t>A 15617-2019</t>
        </is>
      </c>
      <c r="B1695" s="1" t="n">
        <v>43539</v>
      </c>
      <c r="C1695" s="1" t="n">
        <v>45182</v>
      </c>
      <c r="D1695" t="inlineStr">
        <is>
          <t>JÄMTLANDS LÄN</t>
        </is>
      </c>
      <c r="E1695" t="inlineStr">
        <is>
          <t>HÄRJEDALEN</t>
        </is>
      </c>
      <c r="G1695" t="n">
        <v>1.7</v>
      </c>
      <c r="H1695" t="n">
        <v>0</v>
      </c>
      <c r="I1695" t="n">
        <v>0</v>
      </c>
      <c r="J1695" t="n">
        <v>0</v>
      </c>
      <c r="K1695" t="n">
        <v>0</v>
      </c>
      <c r="L1695" t="n">
        <v>0</v>
      </c>
      <c r="M1695" t="n">
        <v>0</v>
      </c>
      <c r="N1695" t="n">
        <v>0</v>
      </c>
      <c r="O1695" t="n">
        <v>0</v>
      </c>
      <c r="P1695" t="n">
        <v>0</v>
      </c>
      <c r="Q1695" t="n">
        <v>0</v>
      </c>
      <c r="R1695" s="2" t="inlineStr"/>
    </row>
    <row r="1696" ht="15" customHeight="1">
      <c r="A1696" t="inlineStr">
        <is>
          <t>A 15182-2019</t>
        </is>
      </c>
      <c r="B1696" s="1" t="n">
        <v>43539</v>
      </c>
      <c r="C1696" s="1" t="n">
        <v>45182</v>
      </c>
      <c r="D1696" t="inlineStr">
        <is>
          <t>JÄMTLANDS LÄN</t>
        </is>
      </c>
      <c r="E1696" t="inlineStr">
        <is>
          <t>STRÖMSUND</t>
        </is>
      </c>
      <c r="G1696" t="n">
        <v>2.1</v>
      </c>
      <c r="H1696" t="n">
        <v>0</v>
      </c>
      <c r="I1696" t="n">
        <v>0</v>
      </c>
      <c r="J1696" t="n">
        <v>0</v>
      </c>
      <c r="K1696" t="n">
        <v>0</v>
      </c>
      <c r="L1696" t="n">
        <v>0</v>
      </c>
      <c r="M1696" t="n">
        <v>0</v>
      </c>
      <c r="N1696" t="n">
        <v>0</v>
      </c>
      <c r="O1696" t="n">
        <v>0</v>
      </c>
      <c r="P1696" t="n">
        <v>0</v>
      </c>
      <c r="Q1696" t="n">
        <v>0</v>
      </c>
      <c r="R1696" s="2" t="inlineStr"/>
    </row>
    <row r="1697" ht="15" customHeight="1">
      <c r="A1697" t="inlineStr">
        <is>
          <t>A 15266-2019</t>
        </is>
      </c>
      <c r="B1697" s="1" t="n">
        <v>43539</v>
      </c>
      <c r="C1697" s="1" t="n">
        <v>45182</v>
      </c>
      <c r="D1697" t="inlineStr">
        <is>
          <t>JÄMTLANDS LÄN</t>
        </is>
      </c>
      <c r="E1697" t="inlineStr">
        <is>
          <t>STRÖMSUND</t>
        </is>
      </c>
      <c r="G1697" t="n">
        <v>1.9</v>
      </c>
      <c r="H1697" t="n">
        <v>0</v>
      </c>
      <c r="I1697" t="n">
        <v>0</v>
      </c>
      <c r="J1697" t="n">
        <v>0</v>
      </c>
      <c r="K1697" t="n">
        <v>0</v>
      </c>
      <c r="L1697" t="n">
        <v>0</v>
      </c>
      <c r="M1697" t="n">
        <v>0</v>
      </c>
      <c r="N1697" t="n">
        <v>0</v>
      </c>
      <c r="O1697" t="n">
        <v>0</v>
      </c>
      <c r="P1697" t="n">
        <v>0</v>
      </c>
      <c r="Q1697" t="n">
        <v>0</v>
      </c>
      <c r="R1697" s="2" t="inlineStr"/>
    </row>
    <row r="1698" ht="15" customHeight="1">
      <c r="A1698" t="inlineStr">
        <is>
          <t>A 15557-2019</t>
        </is>
      </c>
      <c r="B1698" s="1" t="n">
        <v>43542</v>
      </c>
      <c r="C1698" s="1" t="n">
        <v>45182</v>
      </c>
      <c r="D1698" t="inlineStr">
        <is>
          <t>JÄMTLANDS LÄN</t>
        </is>
      </c>
      <c r="E1698" t="inlineStr">
        <is>
          <t>HÄRJEDALEN</t>
        </is>
      </c>
      <c r="G1698" t="n">
        <v>5.9</v>
      </c>
      <c r="H1698" t="n">
        <v>0</v>
      </c>
      <c r="I1698" t="n">
        <v>0</v>
      </c>
      <c r="J1698" t="n">
        <v>0</v>
      </c>
      <c r="K1698" t="n">
        <v>0</v>
      </c>
      <c r="L1698" t="n">
        <v>0</v>
      </c>
      <c r="M1698" t="n">
        <v>0</v>
      </c>
      <c r="N1698" t="n">
        <v>0</v>
      </c>
      <c r="O1698" t="n">
        <v>0</v>
      </c>
      <c r="P1698" t="n">
        <v>0</v>
      </c>
      <c r="Q1698" t="n">
        <v>0</v>
      </c>
      <c r="R1698" s="2" t="inlineStr"/>
    </row>
    <row r="1699" ht="15" customHeight="1">
      <c r="A1699" t="inlineStr">
        <is>
          <t>A 15831-2019</t>
        </is>
      </c>
      <c r="B1699" s="1" t="n">
        <v>43542</v>
      </c>
      <c r="C1699" s="1" t="n">
        <v>45182</v>
      </c>
      <c r="D1699" t="inlineStr">
        <is>
          <t>JÄMTLANDS LÄN</t>
        </is>
      </c>
      <c r="E1699" t="inlineStr">
        <is>
          <t>BRÄCKE</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15944-2019</t>
        </is>
      </c>
      <c r="B1700" s="1" t="n">
        <v>43542</v>
      </c>
      <c r="C1700" s="1" t="n">
        <v>45182</v>
      </c>
      <c r="D1700" t="inlineStr">
        <is>
          <t>JÄMTLANDS LÄN</t>
        </is>
      </c>
      <c r="E1700" t="inlineStr">
        <is>
          <t>STRÖMSUND</t>
        </is>
      </c>
      <c r="G1700" t="n">
        <v>6</v>
      </c>
      <c r="H1700" t="n">
        <v>0</v>
      </c>
      <c r="I1700" t="n">
        <v>0</v>
      </c>
      <c r="J1700" t="n">
        <v>0</v>
      </c>
      <c r="K1700" t="n">
        <v>0</v>
      </c>
      <c r="L1700" t="n">
        <v>0</v>
      </c>
      <c r="M1700" t="n">
        <v>0</v>
      </c>
      <c r="N1700" t="n">
        <v>0</v>
      </c>
      <c r="O1700" t="n">
        <v>0</v>
      </c>
      <c r="P1700" t="n">
        <v>0</v>
      </c>
      <c r="Q1700" t="n">
        <v>0</v>
      </c>
      <c r="R1700" s="2" t="inlineStr"/>
    </row>
    <row r="1701" ht="15" customHeight="1">
      <c r="A1701" t="inlineStr">
        <is>
          <t>A 15677-2019</t>
        </is>
      </c>
      <c r="B1701" s="1" t="n">
        <v>43542</v>
      </c>
      <c r="C1701" s="1" t="n">
        <v>45182</v>
      </c>
      <c r="D1701" t="inlineStr">
        <is>
          <t>JÄMTLANDS LÄN</t>
        </is>
      </c>
      <c r="E1701" t="inlineStr">
        <is>
          <t>RAGUNDA</t>
        </is>
      </c>
      <c r="G1701" t="n">
        <v>0.3</v>
      </c>
      <c r="H1701" t="n">
        <v>0</v>
      </c>
      <c r="I1701" t="n">
        <v>0</v>
      </c>
      <c r="J1701" t="n">
        <v>0</v>
      </c>
      <c r="K1701" t="n">
        <v>0</v>
      </c>
      <c r="L1701" t="n">
        <v>0</v>
      </c>
      <c r="M1701" t="n">
        <v>0</v>
      </c>
      <c r="N1701" t="n">
        <v>0</v>
      </c>
      <c r="O1701" t="n">
        <v>0</v>
      </c>
      <c r="P1701" t="n">
        <v>0</v>
      </c>
      <c r="Q1701" t="n">
        <v>0</v>
      </c>
      <c r="R1701" s="2" t="inlineStr"/>
    </row>
    <row r="1702" ht="15" customHeight="1">
      <c r="A1702" t="inlineStr">
        <is>
          <t>A 15826-2019</t>
        </is>
      </c>
      <c r="B1702" s="1" t="n">
        <v>43542</v>
      </c>
      <c r="C1702" s="1" t="n">
        <v>45182</v>
      </c>
      <c r="D1702" t="inlineStr">
        <is>
          <t>JÄMTLANDS LÄN</t>
        </is>
      </c>
      <c r="E1702" t="inlineStr">
        <is>
          <t>BRÄCKE</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15945-2019</t>
        </is>
      </c>
      <c r="B1703" s="1" t="n">
        <v>43542</v>
      </c>
      <c r="C1703" s="1" t="n">
        <v>45182</v>
      </c>
      <c r="D1703" t="inlineStr">
        <is>
          <t>JÄMTLANDS LÄN</t>
        </is>
      </c>
      <c r="E1703" t="inlineStr">
        <is>
          <t>ÖSTERSUND</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15797-2019</t>
        </is>
      </c>
      <c r="B1704" s="1" t="n">
        <v>43543</v>
      </c>
      <c r="C1704" s="1" t="n">
        <v>45182</v>
      </c>
      <c r="D1704" t="inlineStr">
        <is>
          <t>JÄMTLANDS LÄN</t>
        </is>
      </c>
      <c r="E1704" t="inlineStr">
        <is>
          <t>RAGUNDA</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15709-2019</t>
        </is>
      </c>
      <c r="B1705" s="1" t="n">
        <v>43543</v>
      </c>
      <c r="C1705" s="1" t="n">
        <v>45182</v>
      </c>
      <c r="D1705" t="inlineStr">
        <is>
          <t>JÄMTLANDS LÄN</t>
        </is>
      </c>
      <c r="E1705" t="inlineStr">
        <is>
          <t>BRÄCKE</t>
        </is>
      </c>
      <c r="G1705" t="n">
        <v>6.4</v>
      </c>
      <c r="H1705" t="n">
        <v>0</v>
      </c>
      <c r="I1705" t="n">
        <v>0</v>
      </c>
      <c r="J1705" t="n">
        <v>0</v>
      </c>
      <c r="K1705" t="n">
        <v>0</v>
      </c>
      <c r="L1705" t="n">
        <v>0</v>
      </c>
      <c r="M1705" t="n">
        <v>0</v>
      </c>
      <c r="N1705" t="n">
        <v>0</v>
      </c>
      <c r="O1705" t="n">
        <v>0</v>
      </c>
      <c r="P1705" t="n">
        <v>0</v>
      </c>
      <c r="Q1705" t="n">
        <v>0</v>
      </c>
      <c r="R1705" s="2" t="inlineStr"/>
    </row>
    <row r="1706" ht="15" customHeight="1">
      <c r="A1706" t="inlineStr">
        <is>
          <t>A 16004-2019</t>
        </is>
      </c>
      <c r="B1706" s="1" t="n">
        <v>43543</v>
      </c>
      <c r="C1706" s="1" t="n">
        <v>45182</v>
      </c>
      <c r="D1706" t="inlineStr">
        <is>
          <t>JÄMTLANDS LÄN</t>
        </is>
      </c>
      <c r="E1706" t="inlineStr">
        <is>
          <t>HÄRJEDALEN</t>
        </is>
      </c>
      <c r="G1706" t="n">
        <v>19.7</v>
      </c>
      <c r="H1706" t="n">
        <v>0</v>
      </c>
      <c r="I1706" t="n">
        <v>0</v>
      </c>
      <c r="J1706" t="n">
        <v>0</v>
      </c>
      <c r="K1706" t="n">
        <v>0</v>
      </c>
      <c r="L1706" t="n">
        <v>0</v>
      </c>
      <c r="M1706" t="n">
        <v>0</v>
      </c>
      <c r="N1706" t="n">
        <v>0</v>
      </c>
      <c r="O1706" t="n">
        <v>0</v>
      </c>
      <c r="P1706" t="n">
        <v>0</v>
      </c>
      <c r="Q1706" t="n">
        <v>0</v>
      </c>
      <c r="R1706" s="2" t="inlineStr"/>
    </row>
    <row r="1707" ht="15" customHeight="1">
      <c r="A1707" t="inlineStr">
        <is>
          <t>A 16062-2019</t>
        </is>
      </c>
      <c r="B1707" s="1" t="n">
        <v>43544</v>
      </c>
      <c r="C1707" s="1" t="n">
        <v>45182</v>
      </c>
      <c r="D1707" t="inlineStr">
        <is>
          <t>JÄMTLANDS LÄN</t>
        </is>
      </c>
      <c r="E1707" t="inlineStr">
        <is>
          <t>HÄRJEDALEN</t>
        </is>
      </c>
      <c r="G1707" t="n">
        <v>18.4</v>
      </c>
      <c r="H1707" t="n">
        <v>0</v>
      </c>
      <c r="I1707" t="n">
        <v>0</v>
      </c>
      <c r="J1707" t="n">
        <v>0</v>
      </c>
      <c r="K1707" t="n">
        <v>0</v>
      </c>
      <c r="L1707" t="n">
        <v>0</v>
      </c>
      <c r="M1707" t="n">
        <v>0</v>
      </c>
      <c r="N1707" t="n">
        <v>0</v>
      </c>
      <c r="O1707" t="n">
        <v>0</v>
      </c>
      <c r="P1707" t="n">
        <v>0</v>
      </c>
      <c r="Q1707" t="n">
        <v>0</v>
      </c>
      <c r="R1707" s="2" t="inlineStr"/>
    </row>
    <row r="1708" ht="15" customHeight="1">
      <c r="A1708" t="inlineStr">
        <is>
          <t>A 16140-2019</t>
        </is>
      </c>
      <c r="B1708" s="1" t="n">
        <v>43544</v>
      </c>
      <c r="C1708" s="1" t="n">
        <v>45182</v>
      </c>
      <c r="D1708" t="inlineStr">
        <is>
          <t>JÄMTLANDS LÄN</t>
        </is>
      </c>
      <c r="E1708" t="inlineStr">
        <is>
          <t>STRÖMSUND</t>
        </is>
      </c>
      <c r="G1708" t="n">
        <v>0.4</v>
      </c>
      <c r="H1708" t="n">
        <v>0</v>
      </c>
      <c r="I1708" t="n">
        <v>0</v>
      </c>
      <c r="J1708" t="n">
        <v>0</v>
      </c>
      <c r="K1708" t="n">
        <v>0</v>
      </c>
      <c r="L1708" t="n">
        <v>0</v>
      </c>
      <c r="M1708" t="n">
        <v>0</v>
      </c>
      <c r="N1708" t="n">
        <v>0</v>
      </c>
      <c r="O1708" t="n">
        <v>0</v>
      </c>
      <c r="P1708" t="n">
        <v>0</v>
      </c>
      <c r="Q1708" t="n">
        <v>0</v>
      </c>
      <c r="R1708" s="2" t="inlineStr"/>
    </row>
    <row r="1709" ht="15" customHeight="1">
      <c r="A1709" t="inlineStr">
        <is>
          <t>A 16242-2019</t>
        </is>
      </c>
      <c r="B1709" s="1" t="n">
        <v>43545</v>
      </c>
      <c r="C1709" s="1" t="n">
        <v>45182</v>
      </c>
      <c r="D1709" t="inlineStr">
        <is>
          <t>JÄMTLANDS LÄN</t>
        </is>
      </c>
      <c r="E1709" t="inlineStr">
        <is>
          <t>KROKOM</t>
        </is>
      </c>
      <c r="G1709" t="n">
        <v>4.4</v>
      </c>
      <c r="H1709" t="n">
        <v>0</v>
      </c>
      <c r="I1709" t="n">
        <v>0</v>
      </c>
      <c r="J1709" t="n">
        <v>0</v>
      </c>
      <c r="K1709" t="n">
        <v>0</v>
      </c>
      <c r="L1709" t="n">
        <v>0</v>
      </c>
      <c r="M1709" t="n">
        <v>0</v>
      </c>
      <c r="N1709" t="n">
        <v>0</v>
      </c>
      <c r="O1709" t="n">
        <v>0</v>
      </c>
      <c r="P1709" t="n">
        <v>0</v>
      </c>
      <c r="Q1709" t="n">
        <v>0</v>
      </c>
      <c r="R1709" s="2" t="inlineStr"/>
    </row>
    <row r="1710" ht="15" customHeight="1">
      <c r="A1710" t="inlineStr">
        <is>
          <t>A 16261-2019</t>
        </is>
      </c>
      <c r="B1710" s="1" t="n">
        <v>43545</v>
      </c>
      <c r="C1710" s="1" t="n">
        <v>45182</v>
      </c>
      <c r="D1710" t="inlineStr">
        <is>
          <t>JÄMTLANDS LÄN</t>
        </is>
      </c>
      <c r="E1710" t="inlineStr">
        <is>
          <t>BRÄCKE</t>
        </is>
      </c>
      <c r="G1710" t="n">
        <v>7.9</v>
      </c>
      <c r="H1710" t="n">
        <v>0</v>
      </c>
      <c r="I1710" t="n">
        <v>0</v>
      </c>
      <c r="J1710" t="n">
        <v>0</v>
      </c>
      <c r="K1710" t="n">
        <v>0</v>
      </c>
      <c r="L1710" t="n">
        <v>0</v>
      </c>
      <c r="M1710" t="n">
        <v>0</v>
      </c>
      <c r="N1710" t="n">
        <v>0</v>
      </c>
      <c r="O1710" t="n">
        <v>0</v>
      </c>
      <c r="P1710" t="n">
        <v>0</v>
      </c>
      <c r="Q1710" t="n">
        <v>0</v>
      </c>
      <c r="R1710" s="2" t="inlineStr"/>
    </row>
    <row r="1711" ht="15" customHeight="1">
      <c r="A1711" t="inlineStr">
        <is>
          <t>A 16335-2019</t>
        </is>
      </c>
      <c r="B1711" s="1" t="n">
        <v>43545</v>
      </c>
      <c r="C1711" s="1" t="n">
        <v>45182</v>
      </c>
      <c r="D1711" t="inlineStr">
        <is>
          <t>JÄMTLANDS LÄN</t>
        </is>
      </c>
      <c r="E1711" t="inlineStr">
        <is>
          <t>KROKOM</t>
        </is>
      </c>
      <c r="G1711" t="n">
        <v>7.4</v>
      </c>
      <c r="H1711" t="n">
        <v>0</v>
      </c>
      <c r="I1711" t="n">
        <v>0</v>
      </c>
      <c r="J1711" t="n">
        <v>0</v>
      </c>
      <c r="K1711" t="n">
        <v>0</v>
      </c>
      <c r="L1711" t="n">
        <v>0</v>
      </c>
      <c r="M1711" t="n">
        <v>0</v>
      </c>
      <c r="N1711" t="n">
        <v>0</v>
      </c>
      <c r="O1711" t="n">
        <v>0</v>
      </c>
      <c r="P1711" t="n">
        <v>0</v>
      </c>
      <c r="Q1711" t="n">
        <v>0</v>
      </c>
      <c r="R1711" s="2" t="inlineStr"/>
    </row>
    <row r="1712" ht="15" customHeight="1">
      <c r="A1712" t="inlineStr">
        <is>
          <t>A 16337-2019</t>
        </is>
      </c>
      <c r="B1712" s="1" t="n">
        <v>43545</v>
      </c>
      <c r="C1712" s="1" t="n">
        <v>45182</v>
      </c>
      <c r="D1712" t="inlineStr">
        <is>
          <t>JÄMTLANDS LÄN</t>
        </is>
      </c>
      <c r="E1712" t="inlineStr">
        <is>
          <t>KROKOM</t>
        </is>
      </c>
      <c r="G1712" t="n">
        <v>11.8</v>
      </c>
      <c r="H1712" t="n">
        <v>0</v>
      </c>
      <c r="I1712" t="n">
        <v>0</v>
      </c>
      <c r="J1712" t="n">
        <v>0</v>
      </c>
      <c r="K1712" t="n">
        <v>0</v>
      </c>
      <c r="L1712" t="n">
        <v>0</v>
      </c>
      <c r="M1712" t="n">
        <v>0</v>
      </c>
      <c r="N1712" t="n">
        <v>0</v>
      </c>
      <c r="O1712" t="n">
        <v>0</v>
      </c>
      <c r="P1712" t="n">
        <v>0</v>
      </c>
      <c r="Q1712" t="n">
        <v>0</v>
      </c>
      <c r="R1712" s="2" t="inlineStr"/>
    </row>
    <row r="1713" ht="15" customHeight="1">
      <c r="A1713" t="inlineStr">
        <is>
          <t>A 16641-2019</t>
        </is>
      </c>
      <c r="B1713" s="1" t="n">
        <v>43549</v>
      </c>
      <c r="C1713" s="1" t="n">
        <v>45182</v>
      </c>
      <c r="D1713" t="inlineStr">
        <is>
          <t>JÄMTLANDS LÄN</t>
        </is>
      </c>
      <c r="E1713" t="inlineStr">
        <is>
          <t>STRÖMSUND</t>
        </is>
      </c>
      <c r="G1713" t="n">
        <v>3.1</v>
      </c>
      <c r="H1713" t="n">
        <v>0</v>
      </c>
      <c r="I1713" t="n">
        <v>0</v>
      </c>
      <c r="J1713" t="n">
        <v>0</v>
      </c>
      <c r="K1713" t="n">
        <v>0</v>
      </c>
      <c r="L1713" t="n">
        <v>0</v>
      </c>
      <c r="M1713" t="n">
        <v>0</v>
      </c>
      <c r="N1713" t="n">
        <v>0</v>
      </c>
      <c r="O1713" t="n">
        <v>0</v>
      </c>
      <c r="P1713" t="n">
        <v>0</v>
      </c>
      <c r="Q1713" t="n">
        <v>0</v>
      </c>
      <c r="R1713" s="2" t="inlineStr"/>
    </row>
    <row r="1714" ht="15" customHeight="1">
      <c r="A1714" t="inlineStr">
        <is>
          <t>A 16648-2019</t>
        </is>
      </c>
      <c r="B1714" s="1" t="n">
        <v>43549</v>
      </c>
      <c r="C1714" s="1" t="n">
        <v>45182</v>
      </c>
      <c r="D1714" t="inlineStr">
        <is>
          <t>JÄMTLANDS LÄN</t>
        </is>
      </c>
      <c r="E1714" t="inlineStr">
        <is>
          <t>KROKOM</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17256-2019</t>
        </is>
      </c>
      <c r="B1715" s="1" t="n">
        <v>43550</v>
      </c>
      <c r="C1715" s="1" t="n">
        <v>45182</v>
      </c>
      <c r="D1715" t="inlineStr">
        <is>
          <t>JÄMTLANDS LÄN</t>
        </is>
      </c>
      <c r="E1715" t="inlineStr">
        <is>
          <t>ÖSTERSUND</t>
        </is>
      </c>
      <c r="G1715" t="n">
        <v>2.2</v>
      </c>
      <c r="H1715" t="n">
        <v>0</v>
      </c>
      <c r="I1715" t="n">
        <v>0</v>
      </c>
      <c r="J1715" t="n">
        <v>0</v>
      </c>
      <c r="K1715" t="n">
        <v>0</v>
      </c>
      <c r="L1715" t="n">
        <v>0</v>
      </c>
      <c r="M1715" t="n">
        <v>0</v>
      </c>
      <c r="N1715" t="n">
        <v>0</v>
      </c>
      <c r="O1715" t="n">
        <v>0</v>
      </c>
      <c r="P1715" t="n">
        <v>0</v>
      </c>
      <c r="Q1715" t="n">
        <v>0</v>
      </c>
      <c r="R1715" s="2" t="inlineStr"/>
    </row>
    <row r="1716" ht="15" customHeight="1">
      <c r="A1716" t="inlineStr">
        <is>
          <t>A 17038-2019</t>
        </is>
      </c>
      <c r="B1716" s="1" t="n">
        <v>43551</v>
      </c>
      <c r="C1716" s="1" t="n">
        <v>45182</v>
      </c>
      <c r="D1716" t="inlineStr">
        <is>
          <t>JÄMTLANDS LÄN</t>
        </is>
      </c>
      <c r="E1716" t="inlineStr">
        <is>
          <t>STRÖMSUND</t>
        </is>
      </c>
      <c r="G1716" t="n">
        <v>17.6</v>
      </c>
      <c r="H1716" t="n">
        <v>0</v>
      </c>
      <c r="I1716" t="n">
        <v>0</v>
      </c>
      <c r="J1716" t="n">
        <v>0</v>
      </c>
      <c r="K1716" t="n">
        <v>0</v>
      </c>
      <c r="L1716" t="n">
        <v>0</v>
      </c>
      <c r="M1716" t="n">
        <v>0</v>
      </c>
      <c r="N1716" t="n">
        <v>0</v>
      </c>
      <c r="O1716" t="n">
        <v>0</v>
      </c>
      <c r="P1716" t="n">
        <v>0</v>
      </c>
      <c r="Q1716" t="n">
        <v>0</v>
      </c>
      <c r="R1716" s="2" t="inlineStr"/>
    </row>
    <row r="1717" ht="15" customHeight="1">
      <c r="A1717" t="inlineStr">
        <is>
          <t>A 17108-2019</t>
        </is>
      </c>
      <c r="B1717" s="1" t="n">
        <v>43551</v>
      </c>
      <c r="C1717" s="1" t="n">
        <v>45182</v>
      </c>
      <c r="D1717" t="inlineStr">
        <is>
          <t>JÄMTLANDS LÄN</t>
        </is>
      </c>
      <c r="E1717" t="inlineStr">
        <is>
          <t>KROKOM</t>
        </is>
      </c>
      <c r="G1717" t="n">
        <v>2.8</v>
      </c>
      <c r="H1717" t="n">
        <v>0</v>
      </c>
      <c r="I1717" t="n">
        <v>0</v>
      </c>
      <c r="J1717" t="n">
        <v>0</v>
      </c>
      <c r="K1717" t="n">
        <v>0</v>
      </c>
      <c r="L1717" t="n">
        <v>0</v>
      </c>
      <c r="M1717" t="n">
        <v>0</v>
      </c>
      <c r="N1717" t="n">
        <v>0</v>
      </c>
      <c r="O1717" t="n">
        <v>0</v>
      </c>
      <c r="P1717" t="n">
        <v>0</v>
      </c>
      <c r="Q1717" t="n">
        <v>0</v>
      </c>
      <c r="R1717" s="2" t="inlineStr"/>
    </row>
    <row r="1718" ht="15" customHeight="1">
      <c r="A1718" t="inlineStr">
        <is>
          <t>A 17190-2019</t>
        </is>
      </c>
      <c r="B1718" s="1" t="n">
        <v>43551</v>
      </c>
      <c r="C1718" s="1" t="n">
        <v>45182</v>
      </c>
      <c r="D1718" t="inlineStr">
        <is>
          <t>JÄMTLANDS LÄN</t>
        </is>
      </c>
      <c r="E1718" t="inlineStr">
        <is>
          <t>STRÖMSUND</t>
        </is>
      </c>
      <c r="G1718" t="n">
        <v>4</v>
      </c>
      <c r="H1718" t="n">
        <v>0</v>
      </c>
      <c r="I1718" t="n">
        <v>0</v>
      </c>
      <c r="J1718" t="n">
        <v>0</v>
      </c>
      <c r="K1718" t="n">
        <v>0</v>
      </c>
      <c r="L1718" t="n">
        <v>0</v>
      </c>
      <c r="M1718" t="n">
        <v>0</v>
      </c>
      <c r="N1718" t="n">
        <v>0</v>
      </c>
      <c r="O1718" t="n">
        <v>0</v>
      </c>
      <c r="P1718" t="n">
        <v>0</v>
      </c>
      <c r="Q1718" t="n">
        <v>0</v>
      </c>
      <c r="R1718" s="2" t="inlineStr"/>
    </row>
    <row r="1719" ht="15" customHeight="1">
      <c r="A1719" t="inlineStr">
        <is>
          <t>A 17049-2019</t>
        </is>
      </c>
      <c r="B1719" s="1" t="n">
        <v>43551</v>
      </c>
      <c r="C1719" s="1" t="n">
        <v>45182</v>
      </c>
      <c r="D1719" t="inlineStr">
        <is>
          <t>JÄMTLANDS LÄN</t>
        </is>
      </c>
      <c r="E1719" t="inlineStr">
        <is>
          <t>RAGUNDA</t>
        </is>
      </c>
      <c r="G1719" t="n">
        <v>1.9</v>
      </c>
      <c r="H1719" t="n">
        <v>0</v>
      </c>
      <c r="I1719" t="n">
        <v>0</v>
      </c>
      <c r="J1719" t="n">
        <v>0</v>
      </c>
      <c r="K1719" t="n">
        <v>0</v>
      </c>
      <c r="L1719" t="n">
        <v>0</v>
      </c>
      <c r="M1719" t="n">
        <v>0</v>
      </c>
      <c r="N1719" t="n">
        <v>0</v>
      </c>
      <c r="O1719" t="n">
        <v>0</v>
      </c>
      <c r="P1719" t="n">
        <v>0</v>
      </c>
      <c r="Q1719" t="n">
        <v>0</v>
      </c>
      <c r="R1719" s="2" t="inlineStr"/>
    </row>
    <row r="1720" ht="15" customHeight="1">
      <c r="A1720" t="inlineStr">
        <is>
          <t>A 17057-2019</t>
        </is>
      </c>
      <c r="B1720" s="1" t="n">
        <v>43551</v>
      </c>
      <c r="C1720" s="1" t="n">
        <v>45182</v>
      </c>
      <c r="D1720" t="inlineStr">
        <is>
          <t>JÄMTLANDS LÄN</t>
        </is>
      </c>
      <c r="E1720" t="inlineStr">
        <is>
          <t>RAGUNDA</t>
        </is>
      </c>
      <c r="G1720" t="n">
        <v>2.4</v>
      </c>
      <c r="H1720" t="n">
        <v>0</v>
      </c>
      <c r="I1720" t="n">
        <v>0</v>
      </c>
      <c r="J1720" t="n">
        <v>0</v>
      </c>
      <c r="K1720" t="n">
        <v>0</v>
      </c>
      <c r="L1720" t="n">
        <v>0</v>
      </c>
      <c r="M1720" t="n">
        <v>0</v>
      </c>
      <c r="N1720" t="n">
        <v>0</v>
      </c>
      <c r="O1720" t="n">
        <v>0</v>
      </c>
      <c r="P1720" t="n">
        <v>0</v>
      </c>
      <c r="Q1720" t="n">
        <v>0</v>
      </c>
      <c r="R1720" s="2" t="inlineStr"/>
    </row>
    <row r="1721" ht="15" customHeight="1">
      <c r="A1721" t="inlineStr">
        <is>
          <t>A 17252-2019</t>
        </is>
      </c>
      <c r="B1721" s="1" t="n">
        <v>43552</v>
      </c>
      <c r="C1721" s="1" t="n">
        <v>45182</v>
      </c>
      <c r="D1721" t="inlineStr">
        <is>
          <t>JÄMTLANDS LÄN</t>
        </is>
      </c>
      <c r="E1721" t="inlineStr">
        <is>
          <t>RAGUNDA</t>
        </is>
      </c>
      <c r="G1721" t="n">
        <v>3.6</v>
      </c>
      <c r="H1721" t="n">
        <v>0</v>
      </c>
      <c r="I1721" t="n">
        <v>0</v>
      </c>
      <c r="J1721" t="n">
        <v>0</v>
      </c>
      <c r="K1721" t="n">
        <v>0</v>
      </c>
      <c r="L1721" t="n">
        <v>0</v>
      </c>
      <c r="M1721" t="n">
        <v>0</v>
      </c>
      <c r="N1721" t="n">
        <v>0</v>
      </c>
      <c r="O1721" t="n">
        <v>0</v>
      </c>
      <c r="P1721" t="n">
        <v>0</v>
      </c>
      <c r="Q1721" t="n">
        <v>0</v>
      </c>
      <c r="R1721" s="2" t="inlineStr"/>
    </row>
    <row r="1722" ht="15" customHeight="1">
      <c r="A1722" t="inlineStr">
        <is>
          <t>A 17225-2019</t>
        </is>
      </c>
      <c r="B1722" s="1" t="n">
        <v>43552</v>
      </c>
      <c r="C1722" s="1" t="n">
        <v>45182</v>
      </c>
      <c r="D1722" t="inlineStr">
        <is>
          <t>JÄMTLANDS LÄN</t>
        </is>
      </c>
      <c r="E1722" t="inlineStr">
        <is>
          <t>STRÖMSUND</t>
        </is>
      </c>
      <c r="G1722" t="n">
        <v>7</v>
      </c>
      <c r="H1722" t="n">
        <v>0</v>
      </c>
      <c r="I1722" t="n">
        <v>0</v>
      </c>
      <c r="J1722" t="n">
        <v>0</v>
      </c>
      <c r="K1722" t="n">
        <v>0</v>
      </c>
      <c r="L1722" t="n">
        <v>0</v>
      </c>
      <c r="M1722" t="n">
        <v>0</v>
      </c>
      <c r="N1722" t="n">
        <v>0</v>
      </c>
      <c r="O1722" t="n">
        <v>0</v>
      </c>
      <c r="P1722" t="n">
        <v>0</v>
      </c>
      <c r="Q1722" t="n">
        <v>0</v>
      </c>
      <c r="R1722" s="2" t="inlineStr"/>
    </row>
    <row r="1723" ht="15" customHeight="1">
      <c r="A1723" t="inlineStr">
        <is>
          <t>A 17404-2019</t>
        </is>
      </c>
      <c r="B1723" s="1" t="n">
        <v>43552</v>
      </c>
      <c r="C1723" s="1" t="n">
        <v>45182</v>
      </c>
      <c r="D1723" t="inlineStr">
        <is>
          <t>JÄMTLANDS LÄN</t>
        </is>
      </c>
      <c r="E1723" t="inlineStr">
        <is>
          <t>ÅRE</t>
        </is>
      </c>
      <c r="G1723" t="n">
        <v>2.2</v>
      </c>
      <c r="H1723" t="n">
        <v>0</v>
      </c>
      <c r="I1723" t="n">
        <v>0</v>
      </c>
      <c r="J1723" t="n">
        <v>0</v>
      </c>
      <c r="K1723" t="n">
        <v>0</v>
      </c>
      <c r="L1723" t="n">
        <v>0</v>
      </c>
      <c r="M1723" t="n">
        <v>0</v>
      </c>
      <c r="N1723" t="n">
        <v>0</v>
      </c>
      <c r="O1723" t="n">
        <v>0</v>
      </c>
      <c r="P1723" t="n">
        <v>0</v>
      </c>
      <c r="Q1723" t="n">
        <v>0</v>
      </c>
      <c r="R1723" s="2" t="inlineStr"/>
    </row>
    <row r="1724" ht="15" customHeight="1">
      <c r="A1724" t="inlineStr">
        <is>
          <t>A 17528-2019</t>
        </is>
      </c>
      <c r="B1724" s="1" t="n">
        <v>43553</v>
      </c>
      <c r="C1724" s="1" t="n">
        <v>45182</v>
      </c>
      <c r="D1724" t="inlineStr">
        <is>
          <t>JÄMTLANDS LÄN</t>
        </is>
      </c>
      <c r="E1724" t="inlineStr">
        <is>
          <t>HÄRJEDALEN</t>
        </is>
      </c>
      <c r="F1724" t="inlineStr">
        <is>
          <t>Holmen skog AB</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17852-2019</t>
        </is>
      </c>
      <c r="B1725" s="1" t="n">
        <v>43556</v>
      </c>
      <c r="C1725" s="1" t="n">
        <v>45182</v>
      </c>
      <c r="D1725" t="inlineStr">
        <is>
          <t>JÄMTLANDS LÄN</t>
        </is>
      </c>
      <c r="E1725" t="inlineStr">
        <is>
          <t>BRÄCKE</t>
        </is>
      </c>
      <c r="G1725" t="n">
        <v>2.8</v>
      </c>
      <c r="H1725" t="n">
        <v>0</v>
      </c>
      <c r="I1725" t="n">
        <v>0</v>
      </c>
      <c r="J1725" t="n">
        <v>0</v>
      </c>
      <c r="K1725" t="n">
        <v>0</v>
      </c>
      <c r="L1725" t="n">
        <v>0</v>
      </c>
      <c r="M1725" t="n">
        <v>0</v>
      </c>
      <c r="N1725" t="n">
        <v>0</v>
      </c>
      <c r="O1725" t="n">
        <v>0</v>
      </c>
      <c r="P1725" t="n">
        <v>0</v>
      </c>
      <c r="Q1725" t="n">
        <v>0</v>
      </c>
      <c r="R1725" s="2" t="inlineStr"/>
    </row>
    <row r="1726" ht="15" customHeight="1">
      <c r="A1726" t="inlineStr">
        <is>
          <t>A 17791-2019</t>
        </is>
      </c>
      <c r="B1726" s="1" t="n">
        <v>43556</v>
      </c>
      <c r="C1726" s="1" t="n">
        <v>45182</v>
      </c>
      <c r="D1726" t="inlineStr">
        <is>
          <t>JÄMTLANDS LÄN</t>
        </is>
      </c>
      <c r="E1726" t="inlineStr">
        <is>
          <t>BERG</t>
        </is>
      </c>
      <c r="G1726" t="n">
        <v>14.3</v>
      </c>
      <c r="H1726" t="n">
        <v>0</v>
      </c>
      <c r="I1726" t="n">
        <v>0</v>
      </c>
      <c r="J1726" t="n">
        <v>0</v>
      </c>
      <c r="K1726" t="n">
        <v>0</v>
      </c>
      <c r="L1726" t="n">
        <v>0</v>
      </c>
      <c r="M1726" t="n">
        <v>0</v>
      </c>
      <c r="N1726" t="n">
        <v>0</v>
      </c>
      <c r="O1726" t="n">
        <v>0</v>
      </c>
      <c r="P1726" t="n">
        <v>0</v>
      </c>
      <c r="Q1726" t="n">
        <v>0</v>
      </c>
      <c r="R1726" s="2" t="inlineStr"/>
    </row>
    <row r="1727" ht="15" customHeight="1">
      <c r="A1727" t="inlineStr">
        <is>
          <t>A 17811-2019</t>
        </is>
      </c>
      <c r="B1727" s="1" t="n">
        <v>43556</v>
      </c>
      <c r="C1727" s="1" t="n">
        <v>45182</v>
      </c>
      <c r="D1727" t="inlineStr">
        <is>
          <t>JÄMTLANDS LÄN</t>
        </is>
      </c>
      <c r="E1727" t="inlineStr">
        <is>
          <t>HÄRJEDALEN</t>
        </is>
      </c>
      <c r="G1727" t="n">
        <v>10.3</v>
      </c>
      <c r="H1727" t="n">
        <v>0</v>
      </c>
      <c r="I1727" t="n">
        <v>0</v>
      </c>
      <c r="J1727" t="n">
        <v>0</v>
      </c>
      <c r="K1727" t="n">
        <v>0</v>
      </c>
      <c r="L1727" t="n">
        <v>0</v>
      </c>
      <c r="M1727" t="n">
        <v>0</v>
      </c>
      <c r="N1727" t="n">
        <v>0</v>
      </c>
      <c r="O1727" t="n">
        <v>0</v>
      </c>
      <c r="P1727" t="n">
        <v>0</v>
      </c>
      <c r="Q1727" t="n">
        <v>0</v>
      </c>
      <c r="R1727" s="2" t="inlineStr"/>
    </row>
    <row r="1728" ht="15" customHeight="1">
      <c r="A1728" t="inlineStr">
        <is>
          <t>A 17853-2019</t>
        </is>
      </c>
      <c r="B1728" s="1" t="n">
        <v>43556</v>
      </c>
      <c r="C1728" s="1" t="n">
        <v>45182</v>
      </c>
      <c r="D1728" t="inlineStr">
        <is>
          <t>JÄMTLANDS LÄN</t>
        </is>
      </c>
      <c r="E1728" t="inlineStr">
        <is>
          <t>KROKOM</t>
        </is>
      </c>
      <c r="F1728" t="inlineStr">
        <is>
          <t>SCA</t>
        </is>
      </c>
      <c r="G1728" t="n">
        <v>4.7</v>
      </c>
      <c r="H1728" t="n">
        <v>0</v>
      </c>
      <c r="I1728" t="n">
        <v>0</v>
      </c>
      <c r="J1728" t="n">
        <v>0</v>
      </c>
      <c r="K1728" t="n">
        <v>0</v>
      </c>
      <c r="L1728" t="n">
        <v>0</v>
      </c>
      <c r="M1728" t="n">
        <v>0</v>
      </c>
      <c r="N1728" t="n">
        <v>0</v>
      </c>
      <c r="O1728" t="n">
        <v>0</v>
      </c>
      <c r="P1728" t="n">
        <v>0</v>
      </c>
      <c r="Q1728" t="n">
        <v>0</v>
      </c>
      <c r="R1728" s="2" t="inlineStr"/>
    </row>
    <row r="1729" ht="15" customHeight="1">
      <c r="A1729" t="inlineStr">
        <is>
          <t>A 17917-2019</t>
        </is>
      </c>
      <c r="B1729" s="1" t="n">
        <v>43557</v>
      </c>
      <c r="C1729" s="1" t="n">
        <v>45182</v>
      </c>
      <c r="D1729" t="inlineStr">
        <is>
          <t>JÄMTLANDS LÄN</t>
        </is>
      </c>
      <c r="E1729" t="inlineStr">
        <is>
          <t>HÄRJEDALEN</t>
        </is>
      </c>
      <c r="F1729" t="inlineStr">
        <is>
          <t>Bergvik skog väst AB</t>
        </is>
      </c>
      <c r="G1729" t="n">
        <v>166.3</v>
      </c>
      <c r="H1729" t="n">
        <v>0</v>
      </c>
      <c r="I1729" t="n">
        <v>0</v>
      </c>
      <c r="J1729" t="n">
        <v>0</v>
      </c>
      <c r="K1729" t="n">
        <v>0</v>
      </c>
      <c r="L1729" t="n">
        <v>0</v>
      </c>
      <c r="M1729" t="n">
        <v>0</v>
      </c>
      <c r="N1729" t="n">
        <v>0</v>
      </c>
      <c r="O1729" t="n">
        <v>0</v>
      </c>
      <c r="P1729" t="n">
        <v>0</v>
      </c>
      <c r="Q1729" t="n">
        <v>0</v>
      </c>
      <c r="R1729" s="2" t="inlineStr"/>
    </row>
    <row r="1730" ht="15" customHeight="1">
      <c r="A1730" t="inlineStr">
        <is>
          <t>A 18058-2019</t>
        </is>
      </c>
      <c r="B1730" s="1" t="n">
        <v>43557</v>
      </c>
      <c r="C1730" s="1" t="n">
        <v>45182</v>
      </c>
      <c r="D1730" t="inlineStr">
        <is>
          <t>JÄMTLANDS LÄN</t>
        </is>
      </c>
      <c r="E1730" t="inlineStr">
        <is>
          <t>STRÖMSUND</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17986-2019</t>
        </is>
      </c>
      <c r="B1731" s="1" t="n">
        <v>43557</v>
      </c>
      <c r="C1731" s="1" t="n">
        <v>45182</v>
      </c>
      <c r="D1731" t="inlineStr">
        <is>
          <t>JÄMTLANDS LÄN</t>
        </is>
      </c>
      <c r="E1731" t="inlineStr">
        <is>
          <t>HÄRJEDALEN</t>
        </is>
      </c>
      <c r="F1731" t="inlineStr">
        <is>
          <t>Kyrkan</t>
        </is>
      </c>
      <c r="G1731" t="n">
        <v>17.5</v>
      </c>
      <c r="H1731" t="n">
        <v>0</v>
      </c>
      <c r="I1731" t="n">
        <v>0</v>
      </c>
      <c r="J1731" t="n">
        <v>0</v>
      </c>
      <c r="K1731" t="n">
        <v>0</v>
      </c>
      <c r="L1731" t="n">
        <v>0</v>
      </c>
      <c r="M1731" t="n">
        <v>0</v>
      </c>
      <c r="N1731" t="n">
        <v>0</v>
      </c>
      <c r="O1731" t="n">
        <v>0</v>
      </c>
      <c r="P1731" t="n">
        <v>0</v>
      </c>
      <c r="Q1731" t="n">
        <v>0</v>
      </c>
      <c r="R1731" s="2" t="inlineStr"/>
    </row>
    <row r="1732" ht="15" customHeight="1">
      <c r="A1732" t="inlineStr">
        <is>
          <t>A 18057-2019</t>
        </is>
      </c>
      <c r="B1732" s="1" t="n">
        <v>43557</v>
      </c>
      <c r="C1732" s="1" t="n">
        <v>45182</v>
      </c>
      <c r="D1732" t="inlineStr">
        <is>
          <t>JÄMTLANDS LÄN</t>
        </is>
      </c>
      <c r="E1732" t="inlineStr">
        <is>
          <t>STRÖMSUND</t>
        </is>
      </c>
      <c r="G1732" t="n">
        <v>1.3</v>
      </c>
      <c r="H1732" t="n">
        <v>0</v>
      </c>
      <c r="I1732" t="n">
        <v>0</v>
      </c>
      <c r="J1732" t="n">
        <v>0</v>
      </c>
      <c r="K1732" t="n">
        <v>0</v>
      </c>
      <c r="L1732" t="n">
        <v>0</v>
      </c>
      <c r="M1732" t="n">
        <v>0</v>
      </c>
      <c r="N1732" t="n">
        <v>0</v>
      </c>
      <c r="O1732" t="n">
        <v>0</v>
      </c>
      <c r="P1732" t="n">
        <v>0</v>
      </c>
      <c r="Q1732" t="n">
        <v>0</v>
      </c>
      <c r="R1732" s="2" t="inlineStr"/>
    </row>
    <row r="1733" ht="15" customHeight="1">
      <c r="A1733" t="inlineStr">
        <is>
          <t>A 18183-2019</t>
        </is>
      </c>
      <c r="B1733" s="1" t="n">
        <v>43558</v>
      </c>
      <c r="C1733" s="1" t="n">
        <v>45182</v>
      </c>
      <c r="D1733" t="inlineStr">
        <is>
          <t>JÄMTLANDS LÄN</t>
        </is>
      </c>
      <c r="E1733" t="inlineStr">
        <is>
          <t>KROKOM</t>
        </is>
      </c>
      <c r="G1733" t="n">
        <v>5.3</v>
      </c>
      <c r="H1733" t="n">
        <v>0</v>
      </c>
      <c r="I1733" t="n">
        <v>0</v>
      </c>
      <c r="J1733" t="n">
        <v>0</v>
      </c>
      <c r="K1733" t="n">
        <v>0</v>
      </c>
      <c r="L1733" t="n">
        <v>0</v>
      </c>
      <c r="M1733" t="n">
        <v>0</v>
      </c>
      <c r="N1733" t="n">
        <v>0</v>
      </c>
      <c r="O1733" t="n">
        <v>0</v>
      </c>
      <c r="P1733" t="n">
        <v>0</v>
      </c>
      <c r="Q1733" t="n">
        <v>0</v>
      </c>
      <c r="R1733" s="2" t="inlineStr"/>
    </row>
    <row r="1734" ht="15" customHeight="1">
      <c r="A1734" t="inlineStr">
        <is>
          <t>A 18397-2019</t>
        </is>
      </c>
      <c r="B1734" s="1" t="n">
        <v>43559</v>
      </c>
      <c r="C1734" s="1" t="n">
        <v>45182</v>
      </c>
      <c r="D1734" t="inlineStr">
        <is>
          <t>JÄMTLANDS LÄN</t>
        </is>
      </c>
      <c r="E1734" t="inlineStr">
        <is>
          <t>KROKOM</t>
        </is>
      </c>
      <c r="G1734" t="n">
        <v>2.8</v>
      </c>
      <c r="H1734" t="n">
        <v>0</v>
      </c>
      <c r="I1734" t="n">
        <v>0</v>
      </c>
      <c r="J1734" t="n">
        <v>0</v>
      </c>
      <c r="K1734" t="n">
        <v>0</v>
      </c>
      <c r="L1734" t="n">
        <v>0</v>
      </c>
      <c r="M1734" t="n">
        <v>0</v>
      </c>
      <c r="N1734" t="n">
        <v>0</v>
      </c>
      <c r="O1734" t="n">
        <v>0</v>
      </c>
      <c r="P1734" t="n">
        <v>0</v>
      </c>
      <c r="Q1734" t="n">
        <v>0</v>
      </c>
      <c r="R1734" s="2" t="inlineStr"/>
    </row>
    <row r="1735" ht="15" customHeight="1">
      <c r="A1735" t="inlineStr">
        <is>
          <t>A 18407-2019</t>
        </is>
      </c>
      <c r="B1735" s="1" t="n">
        <v>43559</v>
      </c>
      <c r="C1735" s="1" t="n">
        <v>45182</v>
      </c>
      <c r="D1735" t="inlineStr">
        <is>
          <t>JÄMTLANDS LÄN</t>
        </is>
      </c>
      <c r="E1735" t="inlineStr">
        <is>
          <t>KROKOM</t>
        </is>
      </c>
      <c r="G1735" t="n">
        <v>43.1</v>
      </c>
      <c r="H1735" t="n">
        <v>0</v>
      </c>
      <c r="I1735" t="n">
        <v>0</v>
      </c>
      <c r="J1735" t="n">
        <v>0</v>
      </c>
      <c r="K1735" t="n">
        <v>0</v>
      </c>
      <c r="L1735" t="n">
        <v>0</v>
      </c>
      <c r="M1735" t="n">
        <v>0</v>
      </c>
      <c r="N1735" t="n">
        <v>0</v>
      </c>
      <c r="O1735" t="n">
        <v>0</v>
      </c>
      <c r="P1735" t="n">
        <v>0</v>
      </c>
      <c r="Q1735" t="n">
        <v>0</v>
      </c>
      <c r="R1735" s="2" t="inlineStr"/>
    </row>
    <row r="1736" ht="15" customHeight="1">
      <c r="A1736" t="inlineStr">
        <is>
          <t>A 18539-2019</t>
        </is>
      </c>
      <c r="B1736" s="1" t="n">
        <v>43559</v>
      </c>
      <c r="C1736" s="1" t="n">
        <v>45182</v>
      </c>
      <c r="D1736" t="inlineStr">
        <is>
          <t>JÄMTLANDS LÄN</t>
        </is>
      </c>
      <c r="E1736" t="inlineStr">
        <is>
          <t>HÄRJEDALEN</t>
        </is>
      </c>
      <c r="G1736" t="n">
        <v>1.7</v>
      </c>
      <c r="H1736" t="n">
        <v>0</v>
      </c>
      <c r="I1736" t="n">
        <v>0</v>
      </c>
      <c r="J1736" t="n">
        <v>0</v>
      </c>
      <c r="K1736" t="n">
        <v>0</v>
      </c>
      <c r="L1736" t="n">
        <v>0</v>
      </c>
      <c r="M1736" t="n">
        <v>0</v>
      </c>
      <c r="N1736" t="n">
        <v>0</v>
      </c>
      <c r="O1736" t="n">
        <v>0</v>
      </c>
      <c r="P1736" t="n">
        <v>0</v>
      </c>
      <c r="Q1736" t="n">
        <v>0</v>
      </c>
      <c r="R1736" s="2" t="inlineStr"/>
    </row>
    <row r="1737" ht="15" customHeight="1">
      <c r="A1737" t="inlineStr">
        <is>
          <t>A 18565-2019</t>
        </is>
      </c>
      <c r="B1737" s="1" t="n">
        <v>43559</v>
      </c>
      <c r="C1737" s="1" t="n">
        <v>45182</v>
      </c>
      <c r="D1737" t="inlineStr">
        <is>
          <t>JÄMTLANDS LÄN</t>
        </is>
      </c>
      <c r="E1737" t="inlineStr">
        <is>
          <t>KROKOM</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18477-2019</t>
        </is>
      </c>
      <c r="B1738" s="1" t="n">
        <v>43559</v>
      </c>
      <c r="C1738" s="1" t="n">
        <v>45182</v>
      </c>
      <c r="D1738" t="inlineStr">
        <is>
          <t>JÄMTLANDS LÄN</t>
        </is>
      </c>
      <c r="E1738" t="inlineStr">
        <is>
          <t>KROKOM</t>
        </is>
      </c>
      <c r="G1738" t="n">
        <v>3</v>
      </c>
      <c r="H1738" t="n">
        <v>0</v>
      </c>
      <c r="I1738" t="n">
        <v>0</v>
      </c>
      <c r="J1738" t="n">
        <v>0</v>
      </c>
      <c r="K1738" t="n">
        <v>0</v>
      </c>
      <c r="L1738" t="n">
        <v>0</v>
      </c>
      <c r="M1738" t="n">
        <v>0</v>
      </c>
      <c r="N1738" t="n">
        <v>0</v>
      </c>
      <c r="O1738" t="n">
        <v>0</v>
      </c>
      <c r="P1738" t="n">
        <v>0</v>
      </c>
      <c r="Q1738" t="n">
        <v>0</v>
      </c>
      <c r="R1738" s="2" t="inlineStr"/>
    </row>
    <row r="1739" ht="15" customHeight="1">
      <c r="A1739" t="inlineStr">
        <is>
          <t>A 18648-2019</t>
        </is>
      </c>
      <c r="B1739" s="1" t="n">
        <v>43560</v>
      </c>
      <c r="C1739" s="1" t="n">
        <v>45182</v>
      </c>
      <c r="D1739" t="inlineStr">
        <is>
          <t>JÄMTLANDS LÄN</t>
        </is>
      </c>
      <c r="E1739" t="inlineStr">
        <is>
          <t>HÄRJEDALEN</t>
        </is>
      </c>
      <c r="G1739" t="n">
        <v>5.5</v>
      </c>
      <c r="H1739" t="n">
        <v>0</v>
      </c>
      <c r="I1739" t="n">
        <v>0</v>
      </c>
      <c r="J1739" t="n">
        <v>0</v>
      </c>
      <c r="K1739" t="n">
        <v>0</v>
      </c>
      <c r="L1739" t="n">
        <v>0</v>
      </c>
      <c r="M1739" t="n">
        <v>0</v>
      </c>
      <c r="N1739" t="n">
        <v>0</v>
      </c>
      <c r="O1739" t="n">
        <v>0</v>
      </c>
      <c r="P1739" t="n">
        <v>0</v>
      </c>
      <c r="Q1739" t="n">
        <v>0</v>
      </c>
      <c r="R1739" s="2" t="inlineStr"/>
    </row>
    <row r="1740" ht="15" customHeight="1">
      <c r="A1740" t="inlineStr">
        <is>
          <t>A 18602-2019</t>
        </is>
      </c>
      <c r="B1740" s="1" t="n">
        <v>43560</v>
      </c>
      <c r="C1740" s="1" t="n">
        <v>45182</v>
      </c>
      <c r="D1740" t="inlineStr">
        <is>
          <t>JÄMTLANDS LÄN</t>
        </is>
      </c>
      <c r="E1740" t="inlineStr">
        <is>
          <t>KROKOM</t>
        </is>
      </c>
      <c r="G1740" t="n">
        <v>1.7</v>
      </c>
      <c r="H1740" t="n">
        <v>0</v>
      </c>
      <c r="I1740" t="n">
        <v>0</v>
      </c>
      <c r="J1740" t="n">
        <v>0</v>
      </c>
      <c r="K1740" t="n">
        <v>0</v>
      </c>
      <c r="L1740" t="n">
        <v>0</v>
      </c>
      <c r="M1740" t="n">
        <v>0</v>
      </c>
      <c r="N1740" t="n">
        <v>0</v>
      </c>
      <c r="O1740" t="n">
        <v>0</v>
      </c>
      <c r="P1740" t="n">
        <v>0</v>
      </c>
      <c r="Q1740" t="n">
        <v>0</v>
      </c>
      <c r="R1740" s="2" t="inlineStr"/>
    </row>
    <row r="1741" ht="15" customHeight="1">
      <c r="A1741" t="inlineStr">
        <is>
          <t>A 18847-2019</t>
        </is>
      </c>
      <c r="B1741" s="1" t="n">
        <v>43563</v>
      </c>
      <c r="C1741" s="1" t="n">
        <v>45182</v>
      </c>
      <c r="D1741" t="inlineStr">
        <is>
          <t>JÄMTLANDS LÄN</t>
        </is>
      </c>
      <c r="E1741" t="inlineStr">
        <is>
          <t>KROKOM</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19114-2019</t>
        </is>
      </c>
      <c r="B1742" s="1" t="n">
        <v>43563</v>
      </c>
      <c r="C1742" s="1" t="n">
        <v>45182</v>
      </c>
      <c r="D1742" t="inlineStr">
        <is>
          <t>JÄMTLANDS LÄN</t>
        </is>
      </c>
      <c r="E1742" t="inlineStr">
        <is>
          <t>HÄRJEDALEN</t>
        </is>
      </c>
      <c r="G1742" t="n">
        <v>0.6</v>
      </c>
      <c r="H1742" t="n">
        <v>0</v>
      </c>
      <c r="I1742" t="n">
        <v>0</v>
      </c>
      <c r="J1742" t="n">
        <v>0</v>
      </c>
      <c r="K1742" t="n">
        <v>0</v>
      </c>
      <c r="L1742" t="n">
        <v>0</v>
      </c>
      <c r="M1742" t="n">
        <v>0</v>
      </c>
      <c r="N1742" t="n">
        <v>0</v>
      </c>
      <c r="O1742" t="n">
        <v>0</v>
      </c>
      <c r="P1742" t="n">
        <v>0</v>
      </c>
      <c r="Q1742" t="n">
        <v>0</v>
      </c>
      <c r="R1742" s="2" t="inlineStr"/>
    </row>
    <row r="1743" ht="15" customHeight="1">
      <c r="A1743" t="inlineStr">
        <is>
          <t>A 18831-2019</t>
        </is>
      </c>
      <c r="B1743" s="1" t="n">
        <v>43563</v>
      </c>
      <c r="C1743" s="1" t="n">
        <v>45182</v>
      </c>
      <c r="D1743" t="inlineStr">
        <is>
          <t>JÄMTLANDS LÄN</t>
        </is>
      </c>
      <c r="E1743" t="inlineStr">
        <is>
          <t>KROKOM</t>
        </is>
      </c>
      <c r="G1743" t="n">
        <v>2.5</v>
      </c>
      <c r="H1743" t="n">
        <v>0</v>
      </c>
      <c r="I1743" t="n">
        <v>0</v>
      </c>
      <c r="J1743" t="n">
        <v>0</v>
      </c>
      <c r="K1743" t="n">
        <v>0</v>
      </c>
      <c r="L1743" t="n">
        <v>0</v>
      </c>
      <c r="M1743" t="n">
        <v>0</v>
      </c>
      <c r="N1743" t="n">
        <v>0</v>
      </c>
      <c r="O1743" t="n">
        <v>0</v>
      </c>
      <c r="P1743" t="n">
        <v>0</v>
      </c>
      <c r="Q1743" t="n">
        <v>0</v>
      </c>
      <c r="R1743" s="2" t="inlineStr"/>
    </row>
    <row r="1744" ht="15" customHeight="1">
      <c r="A1744" t="inlineStr">
        <is>
          <t>A 19077-2019</t>
        </is>
      </c>
      <c r="B1744" s="1" t="n">
        <v>43563</v>
      </c>
      <c r="C1744" s="1" t="n">
        <v>45182</v>
      </c>
      <c r="D1744" t="inlineStr">
        <is>
          <t>JÄMTLANDS LÄN</t>
        </is>
      </c>
      <c r="E1744" t="inlineStr">
        <is>
          <t>RAGUNDA</t>
        </is>
      </c>
      <c r="G1744" t="n">
        <v>11.5</v>
      </c>
      <c r="H1744" t="n">
        <v>0</v>
      </c>
      <c r="I1744" t="n">
        <v>0</v>
      </c>
      <c r="J1744" t="n">
        <v>0</v>
      </c>
      <c r="K1744" t="n">
        <v>0</v>
      </c>
      <c r="L1744" t="n">
        <v>0</v>
      </c>
      <c r="M1744" t="n">
        <v>0</v>
      </c>
      <c r="N1744" t="n">
        <v>0</v>
      </c>
      <c r="O1744" t="n">
        <v>0</v>
      </c>
      <c r="P1744" t="n">
        <v>0</v>
      </c>
      <c r="Q1744" t="n">
        <v>0</v>
      </c>
      <c r="R1744" s="2" t="inlineStr"/>
    </row>
    <row r="1745" ht="15" customHeight="1">
      <c r="A1745" t="inlineStr">
        <is>
          <t>A 19152-2019</t>
        </is>
      </c>
      <c r="B1745" s="1" t="n">
        <v>43564</v>
      </c>
      <c r="C1745" s="1" t="n">
        <v>45182</v>
      </c>
      <c r="D1745" t="inlineStr">
        <is>
          <t>JÄMTLANDS LÄN</t>
        </is>
      </c>
      <c r="E1745" t="inlineStr">
        <is>
          <t>KROKOM</t>
        </is>
      </c>
      <c r="G1745" t="n">
        <v>4.1</v>
      </c>
      <c r="H1745" t="n">
        <v>0</v>
      </c>
      <c r="I1745" t="n">
        <v>0</v>
      </c>
      <c r="J1745" t="n">
        <v>0</v>
      </c>
      <c r="K1745" t="n">
        <v>0</v>
      </c>
      <c r="L1745" t="n">
        <v>0</v>
      </c>
      <c r="M1745" t="n">
        <v>0</v>
      </c>
      <c r="N1745" t="n">
        <v>0</v>
      </c>
      <c r="O1745" t="n">
        <v>0</v>
      </c>
      <c r="P1745" t="n">
        <v>0</v>
      </c>
      <c r="Q1745" t="n">
        <v>0</v>
      </c>
      <c r="R1745" s="2" t="inlineStr"/>
    </row>
    <row r="1746" ht="15" customHeight="1">
      <c r="A1746" t="inlineStr">
        <is>
          <t>A 19325-2019</t>
        </is>
      </c>
      <c r="B1746" s="1" t="n">
        <v>43565</v>
      </c>
      <c r="C1746" s="1" t="n">
        <v>45182</v>
      </c>
      <c r="D1746" t="inlineStr">
        <is>
          <t>JÄMTLANDS LÄN</t>
        </is>
      </c>
      <c r="E1746" t="inlineStr">
        <is>
          <t>KROKOM</t>
        </is>
      </c>
      <c r="G1746" t="n">
        <v>1.8</v>
      </c>
      <c r="H1746" t="n">
        <v>0</v>
      </c>
      <c r="I1746" t="n">
        <v>0</v>
      </c>
      <c r="J1746" t="n">
        <v>0</v>
      </c>
      <c r="K1746" t="n">
        <v>0</v>
      </c>
      <c r="L1746" t="n">
        <v>0</v>
      </c>
      <c r="M1746" t="n">
        <v>0</v>
      </c>
      <c r="N1746" t="n">
        <v>0</v>
      </c>
      <c r="O1746" t="n">
        <v>0</v>
      </c>
      <c r="P1746" t="n">
        <v>0</v>
      </c>
      <c r="Q1746" t="n">
        <v>0</v>
      </c>
      <c r="R1746" s="2" t="inlineStr"/>
    </row>
    <row r="1747" ht="15" customHeight="1">
      <c r="A1747" t="inlineStr">
        <is>
          <t>A 19543-2019</t>
        </is>
      </c>
      <c r="B1747" s="1" t="n">
        <v>43565</v>
      </c>
      <c r="C1747" s="1" t="n">
        <v>45182</v>
      </c>
      <c r="D1747" t="inlineStr">
        <is>
          <t>JÄMTLANDS LÄN</t>
        </is>
      </c>
      <c r="E1747" t="inlineStr">
        <is>
          <t>RAGUNDA</t>
        </is>
      </c>
      <c r="G1747" t="n">
        <v>2.3</v>
      </c>
      <c r="H1747" t="n">
        <v>0</v>
      </c>
      <c r="I1747" t="n">
        <v>0</v>
      </c>
      <c r="J1747" t="n">
        <v>0</v>
      </c>
      <c r="K1747" t="n">
        <v>0</v>
      </c>
      <c r="L1747" t="n">
        <v>0</v>
      </c>
      <c r="M1747" t="n">
        <v>0</v>
      </c>
      <c r="N1747" t="n">
        <v>0</v>
      </c>
      <c r="O1747" t="n">
        <v>0</v>
      </c>
      <c r="P1747" t="n">
        <v>0</v>
      </c>
      <c r="Q1747" t="n">
        <v>0</v>
      </c>
      <c r="R1747" s="2" t="inlineStr"/>
    </row>
    <row r="1748" ht="15" customHeight="1">
      <c r="A1748" t="inlineStr">
        <is>
          <t>A 19559-2019</t>
        </is>
      </c>
      <c r="B1748" s="1" t="n">
        <v>43565</v>
      </c>
      <c r="C1748" s="1" t="n">
        <v>45182</v>
      </c>
      <c r="D1748" t="inlineStr">
        <is>
          <t>JÄMTLANDS LÄN</t>
        </is>
      </c>
      <c r="E1748" t="inlineStr">
        <is>
          <t>BRÄCKE</t>
        </is>
      </c>
      <c r="F1748" t="inlineStr">
        <is>
          <t>SCA</t>
        </is>
      </c>
      <c r="G1748" t="n">
        <v>2.3</v>
      </c>
      <c r="H1748" t="n">
        <v>0</v>
      </c>
      <c r="I1748" t="n">
        <v>0</v>
      </c>
      <c r="J1748" t="n">
        <v>0</v>
      </c>
      <c r="K1748" t="n">
        <v>0</v>
      </c>
      <c r="L1748" t="n">
        <v>0</v>
      </c>
      <c r="M1748" t="n">
        <v>0</v>
      </c>
      <c r="N1748" t="n">
        <v>0</v>
      </c>
      <c r="O1748" t="n">
        <v>0</v>
      </c>
      <c r="P1748" t="n">
        <v>0</v>
      </c>
      <c r="Q1748" t="n">
        <v>0</v>
      </c>
      <c r="R1748" s="2" t="inlineStr"/>
    </row>
    <row r="1749" ht="15" customHeight="1">
      <c r="A1749" t="inlineStr">
        <is>
          <t>A 19708-2019</t>
        </is>
      </c>
      <c r="B1749" s="1" t="n">
        <v>43566</v>
      </c>
      <c r="C1749" s="1" t="n">
        <v>45182</v>
      </c>
      <c r="D1749" t="inlineStr">
        <is>
          <t>JÄMTLANDS LÄN</t>
        </is>
      </c>
      <c r="E1749" t="inlineStr">
        <is>
          <t>KROKOM</t>
        </is>
      </c>
      <c r="G1749" t="n">
        <v>8.9</v>
      </c>
      <c r="H1749" t="n">
        <v>0</v>
      </c>
      <c r="I1749" t="n">
        <v>0</v>
      </c>
      <c r="J1749" t="n">
        <v>0</v>
      </c>
      <c r="K1749" t="n">
        <v>0</v>
      </c>
      <c r="L1749" t="n">
        <v>0</v>
      </c>
      <c r="M1749" t="n">
        <v>0</v>
      </c>
      <c r="N1749" t="n">
        <v>0</v>
      </c>
      <c r="O1749" t="n">
        <v>0</v>
      </c>
      <c r="P1749" t="n">
        <v>0</v>
      </c>
      <c r="Q1749" t="n">
        <v>0</v>
      </c>
      <c r="R1749" s="2" t="inlineStr"/>
    </row>
    <row r="1750" ht="15" customHeight="1">
      <c r="A1750" t="inlineStr">
        <is>
          <t>A 19926-2019</t>
        </is>
      </c>
      <c r="B1750" s="1" t="n">
        <v>43567</v>
      </c>
      <c r="C1750" s="1" t="n">
        <v>45182</v>
      </c>
      <c r="D1750" t="inlineStr">
        <is>
          <t>JÄMTLANDS LÄN</t>
        </is>
      </c>
      <c r="E1750" t="inlineStr">
        <is>
          <t>BRÄCKE</t>
        </is>
      </c>
      <c r="F1750" t="inlineStr">
        <is>
          <t>SCA</t>
        </is>
      </c>
      <c r="G1750" t="n">
        <v>18.6</v>
      </c>
      <c r="H1750" t="n">
        <v>0</v>
      </c>
      <c r="I1750" t="n">
        <v>0</v>
      </c>
      <c r="J1750" t="n">
        <v>0</v>
      </c>
      <c r="K1750" t="n">
        <v>0</v>
      </c>
      <c r="L1750" t="n">
        <v>0</v>
      </c>
      <c r="M1750" t="n">
        <v>0</v>
      </c>
      <c r="N1750" t="n">
        <v>0</v>
      </c>
      <c r="O1750" t="n">
        <v>0</v>
      </c>
      <c r="P1750" t="n">
        <v>0</v>
      </c>
      <c r="Q1750" t="n">
        <v>0</v>
      </c>
      <c r="R1750" s="2" t="inlineStr"/>
    </row>
    <row r="1751" ht="15" customHeight="1">
      <c r="A1751" t="inlineStr">
        <is>
          <t>A 19864-2019</t>
        </is>
      </c>
      <c r="B1751" s="1" t="n">
        <v>43567</v>
      </c>
      <c r="C1751" s="1" t="n">
        <v>45182</v>
      </c>
      <c r="D1751" t="inlineStr">
        <is>
          <t>JÄMTLANDS LÄN</t>
        </is>
      </c>
      <c r="E1751" t="inlineStr">
        <is>
          <t>HÄRJEDALEN</t>
        </is>
      </c>
      <c r="G1751" t="n">
        <v>2.6</v>
      </c>
      <c r="H1751" t="n">
        <v>0</v>
      </c>
      <c r="I1751" t="n">
        <v>0</v>
      </c>
      <c r="J1751" t="n">
        <v>0</v>
      </c>
      <c r="K1751" t="n">
        <v>0</v>
      </c>
      <c r="L1751" t="n">
        <v>0</v>
      </c>
      <c r="M1751" t="n">
        <v>0</v>
      </c>
      <c r="N1751" t="n">
        <v>0</v>
      </c>
      <c r="O1751" t="n">
        <v>0</v>
      </c>
      <c r="P1751" t="n">
        <v>0</v>
      </c>
      <c r="Q1751" t="n">
        <v>0</v>
      </c>
      <c r="R1751" s="2" t="inlineStr"/>
    </row>
    <row r="1752" ht="15" customHeight="1">
      <c r="A1752" t="inlineStr">
        <is>
          <t>A 19925-2019</t>
        </is>
      </c>
      <c r="B1752" s="1" t="n">
        <v>43567</v>
      </c>
      <c r="C1752" s="1" t="n">
        <v>45182</v>
      </c>
      <c r="D1752" t="inlineStr">
        <is>
          <t>JÄMTLANDS LÄN</t>
        </is>
      </c>
      <c r="E1752" t="inlineStr">
        <is>
          <t>BRÄCKE</t>
        </is>
      </c>
      <c r="F1752" t="inlineStr">
        <is>
          <t>SCA</t>
        </is>
      </c>
      <c r="G1752" t="n">
        <v>20</v>
      </c>
      <c r="H1752" t="n">
        <v>0</v>
      </c>
      <c r="I1752" t="n">
        <v>0</v>
      </c>
      <c r="J1752" t="n">
        <v>0</v>
      </c>
      <c r="K1752" t="n">
        <v>0</v>
      </c>
      <c r="L1752" t="n">
        <v>0</v>
      </c>
      <c r="M1752" t="n">
        <v>0</v>
      </c>
      <c r="N1752" t="n">
        <v>0</v>
      </c>
      <c r="O1752" t="n">
        <v>0</v>
      </c>
      <c r="P1752" t="n">
        <v>0</v>
      </c>
      <c r="Q1752" t="n">
        <v>0</v>
      </c>
      <c r="R1752" s="2" t="inlineStr"/>
    </row>
    <row r="1753" ht="15" customHeight="1">
      <c r="A1753" t="inlineStr">
        <is>
          <t>A 20063-2019</t>
        </is>
      </c>
      <c r="B1753" s="1" t="n">
        <v>43567</v>
      </c>
      <c r="C1753" s="1" t="n">
        <v>45182</v>
      </c>
      <c r="D1753" t="inlineStr">
        <is>
          <t>JÄMTLANDS LÄN</t>
        </is>
      </c>
      <c r="E1753" t="inlineStr">
        <is>
          <t>HÄRJEDALEN</t>
        </is>
      </c>
      <c r="F1753" t="inlineStr">
        <is>
          <t>Bergvik skog väst AB</t>
        </is>
      </c>
      <c r="G1753" t="n">
        <v>0.6</v>
      </c>
      <c r="H1753" t="n">
        <v>0</v>
      </c>
      <c r="I1753" t="n">
        <v>0</v>
      </c>
      <c r="J1753" t="n">
        <v>0</v>
      </c>
      <c r="K1753" t="n">
        <v>0</v>
      </c>
      <c r="L1753" t="n">
        <v>0</v>
      </c>
      <c r="M1753" t="n">
        <v>0</v>
      </c>
      <c r="N1753" t="n">
        <v>0</v>
      </c>
      <c r="O1753" t="n">
        <v>0</v>
      </c>
      <c r="P1753" t="n">
        <v>0</v>
      </c>
      <c r="Q1753" t="n">
        <v>0</v>
      </c>
      <c r="R1753" s="2" t="inlineStr"/>
    </row>
    <row r="1754" ht="15" customHeight="1">
      <c r="A1754" t="inlineStr">
        <is>
          <t>A 19927-2019</t>
        </is>
      </c>
      <c r="B1754" s="1" t="n">
        <v>43567</v>
      </c>
      <c r="C1754" s="1" t="n">
        <v>45182</v>
      </c>
      <c r="D1754" t="inlineStr">
        <is>
          <t>JÄMTLANDS LÄN</t>
        </is>
      </c>
      <c r="E1754" t="inlineStr">
        <is>
          <t>BRÄCKE</t>
        </is>
      </c>
      <c r="F1754" t="inlineStr">
        <is>
          <t>SCA</t>
        </is>
      </c>
      <c r="G1754" t="n">
        <v>3.7</v>
      </c>
      <c r="H1754" t="n">
        <v>0</v>
      </c>
      <c r="I1754" t="n">
        <v>0</v>
      </c>
      <c r="J1754" t="n">
        <v>0</v>
      </c>
      <c r="K1754" t="n">
        <v>0</v>
      </c>
      <c r="L1754" t="n">
        <v>0</v>
      </c>
      <c r="M1754" t="n">
        <v>0</v>
      </c>
      <c r="N1754" t="n">
        <v>0</v>
      </c>
      <c r="O1754" t="n">
        <v>0</v>
      </c>
      <c r="P1754" t="n">
        <v>0</v>
      </c>
      <c r="Q1754" t="n">
        <v>0</v>
      </c>
      <c r="R1754" s="2" t="inlineStr"/>
    </row>
    <row r="1755" ht="15" customHeight="1">
      <c r="A1755" t="inlineStr">
        <is>
          <t>A 20186-2019</t>
        </is>
      </c>
      <c r="B1755" s="1" t="n">
        <v>43570</v>
      </c>
      <c r="C1755" s="1" t="n">
        <v>45182</v>
      </c>
      <c r="D1755" t="inlineStr">
        <is>
          <t>JÄMTLANDS LÄN</t>
        </is>
      </c>
      <c r="E1755" t="inlineStr">
        <is>
          <t>BRÄCKE</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20319-2019</t>
        </is>
      </c>
      <c r="B1756" s="1" t="n">
        <v>43571</v>
      </c>
      <c r="C1756" s="1" t="n">
        <v>45182</v>
      </c>
      <c r="D1756" t="inlineStr">
        <is>
          <t>JÄMTLANDS LÄN</t>
        </is>
      </c>
      <c r="E1756" t="inlineStr">
        <is>
          <t>ÖSTERSUND</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20378-2019</t>
        </is>
      </c>
      <c r="B1757" s="1" t="n">
        <v>43571</v>
      </c>
      <c r="C1757" s="1" t="n">
        <v>45182</v>
      </c>
      <c r="D1757" t="inlineStr">
        <is>
          <t>JÄMTLANDS LÄN</t>
        </is>
      </c>
      <c r="E1757" t="inlineStr">
        <is>
          <t>KROKOM</t>
        </is>
      </c>
      <c r="G1757" t="n">
        <v>2.7</v>
      </c>
      <c r="H1757" t="n">
        <v>0</v>
      </c>
      <c r="I1757" t="n">
        <v>0</v>
      </c>
      <c r="J1757" t="n">
        <v>0</v>
      </c>
      <c r="K1757" t="n">
        <v>0</v>
      </c>
      <c r="L1757" t="n">
        <v>0</v>
      </c>
      <c r="M1757" t="n">
        <v>0</v>
      </c>
      <c r="N1757" t="n">
        <v>0</v>
      </c>
      <c r="O1757" t="n">
        <v>0</v>
      </c>
      <c r="P1757" t="n">
        <v>0</v>
      </c>
      <c r="Q1757" t="n">
        <v>0</v>
      </c>
      <c r="R1757" s="2" t="inlineStr"/>
    </row>
    <row r="1758" ht="15" customHeight="1">
      <c r="A1758" t="inlineStr">
        <is>
          <t>A 20390-2019</t>
        </is>
      </c>
      <c r="B1758" s="1" t="n">
        <v>43571</v>
      </c>
      <c r="C1758" s="1" t="n">
        <v>45182</v>
      </c>
      <c r="D1758" t="inlineStr">
        <is>
          <t>JÄMTLANDS LÄN</t>
        </is>
      </c>
      <c r="E1758" t="inlineStr">
        <is>
          <t>BRÄCKE</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20403-2019</t>
        </is>
      </c>
      <c r="B1759" s="1" t="n">
        <v>43571</v>
      </c>
      <c r="C1759" s="1" t="n">
        <v>45182</v>
      </c>
      <c r="D1759" t="inlineStr">
        <is>
          <t>JÄMTLANDS LÄN</t>
        </is>
      </c>
      <c r="E1759" t="inlineStr">
        <is>
          <t>HÄRJEDALEN</t>
        </is>
      </c>
      <c r="F1759" t="inlineStr">
        <is>
          <t>Bergvik skog väst AB</t>
        </is>
      </c>
      <c r="G1759" t="n">
        <v>7.8</v>
      </c>
      <c r="H1759" t="n">
        <v>0</v>
      </c>
      <c r="I1759" t="n">
        <v>0</v>
      </c>
      <c r="J1759" t="n">
        <v>0</v>
      </c>
      <c r="K1759" t="n">
        <v>0</v>
      </c>
      <c r="L1759" t="n">
        <v>0</v>
      </c>
      <c r="M1759" t="n">
        <v>0</v>
      </c>
      <c r="N1759" t="n">
        <v>0</v>
      </c>
      <c r="O1759" t="n">
        <v>0</v>
      </c>
      <c r="P1759" t="n">
        <v>0</v>
      </c>
      <c r="Q1759" t="n">
        <v>0</v>
      </c>
      <c r="R1759" s="2" t="inlineStr"/>
    </row>
    <row r="1760" ht="15" customHeight="1">
      <c r="A1760" t="inlineStr">
        <is>
          <t>A 20448-2019</t>
        </is>
      </c>
      <c r="B1760" s="1" t="n">
        <v>43571</v>
      </c>
      <c r="C1760" s="1" t="n">
        <v>45182</v>
      </c>
      <c r="D1760" t="inlineStr">
        <is>
          <t>JÄMTLANDS LÄN</t>
        </is>
      </c>
      <c r="E1760" t="inlineStr">
        <is>
          <t>BRÄCKE</t>
        </is>
      </c>
      <c r="F1760" t="inlineStr">
        <is>
          <t>SCA</t>
        </is>
      </c>
      <c r="G1760" t="n">
        <v>70</v>
      </c>
      <c r="H1760" t="n">
        <v>0</v>
      </c>
      <c r="I1760" t="n">
        <v>0</v>
      </c>
      <c r="J1760" t="n">
        <v>0</v>
      </c>
      <c r="K1760" t="n">
        <v>0</v>
      </c>
      <c r="L1760" t="n">
        <v>0</v>
      </c>
      <c r="M1760" t="n">
        <v>0</v>
      </c>
      <c r="N1760" t="n">
        <v>0</v>
      </c>
      <c r="O1760" t="n">
        <v>0</v>
      </c>
      <c r="P1760" t="n">
        <v>0</v>
      </c>
      <c r="Q1760" t="n">
        <v>0</v>
      </c>
      <c r="R1760" s="2" t="inlineStr"/>
    </row>
    <row r="1761" ht="15" customHeight="1">
      <c r="A1761" t="inlineStr">
        <is>
          <t>A 20373-2019</t>
        </is>
      </c>
      <c r="B1761" s="1" t="n">
        <v>43571</v>
      </c>
      <c r="C1761" s="1" t="n">
        <v>45182</v>
      </c>
      <c r="D1761" t="inlineStr">
        <is>
          <t>JÄMTLANDS LÄN</t>
        </is>
      </c>
      <c r="E1761" t="inlineStr">
        <is>
          <t>HÄRJEDALEN</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20535-2019</t>
        </is>
      </c>
      <c r="B1762" s="1" t="n">
        <v>43572</v>
      </c>
      <c r="C1762" s="1" t="n">
        <v>45182</v>
      </c>
      <c r="D1762" t="inlineStr">
        <is>
          <t>JÄMTLANDS LÄN</t>
        </is>
      </c>
      <c r="E1762" t="inlineStr">
        <is>
          <t>BRÄCKE</t>
        </is>
      </c>
      <c r="F1762" t="inlineStr">
        <is>
          <t>Sveaskog</t>
        </is>
      </c>
      <c r="G1762" t="n">
        <v>10.6</v>
      </c>
      <c r="H1762" t="n">
        <v>0</v>
      </c>
      <c r="I1762" t="n">
        <v>0</v>
      </c>
      <c r="J1762" t="n">
        <v>0</v>
      </c>
      <c r="K1762" t="n">
        <v>0</v>
      </c>
      <c r="L1762" t="n">
        <v>0</v>
      </c>
      <c r="M1762" t="n">
        <v>0</v>
      </c>
      <c r="N1762" t="n">
        <v>0</v>
      </c>
      <c r="O1762" t="n">
        <v>0</v>
      </c>
      <c r="P1762" t="n">
        <v>0</v>
      </c>
      <c r="Q1762" t="n">
        <v>0</v>
      </c>
      <c r="R1762" s="2" t="inlineStr"/>
    </row>
    <row r="1763" ht="15" customHeight="1">
      <c r="A1763" t="inlineStr">
        <is>
          <t>A 20539-2019</t>
        </is>
      </c>
      <c r="B1763" s="1" t="n">
        <v>43572</v>
      </c>
      <c r="C1763" s="1" t="n">
        <v>45182</v>
      </c>
      <c r="D1763" t="inlineStr">
        <is>
          <t>JÄMTLANDS LÄN</t>
        </is>
      </c>
      <c r="E1763" t="inlineStr">
        <is>
          <t>BRÄCKE</t>
        </is>
      </c>
      <c r="F1763" t="inlineStr">
        <is>
          <t>Övriga Aktiebolag</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20596-2019</t>
        </is>
      </c>
      <c r="B1764" s="1" t="n">
        <v>43572</v>
      </c>
      <c r="C1764" s="1" t="n">
        <v>45182</v>
      </c>
      <c r="D1764" t="inlineStr">
        <is>
          <t>JÄMTLANDS LÄN</t>
        </is>
      </c>
      <c r="E1764" t="inlineStr">
        <is>
          <t>KROKOM</t>
        </is>
      </c>
      <c r="G1764" t="n">
        <v>10.6</v>
      </c>
      <c r="H1764" t="n">
        <v>0</v>
      </c>
      <c r="I1764" t="n">
        <v>0</v>
      </c>
      <c r="J1764" t="n">
        <v>0</v>
      </c>
      <c r="K1764" t="n">
        <v>0</v>
      </c>
      <c r="L1764" t="n">
        <v>0</v>
      </c>
      <c r="M1764" t="n">
        <v>0</v>
      </c>
      <c r="N1764" t="n">
        <v>0</v>
      </c>
      <c r="O1764" t="n">
        <v>0</v>
      </c>
      <c r="P1764" t="n">
        <v>0</v>
      </c>
      <c r="Q1764" t="n">
        <v>0</v>
      </c>
      <c r="R1764" s="2" t="inlineStr"/>
    </row>
    <row r="1765" ht="15" customHeight="1">
      <c r="A1765" t="inlineStr">
        <is>
          <t>A 20569-2019</t>
        </is>
      </c>
      <c r="B1765" s="1" t="n">
        <v>43572</v>
      </c>
      <c r="C1765" s="1" t="n">
        <v>45182</v>
      </c>
      <c r="D1765" t="inlineStr">
        <is>
          <t>JÄMTLANDS LÄN</t>
        </is>
      </c>
      <c r="E1765" t="inlineStr">
        <is>
          <t>STRÖMSUND</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20827-2019</t>
        </is>
      </c>
      <c r="B1766" s="1" t="n">
        <v>43573</v>
      </c>
      <c r="C1766" s="1" t="n">
        <v>45182</v>
      </c>
      <c r="D1766" t="inlineStr">
        <is>
          <t>JÄMTLANDS LÄN</t>
        </is>
      </c>
      <c r="E1766" t="inlineStr">
        <is>
          <t>BRÄCKE</t>
        </is>
      </c>
      <c r="F1766" t="inlineStr">
        <is>
          <t>SCA</t>
        </is>
      </c>
      <c r="G1766" t="n">
        <v>40.9</v>
      </c>
      <c r="H1766" t="n">
        <v>0</v>
      </c>
      <c r="I1766" t="n">
        <v>0</v>
      </c>
      <c r="J1766" t="n">
        <v>0</v>
      </c>
      <c r="K1766" t="n">
        <v>0</v>
      </c>
      <c r="L1766" t="n">
        <v>0</v>
      </c>
      <c r="M1766" t="n">
        <v>0</v>
      </c>
      <c r="N1766" t="n">
        <v>0</v>
      </c>
      <c r="O1766" t="n">
        <v>0</v>
      </c>
      <c r="P1766" t="n">
        <v>0</v>
      </c>
      <c r="Q1766" t="n">
        <v>0</v>
      </c>
      <c r="R1766" s="2" t="inlineStr"/>
    </row>
    <row r="1767" ht="15" customHeight="1">
      <c r="A1767" t="inlineStr">
        <is>
          <t>A 20851-2019</t>
        </is>
      </c>
      <c r="B1767" s="1" t="n">
        <v>43577</v>
      </c>
      <c r="C1767" s="1" t="n">
        <v>45182</v>
      </c>
      <c r="D1767" t="inlineStr">
        <is>
          <t>JÄMTLANDS LÄN</t>
        </is>
      </c>
      <c r="E1767" t="inlineStr">
        <is>
          <t>HÄRJEDALEN</t>
        </is>
      </c>
      <c r="F1767" t="inlineStr">
        <is>
          <t>Övriga Aktiebolag</t>
        </is>
      </c>
      <c r="G1767" t="n">
        <v>7.5</v>
      </c>
      <c r="H1767" t="n">
        <v>0</v>
      </c>
      <c r="I1767" t="n">
        <v>0</v>
      </c>
      <c r="J1767" t="n">
        <v>0</v>
      </c>
      <c r="K1767" t="n">
        <v>0</v>
      </c>
      <c r="L1767" t="n">
        <v>0</v>
      </c>
      <c r="M1767" t="n">
        <v>0</v>
      </c>
      <c r="N1767" t="n">
        <v>0</v>
      </c>
      <c r="O1767" t="n">
        <v>0</v>
      </c>
      <c r="P1767" t="n">
        <v>0</v>
      </c>
      <c r="Q1767" t="n">
        <v>0</v>
      </c>
      <c r="R1767" s="2" t="inlineStr"/>
    </row>
    <row r="1768" ht="15" customHeight="1">
      <c r="A1768" t="inlineStr">
        <is>
          <t>A 21116-2019</t>
        </is>
      </c>
      <c r="B1768" s="1" t="n">
        <v>43578</v>
      </c>
      <c r="C1768" s="1" t="n">
        <v>45182</v>
      </c>
      <c r="D1768" t="inlineStr">
        <is>
          <t>JÄMTLANDS LÄN</t>
        </is>
      </c>
      <c r="E1768" t="inlineStr">
        <is>
          <t>BRÄCKE</t>
        </is>
      </c>
      <c r="F1768" t="inlineStr">
        <is>
          <t>SCA</t>
        </is>
      </c>
      <c r="G1768" t="n">
        <v>70</v>
      </c>
      <c r="H1768" t="n">
        <v>0</v>
      </c>
      <c r="I1768" t="n">
        <v>0</v>
      </c>
      <c r="J1768" t="n">
        <v>0</v>
      </c>
      <c r="K1768" t="n">
        <v>0</v>
      </c>
      <c r="L1768" t="n">
        <v>0</v>
      </c>
      <c r="M1768" t="n">
        <v>0</v>
      </c>
      <c r="N1768" t="n">
        <v>0</v>
      </c>
      <c r="O1768" t="n">
        <v>0</v>
      </c>
      <c r="P1768" t="n">
        <v>0</v>
      </c>
      <c r="Q1768" t="n">
        <v>0</v>
      </c>
      <c r="R1768" s="2" t="inlineStr"/>
    </row>
    <row r="1769" ht="15" customHeight="1">
      <c r="A1769" t="inlineStr">
        <is>
          <t>A 21122-2019</t>
        </is>
      </c>
      <c r="B1769" s="1" t="n">
        <v>43578</v>
      </c>
      <c r="C1769" s="1" t="n">
        <v>45182</v>
      </c>
      <c r="D1769" t="inlineStr">
        <is>
          <t>JÄMTLANDS LÄN</t>
        </is>
      </c>
      <c r="E1769" t="inlineStr">
        <is>
          <t>RAGUNDA</t>
        </is>
      </c>
      <c r="F1769" t="inlineStr">
        <is>
          <t>SCA</t>
        </is>
      </c>
      <c r="G1769" t="n">
        <v>72.09999999999999</v>
      </c>
      <c r="H1769" t="n">
        <v>0</v>
      </c>
      <c r="I1769" t="n">
        <v>0</v>
      </c>
      <c r="J1769" t="n">
        <v>0</v>
      </c>
      <c r="K1769" t="n">
        <v>0</v>
      </c>
      <c r="L1769" t="n">
        <v>0</v>
      </c>
      <c r="M1769" t="n">
        <v>0</v>
      </c>
      <c r="N1769" t="n">
        <v>0</v>
      </c>
      <c r="O1769" t="n">
        <v>0</v>
      </c>
      <c r="P1769" t="n">
        <v>0</v>
      </c>
      <c r="Q1769" t="n">
        <v>0</v>
      </c>
      <c r="R1769" s="2" t="inlineStr"/>
    </row>
    <row r="1770" ht="15" customHeight="1">
      <c r="A1770" t="inlineStr">
        <is>
          <t>A 21040-2019</t>
        </is>
      </c>
      <c r="B1770" s="1" t="n">
        <v>43578</v>
      </c>
      <c r="C1770" s="1" t="n">
        <v>45182</v>
      </c>
      <c r="D1770" t="inlineStr">
        <is>
          <t>JÄMTLANDS LÄN</t>
        </is>
      </c>
      <c r="E1770" t="inlineStr">
        <is>
          <t>HÄRJEDALEN</t>
        </is>
      </c>
      <c r="G1770" t="n">
        <v>0.8</v>
      </c>
      <c r="H1770" t="n">
        <v>0</v>
      </c>
      <c r="I1770" t="n">
        <v>0</v>
      </c>
      <c r="J1770" t="n">
        <v>0</v>
      </c>
      <c r="K1770" t="n">
        <v>0</v>
      </c>
      <c r="L1770" t="n">
        <v>0</v>
      </c>
      <c r="M1770" t="n">
        <v>0</v>
      </c>
      <c r="N1770" t="n">
        <v>0</v>
      </c>
      <c r="O1770" t="n">
        <v>0</v>
      </c>
      <c r="P1770" t="n">
        <v>0</v>
      </c>
      <c r="Q1770" t="n">
        <v>0</v>
      </c>
      <c r="R1770" s="2" t="inlineStr"/>
    </row>
    <row r="1771" ht="15" customHeight="1">
      <c r="A1771" t="inlineStr">
        <is>
          <t>A 20926-2019</t>
        </is>
      </c>
      <c r="B1771" s="1" t="n">
        <v>43578</v>
      </c>
      <c r="C1771" s="1" t="n">
        <v>45182</v>
      </c>
      <c r="D1771" t="inlineStr">
        <is>
          <t>JÄMTLANDS LÄN</t>
        </is>
      </c>
      <c r="E1771" t="inlineStr">
        <is>
          <t>BRÄCKE</t>
        </is>
      </c>
      <c r="G1771" t="n">
        <v>11</v>
      </c>
      <c r="H1771" t="n">
        <v>0</v>
      </c>
      <c r="I1771" t="n">
        <v>0</v>
      </c>
      <c r="J1771" t="n">
        <v>0</v>
      </c>
      <c r="K1771" t="n">
        <v>0</v>
      </c>
      <c r="L1771" t="n">
        <v>0</v>
      </c>
      <c r="M1771" t="n">
        <v>0</v>
      </c>
      <c r="N1771" t="n">
        <v>0</v>
      </c>
      <c r="O1771" t="n">
        <v>0</v>
      </c>
      <c r="P1771" t="n">
        <v>0</v>
      </c>
      <c r="Q1771" t="n">
        <v>0</v>
      </c>
      <c r="R1771" s="2" t="inlineStr"/>
    </row>
    <row r="1772" ht="15" customHeight="1">
      <c r="A1772" t="inlineStr">
        <is>
          <t>A 21189-2019</t>
        </is>
      </c>
      <c r="B1772" s="1" t="n">
        <v>43579</v>
      </c>
      <c r="C1772" s="1" t="n">
        <v>45182</v>
      </c>
      <c r="D1772" t="inlineStr">
        <is>
          <t>JÄMTLANDS LÄN</t>
        </is>
      </c>
      <c r="E1772" t="inlineStr">
        <is>
          <t>HÄRJEDALEN</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21225-2019</t>
        </is>
      </c>
      <c r="B1773" s="1" t="n">
        <v>43579</v>
      </c>
      <c r="C1773" s="1" t="n">
        <v>45182</v>
      </c>
      <c r="D1773" t="inlineStr">
        <is>
          <t>JÄMTLANDS LÄN</t>
        </is>
      </c>
      <c r="E1773" t="inlineStr">
        <is>
          <t>BERG</t>
        </is>
      </c>
      <c r="G1773" t="n">
        <v>6.3</v>
      </c>
      <c r="H1773" t="n">
        <v>0</v>
      </c>
      <c r="I1773" t="n">
        <v>0</v>
      </c>
      <c r="J1773" t="n">
        <v>0</v>
      </c>
      <c r="K1773" t="n">
        <v>0</v>
      </c>
      <c r="L1773" t="n">
        <v>0</v>
      </c>
      <c r="M1773" t="n">
        <v>0</v>
      </c>
      <c r="N1773" t="n">
        <v>0</v>
      </c>
      <c r="O1773" t="n">
        <v>0</v>
      </c>
      <c r="P1773" t="n">
        <v>0</v>
      </c>
      <c r="Q1773" t="n">
        <v>0</v>
      </c>
      <c r="R1773" s="2" t="inlineStr"/>
    </row>
    <row r="1774" ht="15" customHeight="1">
      <c r="A1774" t="inlineStr">
        <is>
          <t>A 21269-2019</t>
        </is>
      </c>
      <c r="B1774" s="1" t="n">
        <v>43579</v>
      </c>
      <c r="C1774" s="1" t="n">
        <v>45182</v>
      </c>
      <c r="D1774" t="inlineStr">
        <is>
          <t>JÄMTLANDS LÄN</t>
        </is>
      </c>
      <c r="E1774" t="inlineStr">
        <is>
          <t>KROKOM</t>
        </is>
      </c>
      <c r="G1774" t="n">
        <v>1.7</v>
      </c>
      <c r="H1774" t="n">
        <v>0</v>
      </c>
      <c r="I1774" t="n">
        <v>0</v>
      </c>
      <c r="J1774" t="n">
        <v>0</v>
      </c>
      <c r="K1774" t="n">
        <v>0</v>
      </c>
      <c r="L1774" t="n">
        <v>0</v>
      </c>
      <c r="M1774" t="n">
        <v>0</v>
      </c>
      <c r="N1774" t="n">
        <v>0</v>
      </c>
      <c r="O1774" t="n">
        <v>0</v>
      </c>
      <c r="P1774" t="n">
        <v>0</v>
      </c>
      <c r="Q1774" t="n">
        <v>0</v>
      </c>
      <c r="R1774" s="2" t="inlineStr"/>
    </row>
    <row r="1775" ht="15" customHeight="1">
      <c r="A1775" t="inlineStr">
        <is>
          <t>A 21428-2019</t>
        </is>
      </c>
      <c r="B1775" s="1" t="n">
        <v>43580</v>
      </c>
      <c r="C1775" s="1" t="n">
        <v>45182</v>
      </c>
      <c r="D1775" t="inlineStr">
        <is>
          <t>JÄMTLANDS LÄN</t>
        </is>
      </c>
      <c r="E1775" t="inlineStr">
        <is>
          <t>BRÄCKE</t>
        </is>
      </c>
      <c r="G1775" t="n">
        <v>4.5</v>
      </c>
      <c r="H1775" t="n">
        <v>0</v>
      </c>
      <c r="I1775" t="n">
        <v>0</v>
      </c>
      <c r="J1775" t="n">
        <v>0</v>
      </c>
      <c r="K1775" t="n">
        <v>0</v>
      </c>
      <c r="L1775" t="n">
        <v>0</v>
      </c>
      <c r="M1775" t="n">
        <v>0</v>
      </c>
      <c r="N1775" t="n">
        <v>0</v>
      </c>
      <c r="O1775" t="n">
        <v>0</v>
      </c>
      <c r="P1775" t="n">
        <v>0</v>
      </c>
      <c r="Q1775" t="n">
        <v>0</v>
      </c>
      <c r="R1775" s="2" t="inlineStr"/>
    </row>
    <row r="1776" ht="15" customHeight="1">
      <c r="A1776" t="inlineStr">
        <is>
          <t>A 21454-2019</t>
        </is>
      </c>
      <c r="B1776" s="1" t="n">
        <v>43580</v>
      </c>
      <c r="C1776" s="1" t="n">
        <v>45182</v>
      </c>
      <c r="D1776" t="inlineStr">
        <is>
          <t>JÄMTLANDS LÄN</t>
        </is>
      </c>
      <c r="E1776" t="inlineStr">
        <is>
          <t>BRÄCKE</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21532-2019</t>
        </is>
      </c>
      <c r="B1777" s="1" t="n">
        <v>43580</v>
      </c>
      <c r="C1777" s="1" t="n">
        <v>45182</v>
      </c>
      <c r="D1777" t="inlineStr">
        <is>
          <t>JÄMTLANDS LÄN</t>
        </is>
      </c>
      <c r="E1777" t="inlineStr">
        <is>
          <t>ÅRE</t>
        </is>
      </c>
      <c r="G1777" t="n">
        <v>20.1</v>
      </c>
      <c r="H1777" t="n">
        <v>0</v>
      </c>
      <c r="I1777" t="n">
        <v>0</v>
      </c>
      <c r="J1777" t="n">
        <v>0</v>
      </c>
      <c r="K1777" t="n">
        <v>0</v>
      </c>
      <c r="L1777" t="n">
        <v>0</v>
      </c>
      <c r="M1777" t="n">
        <v>0</v>
      </c>
      <c r="N1777" t="n">
        <v>0</v>
      </c>
      <c r="O1777" t="n">
        <v>0</v>
      </c>
      <c r="P1777" t="n">
        <v>0</v>
      </c>
      <c r="Q1777" t="n">
        <v>0</v>
      </c>
      <c r="R1777" s="2" t="inlineStr"/>
    </row>
    <row r="1778" ht="15" customHeight="1">
      <c r="A1778" t="inlineStr">
        <is>
          <t>A 21421-2019</t>
        </is>
      </c>
      <c r="B1778" s="1" t="n">
        <v>43580</v>
      </c>
      <c r="C1778" s="1" t="n">
        <v>45182</v>
      </c>
      <c r="D1778" t="inlineStr">
        <is>
          <t>JÄMTLANDS LÄN</t>
        </is>
      </c>
      <c r="E1778" t="inlineStr">
        <is>
          <t>KROKOM</t>
        </is>
      </c>
      <c r="G1778" t="n">
        <v>13.1</v>
      </c>
      <c r="H1778" t="n">
        <v>0</v>
      </c>
      <c r="I1778" t="n">
        <v>0</v>
      </c>
      <c r="J1778" t="n">
        <v>0</v>
      </c>
      <c r="K1778" t="n">
        <v>0</v>
      </c>
      <c r="L1778" t="n">
        <v>0</v>
      </c>
      <c r="M1778" t="n">
        <v>0</v>
      </c>
      <c r="N1778" t="n">
        <v>0</v>
      </c>
      <c r="O1778" t="n">
        <v>0</v>
      </c>
      <c r="P1778" t="n">
        <v>0</v>
      </c>
      <c r="Q1778" t="n">
        <v>0</v>
      </c>
      <c r="R1778" s="2" t="inlineStr"/>
    </row>
    <row r="1779" ht="15" customHeight="1">
      <c r="A1779" t="inlineStr">
        <is>
          <t>A 21438-2019</t>
        </is>
      </c>
      <c r="B1779" s="1" t="n">
        <v>43580</v>
      </c>
      <c r="C1779" s="1" t="n">
        <v>45182</v>
      </c>
      <c r="D1779" t="inlineStr">
        <is>
          <t>JÄMTLANDS LÄN</t>
        </is>
      </c>
      <c r="E1779" t="inlineStr">
        <is>
          <t>BRÄCKE</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21669-2019</t>
        </is>
      </c>
      <c r="B1780" s="1" t="n">
        <v>43581</v>
      </c>
      <c r="C1780" s="1" t="n">
        <v>45182</v>
      </c>
      <c r="D1780" t="inlineStr">
        <is>
          <t>JÄMTLANDS LÄN</t>
        </is>
      </c>
      <c r="E1780" t="inlineStr">
        <is>
          <t>KROKOM</t>
        </is>
      </c>
      <c r="G1780" t="n">
        <v>13.2</v>
      </c>
      <c r="H1780" t="n">
        <v>0</v>
      </c>
      <c r="I1780" t="n">
        <v>0</v>
      </c>
      <c r="J1780" t="n">
        <v>0</v>
      </c>
      <c r="K1780" t="n">
        <v>0</v>
      </c>
      <c r="L1780" t="n">
        <v>0</v>
      </c>
      <c r="M1780" t="n">
        <v>0</v>
      </c>
      <c r="N1780" t="n">
        <v>0</v>
      </c>
      <c r="O1780" t="n">
        <v>0</v>
      </c>
      <c r="P1780" t="n">
        <v>0</v>
      </c>
      <c r="Q1780" t="n">
        <v>0</v>
      </c>
      <c r="R1780" s="2" t="inlineStr"/>
    </row>
    <row r="1781" ht="15" customHeight="1">
      <c r="A1781" t="inlineStr">
        <is>
          <t>A 21716-2019</t>
        </is>
      </c>
      <c r="B1781" s="1" t="n">
        <v>43581</v>
      </c>
      <c r="C1781" s="1" t="n">
        <v>45182</v>
      </c>
      <c r="D1781" t="inlineStr">
        <is>
          <t>JÄMTLANDS LÄN</t>
        </is>
      </c>
      <c r="E1781" t="inlineStr">
        <is>
          <t>KROKOM</t>
        </is>
      </c>
      <c r="G1781" t="n">
        <v>4.2</v>
      </c>
      <c r="H1781" t="n">
        <v>0</v>
      </c>
      <c r="I1781" t="n">
        <v>0</v>
      </c>
      <c r="J1781" t="n">
        <v>0</v>
      </c>
      <c r="K1781" t="n">
        <v>0</v>
      </c>
      <c r="L1781" t="n">
        <v>0</v>
      </c>
      <c r="M1781" t="n">
        <v>0</v>
      </c>
      <c r="N1781" t="n">
        <v>0</v>
      </c>
      <c r="O1781" t="n">
        <v>0</v>
      </c>
      <c r="P1781" t="n">
        <v>0</v>
      </c>
      <c r="Q1781" t="n">
        <v>0</v>
      </c>
      <c r="R1781" s="2" t="inlineStr"/>
    </row>
    <row r="1782" ht="15" customHeight="1">
      <c r="A1782" t="inlineStr">
        <is>
          <t>A 21727-2019</t>
        </is>
      </c>
      <c r="B1782" s="1" t="n">
        <v>43581</v>
      </c>
      <c r="C1782" s="1" t="n">
        <v>45182</v>
      </c>
      <c r="D1782" t="inlineStr">
        <is>
          <t>JÄMTLANDS LÄN</t>
        </is>
      </c>
      <c r="E1782" t="inlineStr">
        <is>
          <t>ÖSTERSUND</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21792-2019</t>
        </is>
      </c>
      <c r="B1783" s="1" t="n">
        <v>43581</v>
      </c>
      <c r="C1783" s="1" t="n">
        <v>45182</v>
      </c>
      <c r="D1783" t="inlineStr">
        <is>
          <t>JÄMTLANDS LÄN</t>
        </is>
      </c>
      <c r="E1783" t="inlineStr">
        <is>
          <t>BRÄCKE</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21676-2019</t>
        </is>
      </c>
      <c r="B1784" s="1" t="n">
        <v>43581</v>
      </c>
      <c r="C1784" s="1" t="n">
        <v>45182</v>
      </c>
      <c r="D1784" t="inlineStr">
        <is>
          <t>JÄMTLANDS LÄN</t>
        </is>
      </c>
      <c r="E1784" t="inlineStr">
        <is>
          <t>STRÖMSUND</t>
        </is>
      </c>
      <c r="G1784" t="n">
        <v>1.2</v>
      </c>
      <c r="H1784" t="n">
        <v>0</v>
      </c>
      <c r="I1784" t="n">
        <v>0</v>
      </c>
      <c r="J1784" t="n">
        <v>0</v>
      </c>
      <c r="K1784" t="n">
        <v>0</v>
      </c>
      <c r="L1784" t="n">
        <v>0</v>
      </c>
      <c r="M1784" t="n">
        <v>0</v>
      </c>
      <c r="N1784" t="n">
        <v>0</v>
      </c>
      <c r="O1784" t="n">
        <v>0</v>
      </c>
      <c r="P1784" t="n">
        <v>0</v>
      </c>
      <c r="Q1784" t="n">
        <v>0</v>
      </c>
      <c r="R1784" s="2" t="inlineStr"/>
    </row>
    <row r="1785" ht="15" customHeight="1">
      <c r="A1785" t="inlineStr">
        <is>
          <t>A 21702-2019</t>
        </is>
      </c>
      <c r="B1785" s="1" t="n">
        <v>43581</v>
      </c>
      <c r="C1785" s="1" t="n">
        <v>45182</v>
      </c>
      <c r="D1785" t="inlineStr">
        <is>
          <t>JÄMTLANDS LÄN</t>
        </is>
      </c>
      <c r="E1785" t="inlineStr">
        <is>
          <t>STRÖMSUND</t>
        </is>
      </c>
      <c r="G1785" t="n">
        <v>1.6</v>
      </c>
      <c r="H1785" t="n">
        <v>0</v>
      </c>
      <c r="I1785" t="n">
        <v>0</v>
      </c>
      <c r="J1785" t="n">
        <v>0</v>
      </c>
      <c r="K1785" t="n">
        <v>0</v>
      </c>
      <c r="L1785" t="n">
        <v>0</v>
      </c>
      <c r="M1785" t="n">
        <v>0</v>
      </c>
      <c r="N1785" t="n">
        <v>0</v>
      </c>
      <c r="O1785" t="n">
        <v>0</v>
      </c>
      <c r="P1785" t="n">
        <v>0</v>
      </c>
      <c r="Q1785" t="n">
        <v>0</v>
      </c>
      <c r="R1785" s="2" t="inlineStr"/>
    </row>
    <row r="1786" ht="15" customHeight="1">
      <c r="A1786" t="inlineStr">
        <is>
          <t>A 21696-2019</t>
        </is>
      </c>
      <c r="B1786" s="1" t="n">
        <v>43581</v>
      </c>
      <c r="C1786" s="1" t="n">
        <v>45182</v>
      </c>
      <c r="D1786" t="inlineStr">
        <is>
          <t>JÄMTLANDS LÄN</t>
        </is>
      </c>
      <c r="E1786" t="inlineStr">
        <is>
          <t>STRÖMSUND</t>
        </is>
      </c>
      <c r="G1786" t="n">
        <v>1.5</v>
      </c>
      <c r="H1786" t="n">
        <v>0</v>
      </c>
      <c r="I1786" t="n">
        <v>0</v>
      </c>
      <c r="J1786" t="n">
        <v>0</v>
      </c>
      <c r="K1786" t="n">
        <v>0</v>
      </c>
      <c r="L1786" t="n">
        <v>0</v>
      </c>
      <c r="M1786" t="n">
        <v>0</v>
      </c>
      <c r="N1786" t="n">
        <v>0</v>
      </c>
      <c r="O1786" t="n">
        <v>0</v>
      </c>
      <c r="P1786" t="n">
        <v>0</v>
      </c>
      <c r="Q1786" t="n">
        <v>0</v>
      </c>
      <c r="R1786" s="2" t="inlineStr"/>
    </row>
    <row r="1787" ht="15" customHeight="1">
      <c r="A1787" t="inlineStr">
        <is>
          <t>A 21763-2019</t>
        </is>
      </c>
      <c r="B1787" s="1" t="n">
        <v>43581</v>
      </c>
      <c r="C1787" s="1" t="n">
        <v>45182</v>
      </c>
      <c r="D1787" t="inlineStr">
        <is>
          <t>JÄMTLANDS LÄN</t>
        </is>
      </c>
      <c r="E1787" t="inlineStr">
        <is>
          <t>STRÖMSUND</t>
        </is>
      </c>
      <c r="G1787" t="n">
        <v>12.7</v>
      </c>
      <c r="H1787" t="n">
        <v>0</v>
      </c>
      <c r="I1787" t="n">
        <v>0</v>
      </c>
      <c r="J1787" t="n">
        <v>0</v>
      </c>
      <c r="K1787" t="n">
        <v>0</v>
      </c>
      <c r="L1787" t="n">
        <v>0</v>
      </c>
      <c r="M1787" t="n">
        <v>0</v>
      </c>
      <c r="N1787" t="n">
        <v>0</v>
      </c>
      <c r="O1787" t="n">
        <v>0</v>
      </c>
      <c r="P1787" t="n">
        <v>0</v>
      </c>
      <c r="Q1787" t="n">
        <v>0</v>
      </c>
      <c r="R1787" s="2" t="inlineStr"/>
    </row>
    <row r="1788" ht="15" customHeight="1">
      <c r="A1788" t="inlineStr">
        <is>
          <t>A 21793-2019</t>
        </is>
      </c>
      <c r="B1788" s="1" t="n">
        <v>43581</v>
      </c>
      <c r="C1788" s="1" t="n">
        <v>45182</v>
      </c>
      <c r="D1788" t="inlineStr">
        <is>
          <t>JÄMTLANDS LÄN</t>
        </is>
      </c>
      <c r="E1788" t="inlineStr">
        <is>
          <t>ÖSTERSUND</t>
        </is>
      </c>
      <c r="F1788" t="inlineStr">
        <is>
          <t>SCA</t>
        </is>
      </c>
      <c r="G1788" t="n">
        <v>3.6</v>
      </c>
      <c r="H1788" t="n">
        <v>0</v>
      </c>
      <c r="I1788" t="n">
        <v>0</v>
      </c>
      <c r="J1788" t="n">
        <v>0</v>
      </c>
      <c r="K1788" t="n">
        <v>0</v>
      </c>
      <c r="L1788" t="n">
        <v>0</v>
      </c>
      <c r="M1788" t="n">
        <v>0</v>
      </c>
      <c r="N1788" t="n">
        <v>0</v>
      </c>
      <c r="O1788" t="n">
        <v>0</v>
      </c>
      <c r="P1788" t="n">
        <v>0</v>
      </c>
      <c r="Q1788" t="n">
        <v>0</v>
      </c>
      <c r="R1788" s="2" t="inlineStr"/>
    </row>
    <row r="1789" ht="15" customHeight="1">
      <c r="A1789" t="inlineStr">
        <is>
          <t>A 21798-2019</t>
        </is>
      </c>
      <c r="B1789" s="1" t="n">
        <v>43581</v>
      </c>
      <c r="C1789" s="1" t="n">
        <v>45182</v>
      </c>
      <c r="D1789" t="inlineStr">
        <is>
          <t>JÄMTLANDS LÄN</t>
        </is>
      </c>
      <c r="E1789" t="inlineStr">
        <is>
          <t>BRÄCKE</t>
        </is>
      </c>
      <c r="F1789" t="inlineStr">
        <is>
          <t>SCA</t>
        </is>
      </c>
      <c r="G1789" t="n">
        <v>7.3</v>
      </c>
      <c r="H1789" t="n">
        <v>0</v>
      </c>
      <c r="I1789" t="n">
        <v>0</v>
      </c>
      <c r="J1789" t="n">
        <v>0</v>
      </c>
      <c r="K1789" t="n">
        <v>0</v>
      </c>
      <c r="L1789" t="n">
        <v>0</v>
      </c>
      <c r="M1789" t="n">
        <v>0</v>
      </c>
      <c r="N1789" t="n">
        <v>0</v>
      </c>
      <c r="O1789" t="n">
        <v>0</v>
      </c>
      <c r="P1789" t="n">
        <v>0</v>
      </c>
      <c r="Q1789" t="n">
        <v>0</v>
      </c>
      <c r="R1789" s="2" t="inlineStr"/>
    </row>
    <row r="1790" ht="15" customHeight="1">
      <c r="A1790" t="inlineStr">
        <is>
          <t>A 21883-2019</t>
        </is>
      </c>
      <c r="B1790" s="1" t="n">
        <v>43584</v>
      </c>
      <c r="C1790" s="1" t="n">
        <v>45182</v>
      </c>
      <c r="D1790" t="inlineStr">
        <is>
          <t>JÄMTLANDS LÄN</t>
        </is>
      </c>
      <c r="E1790" t="inlineStr">
        <is>
          <t>ÅRE</t>
        </is>
      </c>
      <c r="G1790" t="n">
        <v>2.6</v>
      </c>
      <c r="H1790" t="n">
        <v>0</v>
      </c>
      <c r="I1790" t="n">
        <v>0</v>
      </c>
      <c r="J1790" t="n">
        <v>0</v>
      </c>
      <c r="K1790" t="n">
        <v>0</v>
      </c>
      <c r="L1790" t="n">
        <v>0</v>
      </c>
      <c r="M1790" t="n">
        <v>0</v>
      </c>
      <c r="N1790" t="n">
        <v>0</v>
      </c>
      <c r="O1790" t="n">
        <v>0</v>
      </c>
      <c r="P1790" t="n">
        <v>0</v>
      </c>
      <c r="Q1790" t="n">
        <v>0</v>
      </c>
      <c r="R1790" s="2" t="inlineStr"/>
    </row>
    <row r="1791" ht="15" customHeight="1">
      <c r="A1791" t="inlineStr">
        <is>
          <t>A 21914-2019</t>
        </is>
      </c>
      <c r="B1791" s="1" t="n">
        <v>43584</v>
      </c>
      <c r="C1791" s="1" t="n">
        <v>45182</v>
      </c>
      <c r="D1791" t="inlineStr">
        <is>
          <t>JÄMTLANDS LÄN</t>
        </is>
      </c>
      <c r="E1791" t="inlineStr">
        <is>
          <t>RAGUNDA</t>
        </is>
      </c>
      <c r="G1791" t="n">
        <v>3.1</v>
      </c>
      <c r="H1791" t="n">
        <v>0</v>
      </c>
      <c r="I1791" t="n">
        <v>0</v>
      </c>
      <c r="J1791" t="n">
        <v>0</v>
      </c>
      <c r="K1791" t="n">
        <v>0</v>
      </c>
      <c r="L1791" t="n">
        <v>0</v>
      </c>
      <c r="M1791" t="n">
        <v>0</v>
      </c>
      <c r="N1791" t="n">
        <v>0</v>
      </c>
      <c r="O1791" t="n">
        <v>0</v>
      </c>
      <c r="P1791" t="n">
        <v>0</v>
      </c>
      <c r="Q1791" t="n">
        <v>0</v>
      </c>
      <c r="R1791" s="2" t="inlineStr"/>
    </row>
    <row r="1792" ht="15" customHeight="1">
      <c r="A1792" t="inlineStr">
        <is>
          <t>A 22119-2019</t>
        </is>
      </c>
      <c r="B1792" s="1" t="n">
        <v>43584</v>
      </c>
      <c r="C1792" s="1" t="n">
        <v>45182</v>
      </c>
      <c r="D1792" t="inlineStr">
        <is>
          <t>JÄMTLANDS LÄN</t>
        </is>
      </c>
      <c r="E1792" t="inlineStr">
        <is>
          <t>ÖSTERSUND</t>
        </is>
      </c>
      <c r="G1792" t="n">
        <v>7</v>
      </c>
      <c r="H1792" t="n">
        <v>0</v>
      </c>
      <c r="I1792" t="n">
        <v>0</v>
      </c>
      <c r="J1792" t="n">
        <v>0</v>
      </c>
      <c r="K1792" t="n">
        <v>0</v>
      </c>
      <c r="L1792" t="n">
        <v>0</v>
      </c>
      <c r="M1792" t="n">
        <v>0</v>
      </c>
      <c r="N1792" t="n">
        <v>0</v>
      </c>
      <c r="O1792" t="n">
        <v>0</v>
      </c>
      <c r="P1792" t="n">
        <v>0</v>
      </c>
      <c r="Q1792" t="n">
        <v>0</v>
      </c>
      <c r="R1792" s="2" t="inlineStr"/>
    </row>
    <row r="1793" ht="15" customHeight="1">
      <c r="A1793" t="inlineStr">
        <is>
          <t>A 21933-2019</t>
        </is>
      </c>
      <c r="B1793" s="1" t="n">
        <v>43584</v>
      </c>
      <c r="C1793" s="1" t="n">
        <v>45182</v>
      </c>
      <c r="D1793" t="inlineStr">
        <is>
          <t>JÄMTLANDS LÄN</t>
        </is>
      </c>
      <c r="E1793" t="inlineStr">
        <is>
          <t>KROKOM</t>
        </is>
      </c>
      <c r="G1793" t="n">
        <v>12.8</v>
      </c>
      <c r="H1793" t="n">
        <v>0</v>
      </c>
      <c r="I1793" t="n">
        <v>0</v>
      </c>
      <c r="J1793" t="n">
        <v>0</v>
      </c>
      <c r="K1793" t="n">
        <v>0</v>
      </c>
      <c r="L1793" t="n">
        <v>0</v>
      </c>
      <c r="M1793" t="n">
        <v>0</v>
      </c>
      <c r="N1793" t="n">
        <v>0</v>
      </c>
      <c r="O1793" t="n">
        <v>0</v>
      </c>
      <c r="P1793" t="n">
        <v>0</v>
      </c>
      <c r="Q1793" t="n">
        <v>0</v>
      </c>
      <c r="R1793" s="2" t="inlineStr"/>
    </row>
    <row r="1794" ht="15" customHeight="1">
      <c r="A1794" t="inlineStr">
        <is>
          <t>A 22113-2019</t>
        </is>
      </c>
      <c r="B1794" s="1" t="n">
        <v>43584</v>
      </c>
      <c r="C1794" s="1" t="n">
        <v>45182</v>
      </c>
      <c r="D1794" t="inlineStr">
        <is>
          <t>JÄMTLANDS LÄN</t>
        </is>
      </c>
      <c r="E1794" t="inlineStr">
        <is>
          <t>STRÖMSUND</t>
        </is>
      </c>
      <c r="G1794" t="n">
        <v>3.3</v>
      </c>
      <c r="H1794" t="n">
        <v>0</v>
      </c>
      <c r="I1794" t="n">
        <v>0</v>
      </c>
      <c r="J1794" t="n">
        <v>0</v>
      </c>
      <c r="K1794" t="n">
        <v>0</v>
      </c>
      <c r="L1794" t="n">
        <v>0</v>
      </c>
      <c r="M1794" t="n">
        <v>0</v>
      </c>
      <c r="N1794" t="n">
        <v>0</v>
      </c>
      <c r="O1794" t="n">
        <v>0</v>
      </c>
      <c r="P1794" t="n">
        <v>0</v>
      </c>
      <c r="Q1794" t="n">
        <v>0</v>
      </c>
      <c r="R1794" s="2" t="inlineStr"/>
      <c r="U1794">
        <f>HYPERLINK("https://klasma.github.io/Logging_STROMSUND/knärot/A 22113-2019.png")</f>
        <v/>
      </c>
      <c r="V1794">
        <f>HYPERLINK("https://klasma.github.io/Logging_STROMSUND/klagomål/A 22113-2019.docx")</f>
        <v/>
      </c>
      <c r="W1794">
        <f>HYPERLINK("https://klasma.github.io/Logging_STROMSUND/klagomålsmail/A 22113-2019.docx")</f>
        <v/>
      </c>
      <c r="X1794">
        <f>HYPERLINK("https://klasma.github.io/Logging_STROMSUND/tillsyn/A 22113-2019.docx")</f>
        <v/>
      </c>
      <c r="Y1794">
        <f>HYPERLINK("https://klasma.github.io/Logging_STROMSUND/tillsynsmail/A 22113-2019.docx")</f>
        <v/>
      </c>
    </row>
    <row r="1795" ht="15" customHeight="1">
      <c r="A1795" t="inlineStr">
        <is>
          <t>A 22115-2019</t>
        </is>
      </c>
      <c r="B1795" s="1" t="n">
        <v>43584</v>
      </c>
      <c r="C1795" s="1" t="n">
        <v>45182</v>
      </c>
      <c r="D1795" t="inlineStr">
        <is>
          <t>JÄMTLANDS LÄN</t>
        </is>
      </c>
      <c r="E1795" t="inlineStr">
        <is>
          <t>ÖSTERSUND</t>
        </is>
      </c>
      <c r="G1795" t="n">
        <v>15.1</v>
      </c>
      <c r="H1795" t="n">
        <v>0</v>
      </c>
      <c r="I1795" t="n">
        <v>0</v>
      </c>
      <c r="J1795" t="n">
        <v>0</v>
      </c>
      <c r="K1795" t="n">
        <v>0</v>
      </c>
      <c r="L1795" t="n">
        <v>0</v>
      </c>
      <c r="M1795" t="n">
        <v>0</v>
      </c>
      <c r="N1795" t="n">
        <v>0</v>
      </c>
      <c r="O1795" t="n">
        <v>0</v>
      </c>
      <c r="P1795" t="n">
        <v>0</v>
      </c>
      <c r="Q1795" t="n">
        <v>0</v>
      </c>
      <c r="R1795" s="2" t="inlineStr"/>
    </row>
    <row r="1796" ht="15" customHeight="1">
      <c r="A1796" t="inlineStr">
        <is>
          <t>A 22299-2019</t>
        </is>
      </c>
      <c r="B1796" s="1" t="n">
        <v>43585</v>
      </c>
      <c r="C1796" s="1" t="n">
        <v>45182</v>
      </c>
      <c r="D1796" t="inlineStr">
        <is>
          <t>JÄMTLANDS LÄN</t>
        </is>
      </c>
      <c r="E1796" t="inlineStr">
        <is>
          <t>BRÄCKE</t>
        </is>
      </c>
      <c r="F1796" t="inlineStr">
        <is>
          <t>SCA</t>
        </is>
      </c>
      <c r="G1796" t="n">
        <v>5.2</v>
      </c>
      <c r="H1796" t="n">
        <v>0</v>
      </c>
      <c r="I1796" t="n">
        <v>0</v>
      </c>
      <c r="J1796" t="n">
        <v>0</v>
      </c>
      <c r="K1796" t="n">
        <v>0</v>
      </c>
      <c r="L1796" t="n">
        <v>0</v>
      </c>
      <c r="M1796" t="n">
        <v>0</v>
      </c>
      <c r="N1796" t="n">
        <v>0</v>
      </c>
      <c r="O1796" t="n">
        <v>0</v>
      </c>
      <c r="P1796" t="n">
        <v>0</v>
      </c>
      <c r="Q1796" t="n">
        <v>0</v>
      </c>
      <c r="R1796" s="2" t="inlineStr"/>
    </row>
    <row r="1797" ht="15" customHeight="1">
      <c r="A1797" t="inlineStr">
        <is>
          <t>A 22129-2019</t>
        </is>
      </c>
      <c r="B1797" s="1" t="n">
        <v>43585</v>
      </c>
      <c r="C1797" s="1" t="n">
        <v>45182</v>
      </c>
      <c r="D1797" t="inlineStr">
        <is>
          <t>JÄMTLANDS LÄN</t>
        </is>
      </c>
      <c r="E1797" t="inlineStr">
        <is>
          <t>KROKOM</t>
        </is>
      </c>
      <c r="G1797" t="n">
        <v>7</v>
      </c>
      <c r="H1797" t="n">
        <v>0</v>
      </c>
      <c r="I1797" t="n">
        <v>0</v>
      </c>
      <c r="J1797" t="n">
        <v>0</v>
      </c>
      <c r="K1797" t="n">
        <v>0</v>
      </c>
      <c r="L1797" t="n">
        <v>0</v>
      </c>
      <c r="M1797" t="n">
        <v>0</v>
      </c>
      <c r="N1797" t="n">
        <v>0</v>
      </c>
      <c r="O1797" t="n">
        <v>0</v>
      </c>
      <c r="P1797" t="n">
        <v>0</v>
      </c>
      <c r="Q1797" t="n">
        <v>0</v>
      </c>
      <c r="R1797" s="2" t="inlineStr"/>
    </row>
    <row r="1798" ht="15" customHeight="1">
      <c r="A1798" t="inlineStr">
        <is>
          <t>A 22291-2019</t>
        </is>
      </c>
      <c r="B1798" s="1" t="n">
        <v>43585</v>
      </c>
      <c r="C1798" s="1" t="n">
        <v>45182</v>
      </c>
      <c r="D1798" t="inlineStr">
        <is>
          <t>JÄMTLANDS LÄN</t>
        </is>
      </c>
      <c r="E1798" t="inlineStr">
        <is>
          <t>STRÖMSUND</t>
        </is>
      </c>
      <c r="F1798" t="inlineStr">
        <is>
          <t>SCA</t>
        </is>
      </c>
      <c r="G1798" t="n">
        <v>23</v>
      </c>
      <c r="H1798" t="n">
        <v>0</v>
      </c>
      <c r="I1798" t="n">
        <v>0</v>
      </c>
      <c r="J1798" t="n">
        <v>0</v>
      </c>
      <c r="K1798" t="n">
        <v>0</v>
      </c>
      <c r="L1798" t="n">
        <v>0</v>
      </c>
      <c r="M1798" t="n">
        <v>0</v>
      </c>
      <c r="N1798" t="n">
        <v>0</v>
      </c>
      <c r="O1798" t="n">
        <v>0</v>
      </c>
      <c r="P1798" t="n">
        <v>0</v>
      </c>
      <c r="Q1798" t="n">
        <v>0</v>
      </c>
      <c r="R1798" s="2" t="inlineStr"/>
    </row>
    <row r="1799" ht="15" customHeight="1">
      <c r="A1799" t="inlineStr">
        <is>
          <t>A 22305-2019</t>
        </is>
      </c>
      <c r="B1799" s="1" t="n">
        <v>43585</v>
      </c>
      <c r="C1799" s="1" t="n">
        <v>45182</v>
      </c>
      <c r="D1799" t="inlineStr">
        <is>
          <t>JÄMTLANDS LÄN</t>
        </is>
      </c>
      <c r="E1799" t="inlineStr">
        <is>
          <t>STRÖMSUND</t>
        </is>
      </c>
      <c r="F1799" t="inlineStr">
        <is>
          <t>SCA</t>
        </is>
      </c>
      <c r="G1799" t="n">
        <v>1.7</v>
      </c>
      <c r="H1799" t="n">
        <v>0</v>
      </c>
      <c r="I1799" t="n">
        <v>0</v>
      </c>
      <c r="J1799" t="n">
        <v>0</v>
      </c>
      <c r="K1799" t="n">
        <v>0</v>
      </c>
      <c r="L1799" t="n">
        <v>0</v>
      </c>
      <c r="M1799" t="n">
        <v>0</v>
      </c>
      <c r="N1799" t="n">
        <v>0</v>
      </c>
      <c r="O1799" t="n">
        <v>0</v>
      </c>
      <c r="P1799" t="n">
        <v>0</v>
      </c>
      <c r="Q1799" t="n">
        <v>0</v>
      </c>
      <c r="R1799" s="2" t="inlineStr"/>
    </row>
    <row r="1800" ht="15" customHeight="1">
      <c r="A1800" t="inlineStr">
        <is>
          <t>A 22135-2019</t>
        </is>
      </c>
      <c r="B1800" s="1" t="n">
        <v>43585</v>
      </c>
      <c r="C1800" s="1" t="n">
        <v>45182</v>
      </c>
      <c r="D1800" t="inlineStr">
        <is>
          <t>JÄMTLANDS LÄN</t>
        </is>
      </c>
      <c r="E1800" t="inlineStr">
        <is>
          <t>KROKOM</t>
        </is>
      </c>
      <c r="G1800" t="n">
        <v>8.1</v>
      </c>
      <c r="H1800" t="n">
        <v>0</v>
      </c>
      <c r="I1800" t="n">
        <v>0</v>
      </c>
      <c r="J1800" t="n">
        <v>0</v>
      </c>
      <c r="K1800" t="n">
        <v>0</v>
      </c>
      <c r="L1800" t="n">
        <v>0</v>
      </c>
      <c r="M1800" t="n">
        <v>0</v>
      </c>
      <c r="N1800" t="n">
        <v>0</v>
      </c>
      <c r="O1800" t="n">
        <v>0</v>
      </c>
      <c r="P1800" t="n">
        <v>0</v>
      </c>
      <c r="Q1800" t="n">
        <v>0</v>
      </c>
      <c r="R1800" s="2" t="inlineStr"/>
    </row>
    <row r="1801" ht="15" customHeight="1">
      <c r="A1801" t="inlineStr">
        <is>
          <t>A 22208-2019</t>
        </is>
      </c>
      <c r="B1801" s="1" t="n">
        <v>43585</v>
      </c>
      <c r="C1801" s="1" t="n">
        <v>45182</v>
      </c>
      <c r="D1801" t="inlineStr">
        <is>
          <t>JÄMTLANDS LÄN</t>
        </is>
      </c>
      <c r="E1801" t="inlineStr">
        <is>
          <t>KROKOM</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22293-2019</t>
        </is>
      </c>
      <c r="B1802" s="1" t="n">
        <v>43585</v>
      </c>
      <c r="C1802" s="1" t="n">
        <v>45182</v>
      </c>
      <c r="D1802" t="inlineStr">
        <is>
          <t>JÄMTLANDS LÄN</t>
        </is>
      </c>
      <c r="E1802" t="inlineStr">
        <is>
          <t>STRÖMSUND</t>
        </is>
      </c>
      <c r="F1802" t="inlineStr">
        <is>
          <t>SCA</t>
        </is>
      </c>
      <c r="G1802" t="n">
        <v>4.1</v>
      </c>
      <c r="H1802" t="n">
        <v>0</v>
      </c>
      <c r="I1802" t="n">
        <v>0</v>
      </c>
      <c r="J1802" t="n">
        <v>0</v>
      </c>
      <c r="K1802" t="n">
        <v>0</v>
      </c>
      <c r="L1802" t="n">
        <v>0</v>
      </c>
      <c r="M1802" t="n">
        <v>0</v>
      </c>
      <c r="N1802" t="n">
        <v>0</v>
      </c>
      <c r="O1802" t="n">
        <v>0</v>
      </c>
      <c r="P1802" t="n">
        <v>0</v>
      </c>
      <c r="Q1802" t="n">
        <v>0</v>
      </c>
      <c r="R1802" s="2" t="inlineStr"/>
    </row>
    <row r="1803" ht="15" customHeight="1">
      <c r="A1803" t="inlineStr">
        <is>
          <t>A 22533-2019</t>
        </is>
      </c>
      <c r="B1803" s="1" t="n">
        <v>43587</v>
      </c>
      <c r="C1803" s="1" t="n">
        <v>45182</v>
      </c>
      <c r="D1803" t="inlineStr">
        <is>
          <t>JÄMTLANDS LÄN</t>
        </is>
      </c>
      <c r="E1803" t="inlineStr">
        <is>
          <t>KROKOM</t>
        </is>
      </c>
      <c r="F1803" t="inlineStr">
        <is>
          <t>Kyrkan</t>
        </is>
      </c>
      <c r="G1803" t="n">
        <v>1.5</v>
      </c>
      <c r="H1803" t="n">
        <v>0</v>
      </c>
      <c r="I1803" t="n">
        <v>0</v>
      </c>
      <c r="J1803" t="n">
        <v>0</v>
      </c>
      <c r="K1803" t="n">
        <v>0</v>
      </c>
      <c r="L1803" t="n">
        <v>0</v>
      </c>
      <c r="M1803" t="n">
        <v>0</v>
      </c>
      <c r="N1803" t="n">
        <v>0</v>
      </c>
      <c r="O1803" t="n">
        <v>0</v>
      </c>
      <c r="P1803" t="n">
        <v>0</v>
      </c>
      <c r="Q1803" t="n">
        <v>0</v>
      </c>
      <c r="R1803" s="2" t="inlineStr"/>
    </row>
    <row r="1804" ht="15" customHeight="1">
      <c r="A1804" t="inlineStr">
        <is>
          <t>A 22521-2019</t>
        </is>
      </c>
      <c r="B1804" s="1" t="n">
        <v>43587</v>
      </c>
      <c r="C1804" s="1" t="n">
        <v>45182</v>
      </c>
      <c r="D1804" t="inlineStr">
        <is>
          <t>JÄMTLANDS LÄN</t>
        </is>
      </c>
      <c r="E1804" t="inlineStr">
        <is>
          <t>KROKOM</t>
        </is>
      </c>
      <c r="F1804" t="inlineStr">
        <is>
          <t>Kyrkan</t>
        </is>
      </c>
      <c r="G1804" t="n">
        <v>14.5</v>
      </c>
      <c r="H1804" t="n">
        <v>0</v>
      </c>
      <c r="I1804" t="n">
        <v>0</v>
      </c>
      <c r="J1804" t="n">
        <v>0</v>
      </c>
      <c r="K1804" t="n">
        <v>0</v>
      </c>
      <c r="L1804" t="n">
        <v>0</v>
      </c>
      <c r="M1804" t="n">
        <v>0</v>
      </c>
      <c r="N1804" t="n">
        <v>0</v>
      </c>
      <c r="O1804" t="n">
        <v>0</v>
      </c>
      <c r="P1804" t="n">
        <v>0</v>
      </c>
      <c r="Q1804" t="n">
        <v>0</v>
      </c>
      <c r="R1804" s="2" t="inlineStr"/>
    </row>
    <row r="1805" ht="15" customHeight="1">
      <c r="A1805" t="inlineStr">
        <is>
          <t>A 22558-2019</t>
        </is>
      </c>
      <c r="B1805" s="1" t="n">
        <v>43587</v>
      </c>
      <c r="C1805" s="1" t="n">
        <v>45182</v>
      </c>
      <c r="D1805" t="inlineStr">
        <is>
          <t>JÄMTLANDS LÄN</t>
        </is>
      </c>
      <c r="E1805" t="inlineStr">
        <is>
          <t>ÅRE</t>
        </is>
      </c>
      <c r="G1805" t="n">
        <v>79.09999999999999</v>
      </c>
      <c r="H1805" t="n">
        <v>0</v>
      </c>
      <c r="I1805" t="n">
        <v>0</v>
      </c>
      <c r="J1805" t="n">
        <v>0</v>
      </c>
      <c r="K1805" t="n">
        <v>0</v>
      </c>
      <c r="L1805" t="n">
        <v>0</v>
      </c>
      <c r="M1805" t="n">
        <v>0</v>
      </c>
      <c r="N1805" t="n">
        <v>0</v>
      </c>
      <c r="O1805" t="n">
        <v>0</v>
      </c>
      <c r="P1805" t="n">
        <v>0</v>
      </c>
      <c r="Q1805" t="n">
        <v>0</v>
      </c>
      <c r="R1805" s="2" t="inlineStr"/>
    </row>
    <row r="1806" ht="15" customHeight="1">
      <c r="A1806" t="inlineStr">
        <is>
          <t>A 22622-2019</t>
        </is>
      </c>
      <c r="B1806" s="1" t="n">
        <v>43588</v>
      </c>
      <c r="C1806" s="1" t="n">
        <v>45182</v>
      </c>
      <c r="D1806" t="inlineStr">
        <is>
          <t>JÄMTLANDS LÄN</t>
        </is>
      </c>
      <c r="E1806" t="inlineStr">
        <is>
          <t>HÄRJEDALEN</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22777-2019</t>
        </is>
      </c>
      <c r="B1807" s="1" t="n">
        <v>43589</v>
      </c>
      <c r="C1807" s="1" t="n">
        <v>45182</v>
      </c>
      <c r="D1807" t="inlineStr">
        <is>
          <t>JÄMTLANDS LÄN</t>
        </is>
      </c>
      <c r="E1807" t="inlineStr">
        <is>
          <t>STRÖMSUND</t>
        </is>
      </c>
      <c r="F1807" t="inlineStr">
        <is>
          <t>SCA</t>
        </is>
      </c>
      <c r="G1807" t="n">
        <v>5.3</v>
      </c>
      <c r="H1807" t="n">
        <v>0</v>
      </c>
      <c r="I1807" t="n">
        <v>0</v>
      </c>
      <c r="J1807" t="n">
        <v>0</v>
      </c>
      <c r="K1807" t="n">
        <v>0</v>
      </c>
      <c r="L1807" t="n">
        <v>0</v>
      </c>
      <c r="M1807" t="n">
        <v>0</v>
      </c>
      <c r="N1807" t="n">
        <v>0</v>
      </c>
      <c r="O1807" t="n">
        <v>0</v>
      </c>
      <c r="P1807" t="n">
        <v>0</v>
      </c>
      <c r="Q1807" t="n">
        <v>0</v>
      </c>
      <c r="R1807" s="2" t="inlineStr"/>
    </row>
    <row r="1808" ht="15" customHeight="1">
      <c r="A1808" t="inlineStr">
        <is>
          <t>A 22799-2019</t>
        </is>
      </c>
      <c r="B1808" s="1" t="n">
        <v>43589</v>
      </c>
      <c r="C1808" s="1" t="n">
        <v>45182</v>
      </c>
      <c r="D1808" t="inlineStr">
        <is>
          <t>JÄMTLANDS LÄN</t>
        </is>
      </c>
      <c r="E1808" t="inlineStr">
        <is>
          <t>RAGUNDA</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22778-2019</t>
        </is>
      </c>
      <c r="B1809" s="1" t="n">
        <v>43589</v>
      </c>
      <c r="C1809" s="1" t="n">
        <v>45182</v>
      </c>
      <c r="D1809" t="inlineStr">
        <is>
          <t>JÄMTLANDS LÄN</t>
        </is>
      </c>
      <c r="E1809" t="inlineStr">
        <is>
          <t>BRÄCKE</t>
        </is>
      </c>
      <c r="F1809" t="inlineStr">
        <is>
          <t>SCA</t>
        </is>
      </c>
      <c r="G1809" t="n">
        <v>0.6</v>
      </c>
      <c r="H1809" t="n">
        <v>0</v>
      </c>
      <c r="I1809" t="n">
        <v>0</v>
      </c>
      <c r="J1809" t="n">
        <v>0</v>
      </c>
      <c r="K1809" t="n">
        <v>0</v>
      </c>
      <c r="L1809" t="n">
        <v>0</v>
      </c>
      <c r="M1809" t="n">
        <v>0</v>
      </c>
      <c r="N1809" t="n">
        <v>0</v>
      </c>
      <c r="O1809" t="n">
        <v>0</v>
      </c>
      <c r="P1809" t="n">
        <v>0</v>
      </c>
      <c r="Q1809" t="n">
        <v>0</v>
      </c>
      <c r="R1809" s="2" t="inlineStr"/>
    </row>
    <row r="1810" ht="15" customHeight="1">
      <c r="A1810" t="inlineStr">
        <is>
          <t>A 22877-2019</t>
        </is>
      </c>
      <c r="B1810" s="1" t="n">
        <v>43591</v>
      </c>
      <c r="C1810" s="1" t="n">
        <v>45182</v>
      </c>
      <c r="D1810" t="inlineStr">
        <is>
          <t>JÄMTLANDS LÄN</t>
        </is>
      </c>
      <c r="E1810" t="inlineStr">
        <is>
          <t>KROKOM</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23040-2019</t>
        </is>
      </c>
      <c r="B1811" s="1" t="n">
        <v>43591</v>
      </c>
      <c r="C1811" s="1" t="n">
        <v>45182</v>
      </c>
      <c r="D1811" t="inlineStr">
        <is>
          <t>JÄMTLANDS LÄN</t>
        </is>
      </c>
      <c r="E1811" t="inlineStr">
        <is>
          <t>STRÖMSUND</t>
        </is>
      </c>
      <c r="G1811" t="n">
        <v>30.4</v>
      </c>
      <c r="H1811" t="n">
        <v>0</v>
      </c>
      <c r="I1811" t="n">
        <v>0</v>
      </c>
      <c r="J1811" t="n">
        <v>0</v>
      </c>
      <c r="K1811" t="n">
        <v>0</v>
      </c>
      <c r="L1811" t="n">
        <v>0</v>
      </c>
      <c r="M1811" t="n">
        <v>0</v>
      </c>
      <c r="N1811" t="n">
        <v>0</v>
      </c>
      <c r="O1811" t="n">
        <v>0</v>
      </c>
      <c r="P1811" t="n">
        <v>0</v>
      </c>
      <c r="Q1811" t="n">
        <v>0</v>
      </c>
      <c r="R1811" s="2" t="inlineStr"/>
    </row>
    <row r="1812" ht="15" customHeight="1">
      <c r="A1812" t="inlineStr">
        <is>
          <t>A 23481-2019</t>
        </is>
      </c>
      <c r="B1812" s="1" t="n">
        <v>43593</v>
      </c>
      <c r="C1812" s="1" t="n">
        <v>45182</v>
      </c>
      <c r="D1812" t="inlineStr">
        <is>
          <t>JÄMTLANDS LÄN</t>
        </is>
      </c>
      <c r="E1812" t="inlineStr">
        <is>
          <t>STRÖMSUND</t>
        </is>
      </c>
      <c r="F1812" t="inlineStr">
        <is>
          <t>SCA</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23480-2019</t>
        </is>
      </c>
      <c r="B1813" s="1" t="n">
        <v>43593</v>
      </c>
      <c r="C1813" s="1" t="n">
        <v>45182</v>
      </c>
      <c r="D1813" t="inlineStr">
        <is>
          <t>JÄMTLANDS LÄN</t>
        </is>
      </c>
      <c r="E1813" t="inlineStr">
        <is>
          <t>BRÄCKE</t>
        </is>
      </c>
      <c r="F1813" t="inlineStr">
        <is>
          <t>SCA</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23736-2019</t>
        </is>
      </c>
      <c r="B1814" s="1" t="n">
        <v>43594</v>
      </c>
      <c r="C1814" s="1" t="n">
        <v>45182</v>
      </c>
      <c r="D1814" t="inlineStr">
        <is>
          <t>JÄMTLANDS LÄN</t>
        </is>
      </c>
      <c r="E1814" t="inlineStr">
        <is>
          <t>BRÄCKE</t>
        </is>
      </c>
      <c r="F1814" t="inlineStr">
        <is>
          <t>SCA</t>
        </is>
      </c>
      <c r="G1814" t="n">
        <v>8.199999999999999</v>
      </c>
      <c r="H1814" t="n">
        <v>0</v>
      </c>
      <c r="I1814" t="n">
        <v>0</v>
      </c>
      <c r="J1814" t="n">
        <v>0</v>
      </c>
      <c r="K1814" t="n">
        <v>0</v>
      </c>
      <c r="L1814" t="n">
        <v>0</v>
      </c>
      <c r="M1814" t="n">
        <v>0</v>
      </c>
      <c r="N1814" t="n">
        <v>0</v>
      </c>
      <c r="O1814" t="n">
        <v>0</v>
      </c>
      <c r="P1814" t="n">
        <v>0</v>
      </c>
      <c r="Q1814" t="n">
        <v>0</v>
      </c>
      <c r="R1814" s="2" t="inlineStr"/>
    </row>
    <row r="1815" ht="15" customHeight="1">
      <c r="A1815" t="inlineStr">
        <is>
          <t>A 23698-2019</t>
        </is>
      </c>
      <c r="B1815" s="1" t="n">
        <v>43594</v>
      </c>
      <c r="C1815" s="1" t="n">
        <v>45182</v>
      </c>
      <c r="D1815" t="inlineStr">
        <is>
          <t>JÄMTLANDS LÄN</t>
        </is>
      </c>
      <c r="E1815" t="inlineStr">
        <is>
          <t>KROKOM</t>
        </is>
      </c>
      <c r="G1815" t="n">
        <v>14.3</v>
      </c>
      <c r="H1815" t="n">
        <v>0</v>
      </c>
      <c r="I1815" t="n">
        <v>0</v>
      </c>
      <c r="J1815" t="n">
        <v>0</v>
      </c>
      <c r="K1815" t="n">
        <v>0</v>
      </c>
      <c r="L1815" t="n">
        <v>0</v>
      </c>
      <c r="M1815" t="n">
        <v>0</v>
      </c>
      <c r="N1815" t="n">
        <v>0</v>
      </c>
      <c r="O1815" t="n">
        <v>0</v>
      </c>
      <c r="P1815" t="n">
        <v>0</v>
      </c>
      <c r="Q1815" t="n">
        <v>0</v>
      </c>
      <c r="R1815" s="2" t="inlineStr"/>
    </row>
    <row r="1816" ht="15" customHeight="1">
      <c r="A1816" t="inlineStr">
        <is>
          <t>A 23821-2019</t>
        </is>
      </c>
      <c r="B1816" s="1" t="n">
        <v>43594</v>
      </c>
      <c r="C1816" s="1" t="n">
        <v>45182</v>
      </c>
      <c r="D1816" t="inlineStr">
        <is>
          <t>JÄMTLANDS LÄN</t>
        </is>
      </c>
      <c r="E1816" t="inlineStr">
        <is>
          <t>RAGUNDA</t>
        </is>
      </c>
      <c r="G1816" t="n">
        <v>0.9</v>
      </c>
      <c r="H1816" t="n">
        <v>0</v>
      </c>
      <c r="I1816" t="n">
        <v>0</v>
      </c>
      <c r="J1816" t="n">
        <v>0</v>
      </c>
      <c r="K1816" t="n">
        <v>0</v>
      </c>
      <c r="L1816" t="n">
        <v>0</v>
      </c>
      <c r="M1816" t="n">
        <v>0</v>
      </c>
      <c r="N1816" t="n">
        <v>0</v>
      </c>
      <c r="O1816" t="n">
        <v>0</v>
      </c>
      <c r="P1816" t="n">
        <v>0</v>
      </c>
      <c r="Q1816" t="n">
        <v>0</v>
      </c>
      <c r="R1816" s="2" t="inlineStr"/>
    </row>
    <row r="1817" ht="15" customHeight="1">
      <c r="A1817" t="inlineStr">
        <is>
          <t>A 23743-2019</t>
        </is>
      </c>
      <c r="B1817" s="1" t="n">
        <v>43594</v>
      </c>
      <c r="C1817" s="1" t="n">
        <v>45182</v>
      </c>
      <c r="D1817" t="inlineStr">
        <is>
          <t>JÄMTLANDS LÄN</t>
        </is>
      </c>
      <c r="E1817" t="inlineStr">
        <is>
          <t>BRÄCKE</t>
        </is>
      </c>
      <c r="F1817" t="inlineStr">
        <is>
          <t>SCA</t>
        </is>
      </c>
      <c r="G1817" t="n">
        <v>1.5</v>
      </c>
      <c r="H1817" t="n">
        <v>0</v>
      </c>
      <c r="I1817" t="n">
        <v>0</v>
      </c>
      <c r="J1817" t="n">
        <v>0</v>
      </c>
      <c r="K1817" t="n">
        <v>0</v>
      </c>
      <c r="L1817" t="n">
        <v>0</v>
      </c>
      <c r="M1817" t="n">
        <v>0</v>
      </c>
      <c r="N1817" t="n">
        <v>0</v>
      </c>
      <c r="O1817" t="n">
        <v>0</v>
      </c>
      <c r="P1817" t="n">
        <v>0</v>
      </c>
      <c r="Q1817" t="n">
        <v>0</v>
      </c>
      <c r="R1817" s="2" t="inlineStr"/>
    </row>
    <row r="1818" ht="15" customHeight="1">
      <c r="A1818" t="inlineStr">
        <is>
          <t>A 23609-2019</t>
        </is>
      </c>
      <c r="B1818" s="1" t="n">
        <v>43594</v>
      </c>
      <c r="C1818" s="1" t="n">
        <v>45182</v>
      </c>
      <c r="D1818" t="inlineStr">
        <is>
          <t>JÄMTLANDS LÄN</t>
        </is>
      </c>
      <c r="E1818" t="inlineStr">
        <is>
          <t>ÖSTERSUND</t>
        </is>
      </c>
      <c r="G1818" t="n">
        <v>2.5</v>
      </c>
      <c r="H1818" t="n">
        <v>0</v>
      </c>
      <c r="I1818" t="n">
        <v>0</v>
      </c>
      <c r="J1818" t="n">
        <v>0</v>
      </c>
      <c r="K1818" t="n">
        <v>0</v>
      </c>
      <c r="L1818" t="n">
        <v>0</v>
      </c>
      <c r="M1818" t="n">
        <v>0</v>
      </c>
      <c r="N1818" t="n">
        <v>0</v>
      </c>
      <c r="O1818" t="n">
        <v>0</v>
      </c>
      <c r="P1818" t="n">
        <v>0</v>
      </c>
      <c r="Q1818" t="n">
        <v>0</v>
      </c>
      <c r="R1818" s="2" t="inlineStr"/>
    </row>
    <row r="1819" ht="15" customHeight="1">
      <c r="A1819" t="inlineStr">
        <is>
          <t>A 23728-2019</t>
        </is>
      </c>
      <c r="B1819" s="1" t="n">
        <v>43594</v>
      </c>
      <c r="C1819" s="1" t="n">
        <v>45182</v>
      </c>
      <c r="D1819" t="inlineStr">
        <is>
          <t>JÄMTLANDS LÄN</t>
        </is>
      </c>
      <c r="E1819" t="inlineStr">
        <is>
          <t>BERG</t>
        </is>
      </c>
      <c r="G1819" t="n">
        <v>27.7</v>
      </c>
      <c r="H1819" t="n">
        <v>0</v>
      </c>
      <c r="I1819" t="n">
        <v>0</v>
      </c>
      <c r="J1819" t="n">
        <v>0</v>
      </c>
      <c r="K1819" t="n">
        <v>0</v>
      </c>
      <c r="L1819" t="n">
        <v>0</v>
      </c>
      <c r="M1819" t="n">
        <v>0</v>
      </c>
      <c r="N1819" t="n">
        <v>0</v>
      </c>
      <c r="O1819" t="n">
        <v>0</v>
      </c>
      <c r="P1819" t="n">
        <v>0</v>
      </c>
      <c r="Q1819" t="n">
        <v>0</v>
      </c>
      <c r="R1819" s="2" t="inlineStr"/>
    </row>
    <row r="1820" ht="15" customHeight="1">
      <c r="A1820" t="inlineStr">
        <is>
          <t>A 23740-2019</t>
        </is>
      </c>
      <c r="B1820" s="1" t="n">
        <v>43594</v>
      </c>
      <c r="C1820" s="1" t="n">
        <v>45182</v>
      </c>
      <c r="D1820" t="inlineStr">
        <is>
          <t>JÄMTLANDS LÄN</t>
        </is>
      </c>
      <c r="E1820" t="inlineStr">
        <is>
          <t>RAGUNDA</t>
        </is>
      </c>
      <c r="F1820" t="inlineStr">
        <is>
          <t>SCA</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23940-2019</t>
        </is>
      </c>
      <c r="B1821" s="1" t="n">
        <v>43595</v>
      </c>
      <c r="C1821" s="1" t="n">
        <v>45182</v>
      </c>
      <c r="D1821" t="inlineStr">
        <is>
          <t>JÄMTLANDS LÄN</t>
        </is>
      </c>
      <c r="E1821" t="inlineStr">
        <is>
          <t>ÖSTERSUND</t>
        </is>
      </c>
      <c r="F1821" t="inlineStr">
        <is>
          <t>SCA</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23941-2019</t>
        </is>
      </c>
      <c r="B1822" s="1" t="n">
        <v>43595</v>
      </c>
      <c r="C1822" s="1" t="n">
        <v>45182</v>
      </c>
      <c r="D1822" t="inlineStr">
        <is>
          <t>JÄMTLANDS LÄN</t>
        </is>
      </c>
      <c r="E1822" t="inlineStr">
        <is>
          <t>STRÖMSUND</t>
        </is>
      </c>
      <c r="F1822" t="inlineStr">
        <is>
          <t>SCA</t>
        </is>
      </c>
      <c r="G1822" t="n">
        <v>1.4</v>
      </c>
      <c r="H1822" t="n">
        <v>0</v>
      </c>
      <c r="I1822" t="n">
        <v>0</v>
      </c>
      <c r="J1822" t="n">
        <v>0</v>
      </c>
      <c r="K1822" t="n">
        <v>0</v>
      </c>
      <c r="L1822" t="n">
        <v>0</v>
      </c>
      <c r="M1822" t="n">
        <v>0</v>
      </c>
      <c r="N1822" t="n">
        <v>0</v>
      </c>
      <c r="O1822" t="n">
        <v>0</v>
      </c>
      <c r="P1822" t="n">
        <v>0</v>
      </c>
      <c r="Q1822" t="n">
        <v>0</v>
      </c>
      <c r="R1822" s="2" t="inlineStr"/>
    </row>
    <row r="1823" ht="15" customHeight="1">
      <c r="A1823" t="inlineStr">
        <is>
          <t>A 23945-2019</t>
        </is>
      </c>
      <c r="B1823" s="1" t="n">
        <v>43596</v>
      </c>
      <c r="C1823" s="1" t="n">
        <v>45182</v>
      </c>
      <c r="D1823" t="inlineStr">
        <is>
          <t>JÄMTLANDS LÄN</t>
        </is>
      </c>
      <c r="E1823" t="inlineStr">
        <is>
          <t>STRÖMSUND</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23958-2019</t>
        </is>
      </c>
      <c r="B1824" s="1" t="n">
        <v>43597</v>
      </c>
      <c r="C1824" s="1" t="n">
        <v>45182</v>
      </c>
      <c r="D1824" t="inlineStr">
        <is>
          <t>JÄMTLANDS LÄN</t>
        </is>
      </c>
      <c r="E1824" t="inlineStr">
        <is>
          <t>STRÖMSUND</t>
        </is>
      </c>
      <c r="G1824" t="n">
        <v>20.7</v>
      </c>
      <c r="H1824" t="n">
        <v>0</v>
      </c>
      <c r="I1824" t="n">
        <v>0</v>
      </c>
      <c r="J1824" t="n">
        <v>0</v>
      </c>
      <c r="K1824" t="n">
        <v>0</v>
      </c>
      <c r="L1824" t="n">
        <v>0</v>
      </c>
      <c r="M1824" t="n">
        <v>0</v>
      </c>
      <c r="N1824" t="n">
        <v>0</v>
      </c>
      <c r="O1824" t="n">
        <v>0</v>
      </c>
      <c r="P1824" t="n">
        <v>0</v>
      </c>
      <c r="Q1824" t="n">
        <v>0</v>
      </c>
      <c r="R1824" s="2" t="inlineStr"/>
    </row>
    <row r="1825" ht="15" customHeight="1">
      <c r="A1825" t="inlineStr">
        <is>
          <t>A 24122-2019</t>
        </is>
      </c>
      <c r="B1825" s="1" t="n">
        <v>43598</v>
      </c>
      <c r="C1825" s="1" t="n">
        <v>45182</v>
      </c>
      <c r="D1825" t="inlineStr">
        <is>
          <t>JÄMTLANDS LÄN</t>
        </is>
      </c>
      <c r="E1825" t="inlineStr">
        <is>
          <t>BRÄCKE</t>
        </is>
      </c>
      <c r="F1825" t="inlineStr">
        <is>
          <t>Kyrkan</t>
        </is>
      </c>
      <c r="G1825" t="n">
        <v>2.2</v>
      </c>
      <c r="H1825" t="n">
        <v>0</v>
      </c>
      <c r="I1825" t="n">
        <v>0</v>
      </c>
      <c r="J1825" t="n">
        <v>0</v>
      </c>
      <c r="K1825" t="n">
        <v>0</v>
      </c>
      <c r="L1825" t="n">
        <v>0</v>
      </c>
      <c r="M1825" t="n">
        <v>0</v>
      </c>
      <c r="N1825" t="n">
        <v>0</v>
      </c>
      <c r="O1825" t="n">
        <v>0</v>
      </c>
      <c r="P1825" t="n">
        <v>0</v>
      </c>
      <c r="Q1825" t="n">
        <v>0</v>
      </c>
      <c r="R1825" s="2" t="inlineStr"/>
    </row>
    <row r="1826" ht="15" customHeight="1">
      <c r="A1826" t="inlineStr">
        <is>
          <t>A 24163-2019</t>
        </is>
      </c>
      <c r="B1826" s="1" t="n">
        <v>43598</v>
      </c>
      <c r="C1826" s="1" t="n">
        <v>45182</v>
      </c>
      <c r="D1826" t="inlineStr">
        <is>
          <t>JÄMTLANDS LÄN</t>
        </is>
      </c>
      <c r="E1826" t="inlineStr">
        <is>
          <t>ÅRE</t>
        </is>
      </c>
      <c r="G1826" t="n">
        <v>16.5</v>
      </c>
      <c r="H1826" t="n">
        <v>0</v>
      </c>
      <c r="I1826" t="n">
        <v>0</v>
      </c>
      <c r="J1826" t="n">
        <v>0</v>
      </c>
      <c r="K1826" t="n">
        <v>0</v>
      </c>
      <c r="L1826" t="n">
        <v>0</v>
      </c>
      <c r="M1826" t="n">
        <v>0</v>
      </c>
      <c r="N1826" t="n">
        <v>0</v>
      </c>
      <c r="O1826" t="n">
        <v>0</v>
      </c>
      <c r="P1826" t="n">
        <v>0</v>
      </c>
      <c r="Q1826" t="n">
        <v>0</v>
      </c>
      <c r="R1826" s="2" t="inlineStr"/>
    </row>
    <row r="1827" ht="15" customHeight="1">
      <c r="A1827" t="inlineStr">
        <is>
          <t>A 24525-2019</t>
        </is>
      </c>
      <c r="B1827" s="1" t="n">
        <v>43598</v>
      </c>
      <c r="C1827" s="1" t="n">
        <v>45182</v>
      </c>
      <c r="D1827" t="inlineStr">
        <is>
          <t>JÄMTLANDS LÄN</t>
        </is>
      </c>
      <c r="E1827" t="inlineStr">
        <is>
          <t>STRÖMSUND</t>
        </is>
      </c>
      <c r="F1827" t="inlineStr">
        <is>
          <t>SCA</t>
        </is>
      </c>
      <c r="G1827" t="n">
        <v>4.2</v>
      </c>
      <c r="H1827" t="n">
        <v>0</v>
      </c>
      <c r="I1827" t="n">
        <v>0</v>
      </c>
      <c r="J1827" t="n">
        <v>0</v>
      </c>
      <c r="K1827" t="n">
        <v>0</v>
      </c>
      <c r="L1827" t="n">
        <v>0</v>
      </c>
      <c r="M1827" t="n">
        <v>0</v>
      </c>
      <c r="N1827" t="n">
        <v>0</v>
      </c>
      <c r="O1827" t="n">
        <v>0</v>
      </c>
      <c r="P1827" t="n">
        <v>0</v>
      </c>
      <c r="Q1827" t="n">
        <v>0</v>
      </c>
      <c r="R1827" s="2" t="inlineStr"/>
    </row>
    <row r="1828" ht="15" customHeight="1">
      <c r="A1828" t="inlineStr">
        <is>
          <t>A 24030-2019</t>
        </is>
      </c>
      <c r="B1828" s="1" t="n">
        <v>43598</v>
      </c>
      <c r="C1828" s="1" t="n">
        <v>45182</v>
      </c>
      <c r="D1828" t="inlineStr">
        <is>
          <t>JÄMTLANDS LÄN</t>
        </is>
      </c>
      <c r="E1828" t="inlineStr">
        <is>
          <t>HÄRJEDALEN</t>
        </is>
      </c>
      <c r="F1828" t="inlineStr">
        <is>
          <t>Sveaskog</t>
        </is>
      </c>
      <c r="G1828" t="n">
        <v>39.9</v>
      </c>
      <c r="H1828" t="n">
        <v>0</v>
      </c>
      <c r="I1828" t="n">
        <v>0</v>
      </c>
      <c r="J1828" t="n">
        <v>0</v>
      </c>
      <c r="K1828" t="n">
        <v>0</v>
      </c>
      <c r="L1828" t="n">
        <v>0</v>
      </c>
      <c r="M1828" t="n">
        <v>0</v>
      </c>
      <c r="N1828" t="n">
        <v>0</v>
      </c>
      <c r="O1828" t="n">
        <v>0</v>
      </c>
      <c r="P1828" t="n">
        <v>0</v>
      </c>
      <c r="Q1828" t="n">
        <v>0</v>
      </c>
      <c r="R1828" s="2" t="inlineStr"/>
    </row>
    <row r="1829" ht="15" customHeight="1">
      <c r="A1829" t="inlineStr">
        <is>
          <t>A 24162-2019</t>
        </is>
      </c>
      <c r="B1829" s="1" t="n">
        <v>43598</v>
      </c>
      <c r="C1829" s="1" t="n">
        <v>45182</v>
      </c>
      <c r="D1829" t="inlineStr">
        <is>
          <t>JÄMTLANDS LÄN</t>
        </is>
      </c>
      <c r="E1829" t="inlineStr">
        <is>
          <t>STRÖMSUND</t>
        </is>
      </c>
      <c r="F1829" t="inlineStr">
        <is>
          <t>SCA</t>
        </is>
      </c>
      <c r="G1829" t="n">
        <v>18.9</v>
      </c>
      <c r="H1829" t="n">
        <v>0</v>
      </c>
      <c r="I1829" t="n">
        <v>0</v>
      </c>
      <c r="J1829" t="n">
        <v>0</v>
      </c>
      <c r="K1829" t="n">
        <v>0</v>
      </c>
      <c r="L1829" t="n">
        <v>0</v>
      </c>
      <c r="M1829" t="n">
        <v>0</v>
      </c>
      <c r="N1829" t="n">
        <v>0</v>
      </c>
      <c r="O1829" t="n">
        <v>0</v>
      </c>
      <c r="P1829" t="n">
        <v>0</v>
      </c>
      <c r="Q1829" t="n">
        <v>0</v>
      </c>
      <c r="R1829" s="2" t="inlineStr"/>
    </row>
    <row r="1830" ht="15" customHeight="1">
      <c r="A1830" t="inlineStr">
        <is>
          <t>A 24900-2019</t>
        </is>
      </c>
      <c r="B1830" s="1" t="n">
        <v>43599</v>
      </c>
      <c r="C1830" s="1" t="n">
        <v>45182</v>
      </c>
      <c r="D1830" t="inlineStr">
        <is>
          <t>JÄMTLANDS LÄN</t>
        </is>
      </c>
      <c r="E1830" t="inlineStr">
        <is>
          <t>KROKOM</t>
        </is>
      </c>
      <c r="G1830" t="n">
        <v>3.3</v>
      </c>
      <c r="H1830" t="n">
        <v>0</v>
      </c>
      <c r="I1830" t="n">
        <v>0</v>
      </c>
      <c r="J1830" t="n">
        <v>0</v>
      </c>
      <c r="K1830" t="n">
        <v>0</v>
      </c>
      <c r="L1830" t="n">
        <v>0</v>
      </c>
      <c r="M1830" t="n">
        <v>0</v>
      </c>
      <c r="N1830" t="n">
        <v>0</v>
      </c>
      <c r="O1830" t="n">
        <v>0</v>
      </c>
      <c r="P1830" t="n">
        <v>0</v>
      </c>
      <c r="Q1830" t="n">
        <v>0</v>
      </c>
      <c r="R1830" s="2" t="inlineStr"/>
    </row>
    <row r="1831" ht="15" customHeight="1">
      <c r="A1831" t="inlineStr">
        <is>
          <t>A 24577-2019</t>
        </is>
      </c>
      <c r="B1831" s="1" t="n">
        <v>43600</v>
      </c>
      <c r="C1831" s="1" t="n">
        <v>45182</v>
      </c>
      <c r="D1831" t="inlineStr">
        <is>
          <t>JÄMTLANDS LÄN</t>
        </is>
      </c>
      <c r="E1831" t="inlineStr">
        <is>
          <t>STRÖMSUND</t>
        </is>
      </c>
      <c r="F1831" t="inlineStr">
        <is>
          <t>SCA</t>
        </is>
      </c>
      <c r="G1831" t="n">
        <v>138.7</v>
      </c>
      <c r="H1831" t="n">
        <v>0</v>
      </c>
      <c r="I1831" t="n">
        <v>0</v>
      </c>
      <c r="J1831" t="n">
        <v>0</v>
      </c>
      <c r="K1831" t="n">
        <v>0</v>
      </c>
      <c r="L1831" t="n">
        <v>0</v>
      </c>
      <c r="M1831" t="n">
        <v>0</v>
      </c>
      <c r="N1831" t="n">
        <v>0</v>
      </c>
      <c r="O1831" t="n">
        <v>0</v>
      </c>
      <c r="P1831" t="n">
        <v>0</v>
      </c>
      <c r="Q1831" t="n">
        <v>0</v>
      </c>
      <c r="R1831" s="2" t="inlineStr"/>
    </row>
    <row r="1832" ht="15" customHeight="1">
      <c r="A1832" t="inlineStr">
        <is>
          <t>A 25205-2019</t>
        </is>
      </c>
      <c r="B1832" s="1" t="n">
        <v>43600</v>
      </c>
      <c r="C1832" s="1" t="n">
        <v>45182</v>
      </c>
      <c r="D1832" t="inlineStr">
        <is>
          <t>JÄMTLANDS LÄN</t>
        </is>
      </c>
      <c r="E1832" t="inlineStr">
        <is>
          <t>ÖSTERSUND</t>
        </is>
      </c>
      <c r="G1832" t="n">
        <v>3.8</v>
      </c>
      <c r="H1832" t="n">
        <v>0</v>
      </c>
      <c r="I1832" t="n">
        <v>0</v>
      </c>
      <c r="J1832" t="n">
        <v>0</v>
      </c>
      <c r="K1832" t="n">
        <v>0</v>
      </c>
      <c r="L1832" t="n">
        <v>0</v>
      </c>
      <c r="M1832" t="n">
        <v>0</v>
      </c>
      <c r="N1832" t="n">
        <v>0</v>
      </c>
      <c r="O1832" t="n">
        <v>0</v>
      </c>
      <c r="P1832" t="n">
        <v>0</v>
      </c>
      <c r="Q1832" t="n">
        <v>0</v>
      </c>
      <c r="R1832" s="2" t="inlineStr"/>
    </row>
    <row r="1833" ht="15" customHeight="1">
      <c r="A1833" t="inlineStr">
        <is>
          <t>A 24760-2019</t>
        </is>
      </c>
      <c r="B1833" s="1" t="n">
        <v>43601</v>
      </c>
      <c r="C1833" s="1" t="n">
        <v>45182</v>
      </c>
      <c r="D1833" t="inlineStr">
        <is>
          <t>JÄMTLANDS LÄN</t>
        </is>
      </c>
      <c r="E1833" t="inlineStr">
        <is>
          <t>HÄRJEDALEN</t>
        </is>
      </c>
      <c r="F1833" t="inlineStr">
        <is>
          <t>Sveaskog</t>
        </is>
      </c>
      <c r="G1833" t="n">
        <v>2.3</v>
      </c>
      <c r="H1833" t="n">
        <v>0</v>
      </c>
      <c r="I1833" t="n">
        <v>0</v>
      </c>
      <c r="J1833" t="n">
        <v>0</v>
      </c>
      <c r="K1833" t="n">
        <v>0</v>
      </c>
      <c r="L1833" t="n">
        <v>0</v>
      </c>
      <c r="M1833" t="n">
        <v>0</v>
      </c>
      <c r="N1833" t="n">
        <v>0</v>
      </c>
      <c r="O1833" t="n">
        <v>0</v>
      </c>
      <c r="P1833" t="n">
        <v>0</v>
      </c>
      <c r="Q1833" t="n">
        <v>0</v>
      </c>
      <c r="R1833" s="2" t="inlineStr"/>
    </row>
    <row r="1834" ht="15" customHeight="1">
      <c r="A1834" t="inlineStr">
        <is>
          <t>A 24787-2019</t>
        </is>
      </c>
      <c r="B1834" s="1" t="n">
        <v>43601</v>
      </c>
      <c r="C1834" s="1" t="n">
        <v>45182</v>
      </c>
      <c r="D1834" t="inlineStr">
        <is>
          <t>JÄMTLANDS LÄN</t>
        </is>
      </c>
      <c r="E1834" t="inlineStr">
        <is>
          <t>STRÖMSUND</t>
        </is>
      </c>
      <c r="F1834" t="inlineStr">
        <is>
          <t>SCA</t>
        </is>
      </c>
      <c r="G1834" t="n">
        <v>6.5</v>
      </c>
      <c r="H1834" t="n">
        <v>0</v>
      </c>
      <c r="I1834" t="n">
        <v>0</v>
      </c>
      <c r="J1834" t="n">
        <v>0</v>
      </c>
      <c r="K1834" t="n">
        <v>0</v>
      </c>
      <c r="L1834" t="n">
        <v>0</v>
      </c>
      <c r="M1834" t="n">
        <v>0</v>
      </c>
      <c r="N1834" t="n">
        <v>0</v>
      </c>
      <c r="O1834" t="n">
        <v>0</v>
      </c>
      <c r="P1834" t="n">
        <v>0</v>
      </c>
      <c r="Q1834" t="n">
        <v>0</v>
      </c>
      <c r="R1834" s="2" t="inlineStr"/>
    </row>
    <row r="1835" ht="15" customHeight="1">
      <c r="A1835" t="inlineStr">
        <is>
          <t>A 24710-2019</t>
        </is>
      </c>
      <c r="B1835" s="1" t="n">
        <v>43601</v>
      </c>
      <c r="C1835" s="1" t="n">
        <v>45182</v>
      </c>
      <c r="D1835" t="inlineStr">
        <is>
          <t>JÄMTLANDS LÄN</t>
        </is>
      </c>
      <c r="E1835" t="inlineStr">
        <is>
          <t>BERG</t>
        </is>
      </c>
      <c r="G1835" t="n">
        <v>3.2</v>
      </c>
      <c r="H1835" t="n">
        <v>0</v>
      </c>
      <c r="I1835" t="n">
        <v>0</v>
      </c>
      <c r="J1835" t="n">
        <v>0</v>
      </c>
      <c r="K1835" t="n">
        <v>0</v>
      </c>
      <c r="L1835" t="n">
        <v>0</v>
      </c>
      <c r="M1835" t="n">
        <v>0</v>
      </c>
      <c r="N1835" t="n">
        <v>0</v>
      </c>
      <c r="O1835" t="n">
        <v>0</v>
      </c>
      <c r="P1835" t="n">
        <v>0</v>
      </c>
      <c r="Q1835" t="n">
        <v>0</v>
      </c>
      <c r="R1835" s="2" t="inlineStr"/>
    </row>
    <row r="1836" ht="15" customHeight="1">
      <c r="A1836" t="inlineStr">
        <is>
          <t>A 25641-2019</t>
        </is>
      </c>
      <c r="B1836" s="1" t="n">
        <v>43602</v>
      </c>
      <c r="C1836" s="1" t="n">
        <v>45182</v>
      </c>
      <c r="D1836" t="inlineStr">
        <is>
          <t>JÄMTLANDS LÄN</t>
        </is>
      </c>
      <c r="E1836" t="inlineStr">
        <is>
          <t>KROKOM</t>
        </is>
      </c>
      <c r="G1836" t="n">
        <v>1.3</v>
      </c>
      <c r="H1836" t="n">
        <v>0</v>
      </c>
      <c r="I1836" t="n">
        <v>0</v>
      </c>
      <c r="J1836" t="n">
        <v>0</v>
      </c>
      <c r="K1836" t="n">
        <v>0</v>
      </c>
      <c r="L1836" t="n">
        <v>0</v>
      </c>
      <c r="M1836" t="n">
        <v>0</v>
      </c>
      <c r="N1836" t="n">
        <v>0</v>
      </c>
      <c r="O1836" t="n">
        <v>0</v>
      </c>
      <c r="P1836" t="n">
        <v>0</v>
      </c>
      <c r="Q1836" t="n">
        <v>0</v>
      </c>
      <c r="R1836" s="2" t="inlineStr"/>
    </row>
    <row r="1837" ht="15" customHeight="1">
      <c r="A1837" t="inlineStr">
        <is>
          <t>A 24839-2019</t>
        </is>
      </c>
      <c r="B1837" s="1" t="n">
        <v>43602</v>
      </c>
      <c r="C1837" s="1" t="n">
        <v>45182</v>
      </c>
      <c r="D1837" t="inlineStr">
        <is>
          <t>JÄMTLANDS LÄN</t>
        </is>
      </c>
      <c r="E1837" t="inlineStr">
        <is>
          <t>BERG</t>
        </is>
      </c>
      <c r="G1837" t="n">
        <v>5.9</v>
      </c>
      <c r="H1837" t="n">
        <v>0</v>
      </c>
      <c r="I1837" t="n">
        <v>0</v>
      </c>
      <c r="J1837" t="n">
        <v>0</v>
      </c>
      <c r="K1837" t="n">
        <v>0</v>
      </c>
      <c r="L1837" t="n">
        <v>0</v>
      </c>
      <c r="M1837" t="n">
        <v>0</v>
      </c>
      <c r="N1837" t="n">
        <v>0</v>
      </c>
      <c r="O1837" t="n">
        <v>0</v>
      </c>
      <c r="P1837" t="n">
        <v>0</v>
      </c>
      <c r="Q1837" t="n">
        <v>0</v>
      </c>
      <c r="R1837" s="2" t="inlineStr"/>
    </row>
    <row r="1838" ht="15" customHeight="1">
      <c r="A1838" t="inlineStr">
        <is>
          <t>A 25634-2019</t>
        </is>
      </c>
      <c r="B1838" s="1" t="n">
        <v>43602</v>
      </c>
      <c r="C1838" s="1" t="n">
        <v>45182</v>
      </c>
      <c r="D1838" t="inlineStr">
        <is>
          <t>JÄMTLANDS LÄN</t>
        </is>
      </c>
      <c r="E1838" t="inlineStr">
        <is>
          <t>KROKOM</t>
        </is>
      </c>
      <c r="G1838" t="n">
        <v>0.6</v>
      </c>
      <c r="H1838" t="n">
        <v>0</v>
      </c>
      <c r="I1838" t="n">
        <v>0</v>
      </c>
      <c r="J1838" t="n">
        <v>0</v>
      </c>
      <c r="K1838" t="n">
        <v>0</v>
      </c>
      <c r="L1838" t="n">
        <v>0</v>
      </c>
      <c r="M1838" t="n">
        <v>0</v>
      </c>
      <c r="N1838" t="n">
        <v>0</v>
      </c>
      <c r="O1838" t="n">
        <v>0</v>
      </c>
      <c r="P1838" t="n">
        <v>0</v>
      </c>
      <c r="Q1838" t="n">
        <v>0</v>
      </c>
      <c r="R1838" s="2" t="inlineStr"/>
    </row>
    <row r="1839" ht="15" customHeight="1">
      <c r="A1839" t="inlineStr">
        <is>
          <t>A 25018-2019</t>
        </is>
      </c>
      <c r="B1839" s="1" t="n">
        <v>43602</v>
      </c>
      <c r="C1839" s="1" t="n">
        <v>45182</v>
      </c>
      <c r="D1839" t="inlineStr">
        <is>
          <t>JÄMTLANDS LÄN</t>
        </is>
      </c>
      <c r="E1839" t="inlineStr">
        <is>
          <t>BRÄCKE</t>
        </is>
      </c>
      <c r="F1839" t="inlineStr">
        <is>
          <t>SCA</t>
        </is>
      </c>
      <c r="G1839" t="n">
        <v>8</v>
      </c>
      <c r="H1839" t="n">
        <v>0</v>
      </c>
      <c r="I1839" t="n">
        <v>0</v>
      </c>
      <c r="J1839" t="n">
        <v>0</v>
      </c>
      <c r="K1839" t="n">
        <v>0</v>
      </c>
      <c r="L1839" t="n">
        <v>0</v>
      </c>
      <c r="M1839" t="n">
        <v>0</v>
      </c>
      <c r="N1839" t="n">
        <v>0</v>
      </c>
      <c r="O1839" t="n">
        <v>0</v>
      </c>
      <c r="P1839" t="n">
        <v>0</v>
      </c>
      <c r="Q1839" t="n">
        <v>0</v>
      </c>
      <c r="R1839" s="2" t="inlineStr"/>
    </row>
    <row r="1840" ht="15" customHeight="1">
      <c r="A1840" t="inlineStr">
        <is>
          <t>A 25644-2019</t>
        </is>
      </c>
      <c r="B1840" s="1" t="n">
        <v>43602</v>
      </c>
      <c r="C1840" s="1" t="n">
        <v>45182</v>
      </c>
      <c r="D1840" t="inlineStr">
        <is>
          <t>JÄMTLANDS LÄN</t>
        </is>
      </c>
      <c r="E1840" t="inlineStr">
        <is>
          <t>KROKOM</t>
        </is>
      </c>
      <c r="G1840" t="n">
        <v>0.4</v>
      </c>
      <c r="H1840" t="n">
        <v>0</v>
      </c>
      <c r="I1840" t="n">
        <v>0</v>
      </c>
      <c r="J1840" t="n">
        <v>0</v>
      </c>
      <c r="K1840" t="n">
        <v>0</v>
      </c>
      <c r="L1840" t="n">
        <v>0</v>
      </c>
      <c r="M1840" t="n">
        <v>0</v>
      </c>
      <c r="N1840" t="n">
        <v>0</v>
      </c>
      <c r="O1840" t="n">
        <v>0</v>
      </c>
      <c r="P1840" t="n">
        <v>0</v>
      </c>
      <c r="Q1840" t="n">
        <v>0</v>
      </c>
      <c r="R1840" s="2" t="inlineStr"/>
    </row>
    <row r="1841" ht="15" customHeight="1">
      <c r="A1841" t="inlineStr">
        <is>
          <t>A 25309-2019</t>
        </is>
      </c>
      <c r="B1841" s="1" t="n">
        <v>43605</v>
      </c>
      <c r="C1841" s="1" t="n">
        <v>45182</v>
      </c>
      <c r="D1841" t="inlineStr">
        <is>
          <t>JÄMTLANDS LÄN</t>
        </is>
      </c>
      <c r="E1841" t="inlineStr">
        <is>
          <t>HÄRJEDALEN</t>
        </is>
      </c>
      <c r="G1841" t="n">
        <v>0.1</v>
      </c>
      <c r="H1841" t="n">
        <v>0</v>
      </c>
      <c r="I1841" t="n">
        <v>0</v>
      </c>
      <c r="J1841" t="n">
        <v>0</v>
      </c>
      <c r="K1841" t="n">
        <v>0</v>
      </c>
      <c r="L1841" t="n">
        <v>0</v>
      </c>
      <c r="M1841" t="n">
        <v>0</v>
      </c>
      <c r="N1841" t="n">
        <v>0</v>
      </c>
      <c r="O1841" t="n">
        <v>0</v>
      </c>
      <c r="P1841" t="n">
        <v>0</v>
      </c>
      <c r="Q1841" t="n">
        <v>0</v>
      </c>
      <c r="R1841" s="2" t="inlineStr"/>
    </row>
    <row r="1842" ht="15" customHeight="1">
      <c r="A1842" t="inlineStr">
        <is>
          <t>A 25099-2019</t>
        </is>
      </c>
      <c r="B1842" s="1" t="n">
        <v>43605</v>
      </c>
      <c r="C1842" s="1" t="n">
        <v>45182</v>
      </c>
      <c r="D1842" t="inlineStr">
        <is>
          <t>JÄMTLANDS LÄN</t>
        </is>
      </c>
      <c r="E1842" t="inlineStr">
        <is>
          <t>ÅRE</t>
        </is>
      </c>
      <c r="G1842" t="n">
        <v>8.9</v>
      </c>
      <c r="H1842" t="n">
        <v>0</v>
      </c>
      <c r="I1842" t="n">
        <v>0</v>
      </c>
      <c r="J1842" t="n">
        <v>0</v>
      </c>
      <c r="K1842" t="n">
        <v>0</v>
      </c>
      <c r="L1842" t="n">
        <v>0</v>
      </c>
      <c r="M1842" t="n">
        <v>0</v>
      </c>
      <c r="N1842" t="n">
        <v>0</v>
      </c>
      <c r="O1842" t="n">
        <v>0</v>
      </c>
      <c r="P1842" t="n">
        <v>0</v>
      </c>
      <c r="Q1842" t="n">
        <v>0</v>
      </c>
      <c r="R1842" s="2" t="inlineStr"/>
    </row>
    <row r="1843" ht="15" customHeight="1">
      <c r="A1843" t="inlineStr">
        <is>
          <t>A 25115-2019</t>
        </is>
      </c>
      <c r="B1843" s="1" t="n">
        <v>43605</v>
      </c>
      <c r="C1843" s="1" t="n">
        <v>45182</v>
      </c>
      <c r="D1843" t="inlineStr">
        <is>
          <t>JÄMTLANDS LÄN</t>
        </is>
      </c>
      <c r="E1843" t="inlineStr">
        <is>
          <t>KROKOM</t>
        </is>
      </c>
      <c r="G1843" t="n">
        <v>2.2</v>
      </c>
      <c r="H1843" t="n">
        <v>0</v>
      </c>
      <c r="I1843" t="n">
        <v>0</v>
      </c>
      <c r="J1843" t="n">
        <v>0</v>
      </c>
      <c r="K1843" t="n">
        <v>0</v>
      </c>
      <c r="L1843" t="n">
        <v>0</v>
      </c>
      <c r="M1843" t="n">
        <v>0</v>
      </c>
      <c r="N1843" t="n">
        <v>0</v>
      </c>
      <c r="O1843" t="n">
        <v>0</v>
      </c>
      <c r="P1843" t="n">
        <v>0</v>
      </c>
      <c r="Q1843" t="n">
        <v>0</v>
      </c>
      <c r="R1843" s="2" t="inlineStr"/>
    </row>
    <row r="1844" ht="15" customHeight="1">
      <c r="A1844" t="inlineStr">
        <is>
          <t>A 25844-2019</t>
        </is>
      </c>
      <c r="B1844" s="1" t="n">
        <v>43605</v>
      </c>
      <c r="C1844" s="1" t="n">
        <v>45182</v>
      </c>
      <c r="D1844" t="inlineStr">
        <is>
          <t>JÄMTLANDS LÄN</t>
        </is>
      </c>
      <c r="E1844" t="inlineStr">
        <is>
          <t>BERG</t>
        </is>
      </c>
      <c r="G1844" t="n">
        <v>1.2</v>
      </c>
      <c r="H1844" t="n">
        <v>0</v>
      </c>
      <c r="I1844" t="n">
        <v>0</v>
      </c>
      <c r="J1844" t="n">
        <v>0</v>
      </c>
      <c r="K1844" t="n">
        <v>0</v>
      </c>
      <c r="L1844" t="n">
        <v>0</v>
      </c>
      <c r="M1844" t="n">
        <v>0</v>
      </c>
      <c r="N1844" t="n">
        <v>0</v>
      </c>
      <c r="O1844" t="n">
        <v>0</v>
      </c>
      <c r="P1844" t="n">
        <v>0</v>
      </c>
      <c r="Q1844" t="n">
        <v>0</v>
      </c>
      <c r="R1844" s="2" t="inlineStr"/>
    </row>
    <row r="1845" ht="15" customHeight="1">
      <c r="A1845" t="inlineStr">
        <is>
          <t>A 25470-2019</t>
        </is>
      </c>
      <c r="B1845" s="1" t="n">
        <v>43606</v>
      </c>
      <c r="C1845" s="1" t="n">
        <v>45182</v>
      </c>
      <c r="D1845" t="inlineStr">
        <is>
          <t>JÄMTLANDS LÄN</t>
        </is>
      </c>
      <c r="E1845" t="inlineStr">
        <is>
          <t>HÄRJEDALEN</t>
        </is>
      </c>
      <c r="G1845" t="n">
        <v>36.8</v>
      </c>
      <c r="H1845" t="n">
        <v>0</v>
      </c>
      <c r="I1845" t="n">
        <v>0</v>
      </c>
      <c r="J1845" t="n">
        <v>0</v>
      </c>
      <c r="K1845" t="n">
        <v>0</v>
      </c>
      <c r="L1845" t="n">
        <v>0</v>
      </c>
      <c r="M1845" t="n">
        <v>0</v>
      </c>
      <c r="N1845" t="n">
        <v>0</v>
      </c>
      <c r="O1845" t="n">
        <v>0</v>
      </c>
      <c r="P1845" t="n">
        <v>0</v>
      </c>
      <c r="Q1845" t="n">
        <v>0</v>
      </c>
      <c r="R1845" s="2" t="inlineStr"/>
    </row>
    <row r="1846" ht="15" customHeight="1">
      <c r="A1846" t="inlineStr">
        <is>
          <t>A 25588-2019</t>
        </is>
      </c>
      <c r="B1846" s="1" t="n">
        <v>43607</v>
      </c>
      <c r="C1846" s="1" t="n">
        <v>45182</v>
      </c>
      <c r="D1846" t="inlineStr">
        <is>
          <t>JÄMTLANDS LÄN</t>
        </is>
      </c>
      <c r="E1846" t="inlineStr">
        <is>
          <t>BERG</t>
        </is>
      </c>
      <c r="G1846" t="n">
        <v>1.8</v>
      </c>
      <c r="H1846" t="n">
        <v>0</v>
      </c>
      <c r="I1846" t="n">
        <v>0</v>
      </c>
      <c r="J1846" t="n">
        <v>0</v>
      </c>
      <c r="K1846" t="n">
        <v>0</v>
      </c>
      <c r="L1846" t="n">
        <v>0</v>
      </c>
      <c r="M1846" t="n">
        <v>0</v>
      </c>
      <c r="N1846" t="n">
        <v>0</v>
      </c>
      <c r="O1846" t="n">
        <v>0</v>
      </c>
      <c r="P1846" t="n">
        <v>0</v>
      </c>
      <c r="Q1846" t="n">
        <v>0</v>
      </c>
      <c r="R1846" s="2" t="inlineStr"/>
    </row>
    <row r="1847" ht="15" customHeight="1">
      <c r="A1847" t="inlineStr">
        <is>
          <t>A 25858-2019</t>
        </is>
      </c>
      <c r="B1847" s="1" t="n">
        <v>43608</v>
      </c>
      <c r="C1847" s="1" t="n">
        <v>45182</v>
      </c>
      <c r="D1847" t="inlineStr">
        <is>
          <t>JÄMTLANDS LÄN</t>
        </is>
      </c>
      <c r="E1847" t="inlineStr">
        <is>
          <t>KROKOM</t>
        </is>
      </c>
      <c r="F1847" t="inlineStr">
        <is>
          <t>Övriga Aktiebolag</t>
        </is>
      </c>
      <c r="G1847" t="n">
        <v>32.2</v>
      </c>
      <c r="H1847" t="n">
        <v>0</v>
      </c>
      <c r="I1847" t="n">
        <v>0</v>
      </c>
      <c r="J1847" t="n">
        <v>0</v>
      </c>
      <c r="K1847" t="n">
        <v>0</v>
      </c>
      <c r="L1847" t="n">
        <v>0</v>
      </c>
      <c r="M1847" t="n">
        <v>0</v>
      </c>
      <c r="N1847" t="n">
        <v>0</v>
      </c>
      <c r="O1847" t="n">
        <v>0</v>
      </c>
      <c r="P1847" t="n">
        <v>0</v>
      </c>
      <c r="Q1847" t="n">
        <v>0</v>
      </c>
      <c r="R1847" s="2" t="inlineStr"/>
    </row>
    <row r="1848" ht="15" customHeight="1">
      <c r="A1848" t="inlineStr">
        <is>
          <t>A 25910-2019</t>
        </is>
      </c>
      <c r="B1848" s="1" t="n">
        <v>43608</v>
      </c>
      <c r="C1848" s="1" t="n">
        <v>45182</v>
      </c>
      <c r="D1848" t="inlineStr">
        <is>
          <t>JÄMTLANDS LÄN</t>
        </is>
      </c>
      <c r="E1848" t="inlineStr">
        <is>
          <t>STRÖMSUND</t>
        </is>
      </c>
      <c r="F1848" t="inlineStr">
        <is>
          <t>Kommuner</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25918-2019</t>
        </is>
      </c>
      <c r="B1849" s="1" t="n">
        <v>43608</v>
      </c>
      <c r="C1849" s="1" t="n">
        <v>45182</v>
      </c>
      <c r="D1849" t="inlineStr">
        <is>
          <t>JÄMTLANDS LÄN</t>
        </is>
      </c>
      <c r="E1849" t="inlineStr">
        <is>
          <t>STRÖMSUND</t>
        </is>
      </c>
      <c r="F1849" t="inlineStr">
        <is>
          <t>Kommuner</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25950-2019</t>
        </is>
      </c>
      <c r="B1850" s="1" t="n">
        <v>43608</v>
      </c>
      <c r="C1850" s="1" t="n">
        <v>45182</v>
      </c>
      <c r="D1850" t="inlineStr">
        <is>
          <t>JÄMTLANDS LÄN</t>
        </is>
      </c>
      <c r="E1850" t="inlineStr">
        <is>
          <t>STRÖMSUND</t>
        </is>
      </c>
      <c r="F1850" t="inlineStr">
        <is>
          <t>SCA</t>
        </is>
      </c>
      <c r="G1850" t="n">
        <v>1.3</v>
      </c>
      <c r="H1850" t="n">
        <v>0</v>
      </c>
      <c r="I1850" t="n">
        <v>0</v>
      </c>
      <c r="J1850" t="n">
        <v>0</v>
      </c>
      <c r="K1850" t="n">
        <v>0</v>
      </c>
      <c r="L1850" t="n">
        <v>0</v>
      </c>
      <c r="M1850" t="n">
        <v>0</v>
      </c>
      <c r="N1850" t="n">
        <v>0</v>
      </c>
      <c r="O1850" t="n">
        <v>0</v>
      </c>
      <c r="P1850" t="n">
        <v>0</v>
      </c>
      <c r="Q1850" t="n">
        <v>0</v>
      </c>
      <c r="R1850" s="2" t="inlineStr"/>
    </row>
    <row r="1851" ht="15" customHeight="1">
      <c r="A1851" t="inlineStr">
        <is>
          <t>A 25969-2019</t>
        </is>
      </c>
      <c r="B1851" s="1" t="n">
        <v>43608</v>
      </c>
      <c r="C1851" s="1" t="n">
        <v>45182</v>
      </c>
      <c r="D1851" t="inlineStr">
        <is>
          <t>JÄMTLANDS LÄN</t>
        </is>
      </c>
      <c r="E1851" t="inlineStr">
        <is>
          <t>BERG</t>
        </is>
      </c>
      <c r="F1851" t="inlineStr">
        <is>
          <t>SCA</t>
        </is>
      </c>
      <c r="G1851" t="n">
        <v>3.3</v>
      </c>
      <c r="H1851" t="n">
        <v>0</v>
      </c>
      <c r="I1851" t="n">
        <v>0</v>
      </c>
      <c r="J1851" t="n">
        <v>0</v>
      </c>
      <c r="K1851" t="n">
        <v>0</v>
      </c>
      <c r="L1851" t="n">
        <v>0</v>
      </c>
      <c r="M1851" t="n">
        <v>0</v>
      </c>
      <c r="N1851" t="n">
        <v>0</v>
      </c>
      <c r="O1851" t="n">
        <v>0</v>
      </c>
      <c r="P1851" t="n">
        <v>0</v>
      </c>
      <c r="Q1851" t="n">
        <v>0</v>
      </c>
      <c r="R1851" s="2" t="inlineStr"/>
    </row>
    <row r="1852" ht="15" customHeight="1">
      <c r="A1852" t="inlineStr">
        <is>
          <t>A 25984-2019</t>
        </is>
      </c>
      <c r="B1852" s="1" t="n">
        <v>43608</v>
      </c>
      <c r="C1852" s="1" t="n">
        <v>45182</v>
      </c>
      <c r="D1852" t="inlineStr">
        <is>
          <t>JÄMTLANDS LÄN</t>
        </is>
      </c>
      <c r="E1852" t="inlineStr">
        <is>
          <t>STRÖMSUND</t>
        </is>
      </c>
      <c r="F1852" t="inlineStr">
        <is>
          <t>SCA</t>
        </is>
      </c>
      <c r="G1852" t="n">
        <v>2.2</v>
      </c>
      <c r="H1852" t="n">
        <v>0</v>
      </c>
      <c r="I1852" t="n">
        <v>0</v>
      </c>
      <c r="J1852" t="n">
        <v>0</v>
      </c>
      <c r="K1852" t="n">
        <v>0</v>
      </c>
      <c r="L1852" t="n">
        <v>0</v>
      </c>
      <c r="M1852" t="n">
        <v>0</v>
      </c>
      <c r="N1852" t="n">
        <v>0</v>
      </c>
      <c r="O1852" t="n">
        <v>0</v>
      </c>
      <c r="P1852" t="n">
        <v>0</v>
      </c>
      <c r="Q1852" t="n">
        <v>0</v>
      </c>
      <c r="R1852" s="2" t="inlineStr"/>
    </row>
    <row r="1853" ht="15" customHeight="1">
      <c r="A1853" t="inlineStr">
        <is>
          <t>A 26001-2019</t>
        </is>
      </c>
      <c r="B1853" s="1" t="n">
        <v>43608</v>
      </c>
      <c r="C1853" s="1" t="n">
        <v>45182</v>
      </c>
      <c r="D1853" t="inlineStr">
        <is>
          <t>JÄMTLANDS LÄN</t>
        </is>
      </c>
      <c r="E1853" t="inlineStr">
        <is>
          <t>BRÄCKE</t>
        </is>
      </c>
      <c r="F1853" t="inlineStr">
        <is>
          <t>SCA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25915-2019</t>
        </is>
      </c>
      <c r="B1854" s="1" t="n">
        <v>43608</v>
      </c>
      <c r="C1854" s="1" t="n">
        <v>45182</v>
      </c>
      <c r="D1854" t="inlineStr">
        <is>
          <t>JÄMTLANDS LÄN</t>
        </is>
      </c>
      <c r="E1854" t="inlineStr">
        <is>
          <t>STRÖMSUND</t>
        </is>
      </c>
      <c r="F1854" t="inlineStr">
        <is>
          <t>Kommuner</t>
        </is>
      </c>
      <c r="G1854" t="n">
        <v>5.7</v>
      </c>
      <c r="H1854" t="n">
        <v>0</v>
      </c>
      <c r="I1854" t="n">
        <v>0</v>
      </c>
      <c r="J1854" t="n">
        <v>0</v>
      </c>
      <c r="K1854" t="n">
        <v>0</v>
      </c>
      <c r="L1854" t="n">
        <v>0</v>
      </c>
      <c r="M1854" t="n">
        <v>0</v>
      </c>
      <c r="N1854" t="n">
        <v>0</v>
      </c>
      <c r="O1854" t="n">
        <v>0</v>
      </c>
      <c r="P1854" t="n">
        <v>0</v>
      </c>
      <c r="Q1854" t="n">
        <v>0</v>
      </c>
      <c r="R1854" s="2" t="inlineStr"/>
    </row>
    <row r="1855" ht="15" customHeight="1">
      <c r="A1855" t="inlineStr">
        <is>
          <t>A 25925-2019</t>
        </is>
      </c>
      <c r="B1855" s="1" t="n">
        <v>43608</v>
      </c>
      <c r="C1855" s="1" t="n">
        <v>45182</v>
      </c>
      <c r="D1855" t="inlineStr">
        <is>
          <t>JÄMTLANDS LÄN</t>
        </is>
      </c>
      <c r="E1855" t="inlineStr">
        <is>
          <t>STRÖMSUND</t>
        </is>
      </c>
      <c r="F1855" t="inlineStr">
        <is>
          <t>Kommuner</t>
        </is>
      </c>
      <c r="G1855" t="n">
        <v>12.6</v>
      </c>
      <c r="H1855" t="n">
        <v>0</v>
      </c>
      <c r="I1855" t="n">
        <v>0</v>
      </c>
      <c r="J1855" t="n">
        <v>0</v>
      </c>
      <c r="K1855" t="n">
        <v>0</v>
      </c>
      <c r="L1855" t="n">
        <v>0</v>
      </c>
      <c r="M1855" t="n">
        <v>0</v>
      </c>
      <c r="N1855" t="n">
        <v>0</v>
      </c>
      <c r="O1855" t="n">
        <v>0</v>
      </c>
      <c r="P1855" t="n">
        <v>0</v>
      </c>
      <c r="Q1855" t="n">
        <v>0</v>
      </c>
      <c r="R1855" s="2" t="inlineStr"/>
    </row>
    <row r="1856" ht="15" customHeight="1">
      <c r="A1856" t="inlineStr">
        <is>
          <t>A 25923-2019</t>
        </is>
      </c>
      <c r="B1856" s="1" t="n">
        <v>43608</v>
      </c>
      <c r="C1856" s="1" t="n">
        <v>45182</v>
      </c>
      <c r="D1856" t="inlineStr">
        <is>
          <t>JÄMTLANDS LÄN</t>
        </is>
      </c>
      <c r="E1856" t="inlineStr">
        <is>
          <t>STRÖMSUND</t>
        </is>
      </c>
      <c r="F1856" t="inlineStr">
        <is>
          <t>Kommuner</t>
        </is>
      </c>
      <c r="G1856" t="n">
        <v>3.6</v>
      </c>
      <c r="H1856" t="n">
        <v>0</v>
      </c>
      <c r="I1856" t="n">
        <v>0</v>
      </c>
      <c r="J1856" t="n">
        <v>0</v>
      </c>
      <c r="K1856" t="n">
        <v>0</v>
      </c>
      <c r="L1856" t="n">
        <v>0</v>
      </c>
      <c r="M1856" t="n">
        <v>0</v>
      </c>
      <c r="N1856" t="n">
        <v>0</v>
      </c>
      <c r="O1856" t="n">
        <v>0</v>
      </c>
      <c r="P1856" t="n">
        <v>0</v>
      </c>
      <c r="Q1856" t="n">
        <v>0</v>
      </c>
      <c r="R1856" s="2" t="inlineStr"/>
    </row>
    <row r="1857" ht="15" customHeight="1">
      <c r="A1857" t="inlineStr">
        <is>
          <t>A 25921-2019</t>
        </is>
      </c>
      <c r="B1857" s="1" t="n">
        <v>43608</v>
      </c>
      <c r="C1857" s="1" t="n">
        <v>45182</v>
      </c>
      <c r="D1857" t="inlineStr">
        <is>
          <t>JÄMTLANDS LÄN</t>
        </is>
      </c>
      <c r="E1857" t="inlineStr">
        <is>
          <t>STRÖMSUND</t>
        </is>
      </c>
      <c r="F1857" t="inlineStr">
        <is>
          <t>Kommuner</t>
        </is>
      </c>
      <c r="G1857" t="n">
        <v>23.9</v>
      </c>
      <c r="H1857" t="n">
        <v>0</v>
      </c>
      <c r="I1857" t="n">
        <v>0</v>
      </c>
      <c r="J1857" t="n">
        <v>0</v>
      </c>
      <c r="K1857" t="n">
        <v>0</v>
      </c>
      <c r="L1857" t="n">
        <v>0</v>
      </c>
      <c r="M1857" t="n">
        <v>0</v>
      </c>
      <c r="N1857" t="n">
        <v>0</v>
      </c>
      <c r="O1857" t="n">
        <v>0</v>
      </c>
      <c r="P1857" t="n">
        <v>0</v>
      </c>
      <c r="Q1857" t="n">
        <v>0</v>
      </c>
      <c r="R1857" s="2" t="inlineStr"/>
    </row>
    <row r="1858" ht="15" customHeight="1">
      <c r="A1858" t="inlineStr">
        <is>
          <t>A 26012-2019</t>
        </is>
      </c>
      <c r="B1858" s="1" t="n">
        <v>43608</v>
      </c>
      <c r="C1858" s="1" t="n">
        <v>45182</v>
      </c>
      <c r="D1858" t="inlineStr">
        <is>
          <t>JÄMTLANDS LÄN</t>
        </is>
      </c>
      <c r="E1858" t="inlineStr">
        <is>
          <t>STRÖMSUND</t>
        </is>
      </c>
      <c r="F1858" t="inlineStr">
        <is>
          <t>SCA</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26237-2019</t>
        </is>
      </c>
      <c r="B1859" s="1" t="n">
        <v>43609</v>
      </c>
      <c r="C1859" s="1" t="n">
        <v>45182</v>
      </c>
      <c r="D1859" t="inlineStr">
        <is>
          <t>JÄMTLANDS LÄN</t>
        </is>
      </c>
      <c r="E1859" t="inlineStr">
        <is>
          <t>BRÄCKE</t>
        </is>
      </c>
      <c r="G1859" t="n">
        <v>22.7</v>
      </c>
      <c r="H1859" t="n">
        <v>0</v>
      </c>
      <c r="I1859" t="n">
        <v>0</v>
      </c>
      <c r="J1859" t="n">
        <v>0</v>
      </c>
      <c r="K1859" t="n">
        <v>0</v>
      </c>
      <c r="L1859" t="n">
        <v>0</v>
      </c>
      <c r="M1859" t="n">
        <v>0</v>
      </c>
      <c r="N1859" t="n">
        <v>0</v>
      </c>
      <c r="O1859" t="n">
        <v>0</v>
      </c>
      <c r="P1859" t="n">
        <v>0</v>
      </c>
      <c r="Q1859" t="n">
        <v>0</v>
      </c>
      <c r="R1859" s="2" t="inlineStr"/>
    </row>
    <row r="1860" ht="15" customHeight="1">
      <c r="A1860" t="inlineStr">
        <is>
          <t>A 26252-2019</t>
        </is>
      </c>
      <c r="B1860" s="1" t="n">
        <v>43609</v>
      </c>
      <c r="C1860" s="1" t="n">
        <v>45182</v>
      </c>
      <c r="D1860" t="inlineStr">
        <is>
          <t>JÄMTLANDS LÄN</t>
        </is>
      </c>
      <c r="E1860" t="inlineStr">
        <is>
          <t>STRÖMSUND</t>
        </is>
      </c>
      <c r="F1860" t="inlineStr">
        <is>
          <t>SCA</t>
        </is>
      </c>
      <c r="G1860" t="n">
        <v>10.5</v>
      </c>
      <c r="H1860" t="n">
        <v>0</v>
      </c>
      <c r="I1860" t="n">
        <v>0</v>
      </c>
      <c r="J1860" t="n">
        <v>0</v>
      </c>
      <c r="K1860" t="n">
        <v>0</v>
      </c>
      <c r="L1860" t="n">
        <v>0</v>
      </c>
      <c r="M1860" t="n">
        <v>0</v>
      </c>
      <c r="N1860" t="n">
        <v>0</v>
      </c>
      <c r="O1860" t="n">
        <v>0</v>
      </c>
      <c r="P1860" t="n">
        <v>0</v>
      </c>
      <c r="Q1860" t="n">
        <v>0</v>
      </c>
      <c r="R1860" s="2" t="inlineStr"/>
    </row>
    <row r="1861" ht="15" customHeight="1">
      <c r="A1861" t="inlineStr">
        <is>
          <t>A 26166-2019</t>
        </is>
      </c>
      <c r="B1861" s="1" t="n">
        <v>43609</v>
      </c>
      <c r="C1861" s="1" t="n">
        <v>45182</v>
      </c>
      <c r="D1861" t="inlineStr">
        <is>
          <t>JÄMTLANDS LÄN</t>
        </is>
      </c>
      <c r="E1861" t="inlineStr">
        <is>
          <t>HÄRJEDALEN</t>
        </is>
      </c>
      <c r="G1861" t="n">
        <v>85.2</v>
      </c>
      <c r="H1861" t="n">
        <v>0</v>
      </c>
      <c r="I1861" t="n">
        <v>0</v>
      </c>
      <c r="J1861" t="n">
        <v>0</v>
      </c>
      <c r="K1861" t="n">
        <v>0</v>
      </c>
      <c r="L1861" t="n">
        <v>0</v>
      </c>
      <c r="M1861" t="n">
        <v>0</v>
      </c>
      <c r="N1861" t="n">
        <v>0</v>
      </c>
      <c r="O1861" t="n">
        <v>0</v>
      </c>
      <c r="P1861" t="n">
        <v>0</v>
      </c>
      <c r="Q1861" t="n">
        <v>0</v>
      </c>
      <c r="R1861" s="2" t="inlineStr"/>
    </row>
    <row r="1862" ht="15" customHeight="1">
      <c r="A1862" t="inlineStr">
        <is>
          <t>A 26251-2019</t>
        </is>
      </c>
      <c r="B1862" s="1" t="n">
        <v>43609</v>
      </c>
      <c r="C1862" s="1" t="n">
        <v>45182</v>
      </c>
      <c r="D1862" t="inlineStr">
        <is>
          <t>JÄMTLANDS LÄN</t>
        </is>
      </c>
      <c r="E1862" t="inlineStr">
        <is>
          <t>STRÖMSUND</t>
        </is>
      </c>
      <c r="F1862" t="inlineStr">
        <is>
          <t>SCA</t>
        </is>
      </c>
      <c r="G1862" t="n">
        <v>6.9</v>
      </c>
      <c r="H1862" t="n">
        <v>0</v>
      </c>
      <c r="I1862" t="n">
        <v>0</v>
      </c>
      <c r="J1862" t="n">
        <v>0</v>
      </c>
      <c r="K1862" t="n">
        <v>0</v>
      </c>
      <c r="L1862" t="n">
        <v>0</v>
      </c>
      <c r="M1862" t="n">
        <v>0</v>
      </c>
      <c r="N1862" t="n">
        <v>0</v>
      </c>
      <c r="O1862" t="n">
        <v>0</v>
      </c>
      <c r="P1862" t="n">
        <v>0</v>
      </c>
      <c r="Q1862" t="n">
        <v>0</v>
      </c>
      <c r="R1862" s="2" t="inlineStr"/>
    </row>
    <row r="1863" ht="15" customHeight="1">
      <c r="A1863" t="inlineStr">
        <is>
          <t>A 26423-2019</t>
        </is>
      </c>
      <c r="B1863" s="1" t="n">
        <v>43612</v>
      </c>
      <c r="C1863" s="1" t="n">
        <v>45182</v>
      </c>
      <c r="D1863" t="inlineStr">
        <is>
          <t>JÄMTLANDS LÄN</t>
        </is>
      </c>
      <c r="E1863" t="inlineStr">
        <is>
          <t>HÄRJEDALEN</t>
        </is>
      </c>
      <c r="G1863" t="n">
        <v>2.3</v>
      </c>
      <c r="H1863" t="n">
        <v>0</v>
      </c>
      <c r="I1863" t="n">
        <v>0</v>
      </c>
      <c r="J1863" t="n">
        <v>0</v>
      </c>
      <c r="K1863" t="n">
        <v>0</v>
      </c>
      <c r="L1863" t="n">
        <v>0</v>
      </c>
      <c r="M1863" t="n">
        <v>0</v>
      </c>
      <c r="N1863" t="n">
        <v>0</v>
      </c>
      <c r="O1863" t="n">
        <v>0</v>
      </c>
      <c r="P1863" t="n">
        <v>0</v>
      </c>
      <c r="Q1863" t="n">
        <v>0</v>
      </c>
      <c r="R1863" s="2" t="inlineStr"/>
    </row>
    <row r="1864" ht="15" customHeight="1">
      <c r="A1864" t="inlineStr">
        <is>
          <t>A 26486-2019</t>
        </is>
      </c>
      <c r="B1864" s="1" t="n">
        <v>43612</v>
      </c>
      <c r="C1864" s="1" t="n">
        <v>45182</v>
      </c>
      <c r="D1864" t="inlineStr">
        <is>
          <t>JÄMTLANDS LÄN</t>
        </is>
      </c>
      <c r="E1864" t="inlineStr">
        <is>
          <t>KROKOM</t>
        </is>
      </c>
      <c r="G1864" t="n">
        <v>3.5</v>
      </c>
      <c r="H1864" t="n">
        <v>0</v>
      </c>
      <c r="I1864" t="n">
        <v>0</v>
      </c>
      <c r="J1864" t="n">
        <v>0</v>
      </c>
      <c r="K1864" t="n">
        <v>0</v>
      </c>
      <c r="L1864" t="n">
        <v>0</v>
      </c>
      <c r="M1864" t="n">
        <v>0</v>
      </c>
      <c r="N1864" t="n">
        <v>0</v>
      </c>
      <c r="O1864" t="n">
        <v>0</v>
      </c>
      <c r="P1864" t="n">
        <v>0</v>
      </c>
      <c r="Q1864" t="n">
        <v>0</v>
      </c>
      <c r="R1864" s="2" t="inlineStr"/>
    </row>
    <row r="1865" ht="15" customHeight="1">
      <c r="A1865" t="inlineStr">
        <is>
          <t>A 26638-2019</t>
        </is>
      </c>
      <c r="B1865" s="1" t="n">
        <v>43612</v>
      </c>
      <c r="C1865" s="1" t="n">
        <v>45182</v>
      </c>
      <c r="D1865" t="inlineStr">
        <is>
          <t>JÄMTLANDS LÄN</t>
        </is>
      </c>
      <c r="E1865" t="inlineStr">
        <is>
          <t>BRÄCKE</t>
        </is>
      </c>
      <c r="G1865" t="n">
        <v>2.8</v>
      </c>
      <c r="H1865" t="n">
        <v>0</v>
      </c>
      <c r="I1865" t="n">
        <v>0</v>
      </c>
      <c r="J1865" t="n">
        <v>0</v>
      </c>
      <c r="K1865" t="n">
        <v>0</v>
      </c>
      <c r="L1865" t="n">
        <v>0</v>
      </c>
      <c r="M1865" t="n">
        <v>0</v>
      </c>
      <c r="N1865" t="n">
        <v>0</v>
      </c>
      <c r="O1865" t="n">
        <v>0</v>
      </c>
      <c r="P1865" t="n">
        <v>0</v>
      </c>
      <c r="Q1865" t="n">
        <v>0</v>
      </c>
      <c r="R1865" s="2" t="inlineStr"/>
    </row>
    <row r="1866" ht="15" customHeight="1">
      <c r="A1866" t="inlineStr">
        <is>
          <t>A 26626-2019</t>
        </is>
      </c>
      <c r="B1866" s="1" t="n">
        <v>43612</v>
      </c>
      <c r="C1866" s="1" t="n">
        <v>45182</v>
      </c>
      <c r="D1866" t="inlineStr">
        <is>
          <t>JÄMTLANDS LÄN</t>
        </is>
      </c>
      <c r="E1866" t="inlineStr">
        <is>
          <t>ÅRE</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27536-2019</t>
        </is>
      </c>
      <c r="B1867" s="1" t="n">
        <v>43612</v>
      </c>
      <c r="C1867" s="1" t="n">
        <v>45182</v>
      </c>
      <c r="D1867" t="inlineStr">
        <is>
          <t>JÄMTLANDS LÄN</t>
        </is>
      </c>
      <c r="E1867" t="inlineStr">
        <is>
          <t>STRÖMSUND</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26624-2019</t>
        </is>
      </c>
      <c r="B1868" s="1" t="n">
        <v>43612</v>
      </c>
      <c r="C1868" s="1" t="n">
        <v>45182</v>
      </c>
      <c r="D1868" t="inlineStr">
        <is>
          <t>JÄMTLANDS LÄN</t>
        </is>
      </c>
      <c r="E1868" t="inlineStr">
        <is>
          <t>ÅRE</t>
        </is>
      </c>
      <c r="G1868" t="n">
        <v>2.4</v>
      </c>
      <c r="H1868" t="n">
        <v>0</v>
      </c>
      <c r="I1868" t="n">
        <v>0</v>
      </c>
      <c r="J1868" t="n">
        <v>0</v>
      </c>
      <c r="K1868" t="n">
        <v>0</v>
      </c>
      <c r="L1868" t="n">
        <v>0</v>
      </c>
      <c r="M1868" t="n">
        <v>0</v>
      </c>
      <c r="N1868" t="n">
        <v>0</v>
      </c>
      <c r="O1868" t="n">
        <v>0</v>
      </c>
      <c r="P1868" t="n">
        <v>0</v>
      </c>
      <c r="Q1868" t="n">
        <v>0</v>
      </c>
      <c r="R1868" s="2" t="inlineStr"/>
    </row>
    <row r="1869" ht="15" customHeight="1">
      <c r="A1869" t="inlineStr">
        <is>
          <t>A 26310-2019</t>
        </is>
      </c>
      <c r="B1869" s="1" t="n">
        <v>43612</v>
      </c>
      <c r="C1869" s="1" t="n">
        <v>45182</v>
      </c>
      <c r="D1869" t="inlineStr">
        <is>
          <t>JÄMTLANDS LÄN</t>
        </is>
      </c>
      <c r="E1869" t="inlineStr">
        <is>
          <t>HÄRJEDALEN</t>
        </is>
      </c>
      <c r="F1869" t="inlineStr">
        <is>
          <t>Holmen skog AB</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26408-2019</t>
        </is>
      </c>
      <c r="B1870" s="1" t="n">
        <v>43612</v>
      </c>
      <c r="C1870" s="1" t="n">
        <v>45182</v>
      </c>
      <c r="D1870" t="inlineStr">
        <is>
          <t>JÄMTLANDS LÄN</t>
        </is>
      </c>
      <c r="E1870" t="inlineStr">
        <is>
          <t>KROKOM</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26937-2019</t>
        </is>
      </c>
      <c r="B1871" s="1" t="n">
        <v>43613</v>
      </c>
      <c r="C1871" s="1" t="n">
        <v>45182</v>
      </c>
      <c r="D1871" t="inlineStr">
        <is>
          <t>JÄMTLANDS LÄN</t>
        </is>
      </c>
      <c r="E1871" t="inlineStr">
        <is>
          <t>STRÖMSUND</t>
        </is>
      </c>
      <c r="G1871" t="n">
        <v>0.8</v>
      </c>
      <c r="H1871" t="n">
        <v>0</v>
      </c>
      <c r="I1871" t="n">
        <v>0</v>
      </c>
      <c r="J1871" t="n">
        <v>0</v>
      </c>
      <c r="K1871" t="n">
        <v>0</v>
      </c>
      <c r="L1871" t="n">
        <v>0</v>
      </c>
      <c r="M1871" t="n">
        <v>0</v>
      </c>
      <c r="N1871" t="n">
        <v>0</v>
      </c>
      <c r="O1871" t="n">
        <v>0</v>
      </c>
      <c r="P1871" t="n">
        <v>0</v>
      </c>
      <c r="Q1871" t="n">
        <v>0</v>
      </c>
      <c r="R1871" s="2" t="inlineStr"/>
    </row>
    <row r="1872" ht="15" customHeight="1">
      <c r="A1872" t="inlineStr">
        <is>
          <t>A 28077-2019</t>
        </is>
      </c>
      <c r="B1872" s="1" t="n">
        <v>43613</v>
      </c>
      <c r="C1872" s="1" t="n">
        <v>45182</v>
      </c>
      <c r="D1872" t="inlineStr">
        <is>
          <t>JÄMTLANDS LÄN</t>
        </is>
      </c>
      <c r="E1872" t="inlineStr">
        <is>
          <t>KROKOM</t>
        </is>
      </c>
      <c r="F1872" t="inlineStr">
        <is>
          <t>Övriga Aktiebolag</t>
        </is>
      </c>
      <c r="G1872" t="n">
        <v>26.1</v>
      </c>
      <c r="H1872" t="n">
        <v>0</v>
      </c>
      <c r="I1872" t="n">
        <v>0</v>
      </c>
      <c r="J1872" t="n">
        <v>0</v>
      </c>
      <c r="K1872" t="n">
        <v>0</v>
      </c>
      <c r="L1872" t="n">
        <v>0</v>
      </c>
      <c r="M1872" t="n">
        <v>0</v>
      </c>
      <c r="N1872" t="n">
        <v>0</v>
      </c>
      <c r="O1872" t="n">
        <v>0</v>
      </c>
      <c r="P1872" t="n">
        <v>0</v>
      </c>
      <c r="Q1872" t="n">
        <v>0</v>
      </c>
      <c r="R1872" s="2" t="inlineStr"/>
    </row>
    <row r="1873" ht="15" customHeight="1">
      <c r="A1873" t="inlineStr">
        <is>
          <t>A 27229-2019</t>
        </is>
      </c>
      <c r="B1873" s="1" t="n">
        <v>43614</v>
      </c>
      <c r="C1873" s="1" t="n">
        <v>45182</v>
      </c>
      <c r="D1873" t="inlineStr">
        <is>
          <t>JÄMTLANDS LÄN</t>
        </is>
      </c>
      <c r="E1873" t="inlineStr">
        <is>
          <t>BRÄCKE</t>
        </is>
      </c>
      <c r="F1873" t="inlineStr">
        <is>
          <t>SCA</t>
        </is>
      </c>
      <c r="G1873" t="n">
        <v>7.1</v>
      </c>
      <c r="H1873" t="n">
        <v>0</v>
      </c>
      <c r="I1873" t="n">
        <v>0</v>
      </c>
      <c r="J1873" t="n">
        <v>0</v>
      </c>
      <c r="K1873" t="n">
        <v>0</v>
      </c>
      <c r="L1873" t="n">
        <v>0</v>
      </c>
      <c r="M1873" t="n">
        <v>0</v>
      </c>
      <c r="N1873" t="n">
        <v>0</v>
      </c>
      <c r="O1873" t="n">
        <v>0</v>
      </c>
      <c r="P1873" t="n">
        <v>0</v>
      </c>
      <c r="Q1873" t="n">
        <v>0</v>
      </c>
      <c r="R1873" s="2" t="inlineStr"/>
    </row>
    <row r="1874" ht="15" customHeight="1">
      <c r="A1874" t="inlineStr">
        <is>
          <t>A 27031-2019</t>
        </is>
      </c>
      <c r="B1874" s="1" t="n">
        <v>43614</v>
      </c>
      <c r="C1874" s="1" t="n">
        <v>45182</v>
      </c>
      <c r="D1874" t="inlineStr">
        <is>
          <t>JÄMTLANDS LÄN</t>
        </is>
      </c>
      <c r="E1874" t="inlineStr">
        <is>
          <t>KROKOM</t>
        </is>
      </c>
      <c r="G1874" t="n">
        <v>3.4</v>
      </c>
      <c r="H1874" t="n">
        <v>0</v>
      </c>
      <c r="I1874" t="n">
        <v>0</v>
      </c>
      <c r="J1874" t="n">
        <v>0</v>
      </c>
      <c r="K1874" t="n">
        <v>0</v>
      </c>
      <c r="L1874" t="n">
        <v>0</v>
      </c>
      <c r="M1874" t="n">
        <v>0</v>
      </c>
      <c r="N1874" t="n">
        <v>0</v>
      </c>
      <c r="O1874" t="n">
        <v>0</v>
      </c>
      <c r="P1874" t="n">
        <v>0</v>
      </c>
      <c r="Q1874" t="n">
        <v>0</v>
      </c>
      <c r="R1874" s="2" t="inlineStr"/>
    </row>
    <row r="1875" ht="15" customHeight="1">
      <c r="A1875" t="inlineStr">
        <is>
          <t>A 27249-2019</t>
        </is>
      </c>
      <c r="B1875" s="1" t="n">
        <v>43614</v>
      </c>
      <c r="C1875" s="1" t="n">
        <v>45182</v>
      </c>
      <c r="D1875" t="inlineStr">
        <is>
          <t>JÄMTLANDS LÄN</t>
        </is>
      </c>
      <c r="E1875" t="inlineStr">
        <is>
          <t>STRÖMSUND</t>
        </is>
      </c>
      <c r="F1875" t="inlineStr">
        <is>
          <t>SCA</t>
        </is>
      </c>
      <c r="G1875" t="n">
        <v>3.3</v>
      </c>
      <c r="H1875" t="n">
        <v>0</v>
      </c>
      <c r="I1875" t="n">
        <v>0</v>
      </c>
      <c r="J1875" t="n">
        <v>0</v>
      </c>
      <c r="K1875" t="n">
        <v>0</v>
      </c>
      <c r="L1875" t="n">
        <v>0</v>
      </c>
      <c r="M1875" t="n">
        <v>0</v>
      </c>
      <c r="N1875" t="n">
        <v>0</v>
      </c>
      <c r="O1875" t="n">
        <v>0</v>
      </c>
      <c r="P1875" t="n">
        <v>0</v>
      </c>
      <c r="Q1875" t="n">
        <v>0</v>
      </c>
      <c r="R1875" s="2" t="inlineStr"/>
    </row>
    <row r="1876" ht="15" customHeight="1">
      <c r="A1876" t="inlineStr">
        <is>
          <t>A 27367-2019</t>
        </is>
      </c>
      <c r="B1876" s="1" t="n">
        <v>43616</v>
      </c>
      <c r="C1876" s="1" t="n">
        <v>45182</v>
      </c>
      <c r="D1876" t="inlineStr">
        <is>
          <t>JÄMTLANDS LÄN</t>
        </is>
      </c>
      <c r="E1876" t="inlineStr">
        <is>
          <t>STRÖMSUND</t>
        </is>
      </c>
      <c r="G1876" t="n">
        <v>0.2</v>
      </c>
      <c r="H1876" t="n">
        <v>0</v>
      </c>
      <c r="I1876" t="n">
        <v>0</v>
      </c>
      <c r="J1876" t="n">
        <v>0</v>
      </c>
      <c r="K1876" t="n">
        <v>0</v>
      </c>
      <c r="L1876" t="n">
        <v>0</v>
      </c>
      <c r="M1876" t="n">
        <v>0</v>
      </c>
      <c r="N1876" t="n">
        <v>0</v>
      </c>
      <c r="O1876" t="n">
        <v>0</v>
      </c>
      <c r="P1876" t="n">
        <v>0</v>
      </c>
      <c r="Q1876" t="n">
        <v>0</v>
      </c>
      <c r="R1876" s="2" t="inlineStr"/>
    </row>
    <row r="1877" ht="15" customHeight="1">
      <c r="A1877" t="inlineStr">
        <is>
          <t>A 27348-2019</t>
        </is>
      </c>
      <c r="B1877" s="1" t="n">
        <v>43616</v>
      </c>
      <c r="C1877" s="1" t="n">
        <v>45182</v>
      </c>
      <c r="D1877" t="inlineStr">
        <is>
          <t>JÄMTLANDS LÄN</t>
        </is>
      </c>
      <c r="E1877" t="inlineStr">
        <is>
          <t>KROKOM</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28788-2019</t>
        </is>
      </c>
      <c r="B1878" s="1" t="n">
        <v>43616</v>
      </c>
      <c r="C1878" s="1" t="n">
        <v>45182</v>
      </c>
      <c r="D1878" t="inlineStr">
        <is>
          <t>JÄMTLANDS LÄN</t>
        </is>
      </c>
      <c r="E1878" t="inlineStr">
        <is>
          <t>BERG</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28884-2019</t>
        </is>
      </c>
      <c r="B1879" s="1" t="n">
        <v>43619</v>
      </c>
      <c r="C1879" s="1" t="n">
        <v>45182</v>
      </c>
      <c r="D1879" t="inlineStr">
        <is>
          <t>JÄMTLANDS LÄN</t>
        </is>
      </c>
      <c r="E1879" t="inlineStr">
        <is>
          <t>ÖSTERSUND</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27764-2019</t>
        </is>
      </c>
      <c r="B1880" s="1" t="n">
        <v>43619</v>
      </c>
      <c r="C1880" s="1" t="n">
        <v>45182</v>
      </c>
      <c r="D1880" t="inlineStr">
        <is>
          <t>JÄMTLANDS LÄN</t>
        </is>
      </c>
      <c r="E1880" t="inlineStr">
        <is>
          <t>KROKOM</t>
        </is>
      </c>
      <c r="G1880" t="n">
        <v>41.8</v>
      </c>
      <c r="H1880" t="n">
        <v>0</v>
      </c>
      <c r="I1880" t="n">
        <v>0</v>
      </c>
      <c r="J1880" t="n">
        <v>0</v>
      </c>
      <c r="K1880" t="n">
        <v>0</v>
      </c>
      <c r="L1880" t="n">
        <v>0</v>
      </c>
      <c r="M1880" t="n">
        <v>0</v>
      </c>
      <c r="N1880" t="n">
        <v>0</v>
      </c>
      <c r="O1880" t="n">
        <v>0</v>
      </c>
      <c r="P1880" t="n">
        <v>0</v>
      </c>
      <c r="Q1880" t="n">
        <v>0</v>
      </c>
      <c r="R1880" s="2" t="inlineStr"/>
    </row>
    <row r="1881" ht="15" customHeight="1">
      <c r="A1881" t="inlineStr">
        <is>
          <t>A 27683-2019</t>
        </is>
      </c>
      <c r="B1881" s="1" t="n">
        <v>43619</v>
      </c>
      <c r="C1881" s="1" t="n">
        <v>45182</v>
      </c>
      <c r="D1881" t="inlineStr">
        <is>
          <t>JÄMTLANDS LÄN</t>
        </is>
      </c>
      <c r="E1881" t="inlineStr">
        <is>
          <t>HÄRJEDALEN</t>
        </is>
      </c>
      <c r="G1881" t="n">
        <v>5.4</v>
      </c>
      <c r="H1881" t="n">
        <v>0</v>
      </c>
      <c r="I1881" t="n">
        <v>0</v>
      </c>
      <c r="J1881" t="n">
        <v>0</v>
      </c>
      <c r="K1881" t="n">
        <v>0</v>
      </c>
      <c r="L1881" t="n">
        <v>0</v>
      </c>
      <c r="M1881" t="n">
        <v>0</v>
      </c>
      <c r="N1881" t="n">
        <v>0</v>
      </c>
      <c r="O1881" t="n">
        <v>0</v>
      </c>
      <c r="P1881" t="n">
        <v>0</v>
      </c>
      <c r="Q1881" t="n">
        <v>0</v>
      </c>
      <c r="R1881" s="2" t="inlineStr"/>
    </row>
    <row r="1882" ht="15" customHeight="1">
      <c r="A1882" t="inlineStr">
        <is>
          <t>A 27766-2019</t>
        </is>
      </c>
      <c r="B1882" s="1" t="n">
        <v>43619</v>
      </c>
      <c r="C1882" s="1" t="n">
        <v>45182</v>
      </c>
      <c r="D1882" t="inlineStr">
        <is>
          <t>JÄMTLANDS LÄN</t>
        </is>
      </c>
      <c r="E1882" t="inlineStr">
        <is>
          <t>KROKOM</t>
        </is>
      </c>
      <c r="G1882" t="n">
        <v>17.7</v>
      </c>
      <c r="H1882" t="n">
        <v>0</v>
      </c>
      <c r="I1882" t="n">
        <v>0</v>
      </c>
      <c r="J1882" t="n">
        <v>0</v>
      </c>
      <c r="K1882" t="n">
        <v>0</v>
      </c>
      <c r="L1882" t="n">
        <v>0</v>
      </c>
      <c r="M1882" t="n">
        <v>0</v>
      </c>
      <c r="N1882" t="n">
        <v>0</v>
      </c>
      <c r="O1882" t="n">
        <v>0</v>
      </c>
      <c r="P1882" t="n">
        <v>0</v>
      </c>
      <c r="Q1882" t="n">
        <v>0</v>
      </c>
      <c r="R1882" s="2" t="inlineStr"/>
    </row>
    <row r="1883" ht="15" customHeight="1">
      <c r="A1883" t="inlineStr">
        <is>
          <t>A 28892-2019</t>
        </is>
      </c>
      <c r="B1883" s="1" t="n">
        <v>43619</v>
      </c>
      <c r="C1883" s="1" t="n">
        <v>45182</v>
      </c>
      <c r="D1883" t="inlineStr">
        <is>
          <t>JÄMTLANDS LÄN</t>
        </is>
      </c>
      <c r="E1883" t="inlineStr">
        <is>
          <t>ÖSTERSUND</t>
        </is>
      </c>
      <c r="G1883" t="n">
        <v>0.7</v>
      </c>
      <c r="H1883" t="n">
        <v>0</v>
      </c>
      <c r="I1883" t="n">
        <v>0</v>
      </c>
      <c r="J1883" t="n">
        <v>0</v>
      </c>
      <c r="K1883" t="n">
        <v>0</v>
      </c>
      <c r="L1883" t="n">
        <v>0</v>
      </c>
      <c r="M1883" t="n">
        <v>0</v>
      </c>
      <c r="N1883" t="n">
        <v>0</v>
      </c>
      <c r="O1883" t="n">
        <v>0</v>
      </c>
      <c r="P1883" t="n">
        <v>0</v>
      </c>
      <c r="Q1883" t="n">
        <v>0</v>
      </c>
      <c r="R1883" s="2" t="inlineStr"/>
    </row>
    <row r="1884" ht="15" customHeight="1">
      <c r="A1884" t="inlineStr">
        <is>
          <t>A 27765-2019</t>
        </is>
      </c>
      <c r="B1884" s="1" t="n">
        <v>43619</v>
      </c>
      <c r="C1884" s="1" t="n">
        <v>45182</v>
      </c>
      <c r="D1884" t="inlineStr">
        <is>
          <t>JÄMTLANDS LÄN</t>
        </is>
      </c>
      <c r="E1884" t="inlineStr">
        <is>
          <t>KROKOM</t>
        </is>
      </c>
      <c r="G1884" t="n">
        <v>20.1</v>
      </c>
      <c r="H1884" t="n">
        <v>0</v>
      </c>
      <c r="I1884" t="n">
        <v>0</v>
      </c>
      <c r="J1884" t="n">
        <v>0</v>
      </c>
      <c r="K1884" t="n">
        <v>0</v>
      </c>
      <c r="L1884" t="n">
        <v>0</v>
      </c>
      <c r="M1884" t="n">
        <v>0</v>
      </c>
      <c r="N1884" t="n">
        <v>0</v>
      </c>
      <c r="O1884" t="n">
        <v>0</v>
      </c>
      <c r="P1884" t="n">
        <v>0</v>
      </c>
      <c r="Q1884" t="n">
        <v>0</v>
      </c>
      <c r="R1884" s="2" t="inlineStr"/>
    </row>
    <row r="1885" ht="15" customHeight="1">
      <c r="A1885" t="inlineStr">
        <is>
          <t>A 28899-2019</t>
        </is>
      </c>
      <c r="B1885" s="1" t="n">
        <v>43619</v>
      </c>
      <c r="C1885" s="1" t="n">
        <v>45182</v>
      </c>
      <c r="D1885" t="inlineStr">
        <is>
          <t>JÄMTLANDS LÄN</t>
        </is>
      </c>
      <c r="E1885" t="inlineStr">
        <is>
          <t>ÖSTERSUND</t>
        </is>
      </c>
      <c r="G1885" t="n">
        <v>0.4</v>
      </c>
      <c r="H1885" t="n">
        <v>0</v>
      </c>
      <c r="I1885" t="n">
        <v>0</v>
      </c>
      <c r="J1885" t="n">
        <v>0</v>
      </c>
      <c r="K1885" t="n">
        <v>0</v>
      </c>
      <c r="L1885" t="n">
        <v>0</v>
      </c>
      <c r="M1885" t="n">
        <v>0</v>
      </c>
      <c r="N1885" t="n">
        <v>0</v>
      </c>
      <c r="O1885" t="n">
        <v>0</v>
      </c>
      <c r="P1885" t="n">
        <v>0</v>
      </c>
      <c r="Q1885" t="n">
        <v>0</v>
      </c>
      <c r="R1885" s="2" t="inlineStr"/>
    </row>
    <row r="1886" ht="15" customHeight="1">
      <c r="A1886" t="inlineStr">
        <is>
          <t>A 27514-2019</t>
        </is>
      </c>
      <c r="B1886" s="1" t="n">
        <v>43619</v>
      </c>
      <c r="C1886" s="1" t="n">
        <v>45182</v>
      </c>
      <c r="D1886" t="inlineStr">
        <is>
          <t>JÄMTLANDS LÄN</t>
        </is>
      </c>
      <c r="E1886" t="inlineStr">
        <is>
          <t>STRÖMSUND</t>
        </is>
      </c>
      <c r="G1886" t="n">
        <v>3.6</v>
      </c>
      <c r="H1886" t="n">
        <v>0</v>
      </c>
      <c r="I1886" t="n">
        <v>0</v>
      </c>
      <c r="J1886" t="n">
        <v>0</v>
      </c>
      <c r="K1886" t="n">
        <v>0</v>
      </c>
      <c r="L1886" t="n">
        <v>0</v>
      </c>
      <c r="M1886" t="n">
        <v>0</v>
      </c>
      <c r="N1886" t="n">
        <v>0</v>
      </c>
      <c r="O1886" t="n">
        <v>0</v>
      </c>
      <c r="P1886" t="n">
        <v>0</v>
      </c>
      <c r="Q1886" t="n">
        <v>0</v>
      </c>
      <c r="R1886" s="2" t="inlineStr"/>
    </row>
    <row r="1887" ht="15" customHeight="1">
      <c r="A1887" t="inlineStr">
        <is>
          <t>A 27540-2019</t>
        </is>
      </c>
      <c r="B1887" s="1" t="n">
        <v>43619</v>
      </c>
      <c r="C1887" s="1" t="n">
        <v>45182</v>
      </c>
      <c r="D1887" t="inlineStr">
        <is>
          <t>JÄMTLANDS LÄN</t>
        </is>
      </c>
      <c r="E1887" t="inlineStr">
        <is>
          <t>BERG</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27763-2019</t>
        </is>
      </c>
      <c r="B1888" s="1" t="n">
        <v>43619</v>
      </c>
      <c r="C1888" s="1" t="n">
        <v>45182</v>
      </c>
      <c r="D1888" t="inlineStr">
        <is>
          <t>JÄMTLANDS LÄN</t>
        </is>
      </c>
      <c r="E1888" t="inlineStr">
        <is>
          <t>KROKOM</t>
        </is>
      </c>
      <c r="G1888" t="n">
        <v>15.1</v>
      </c>
      <c r="H1888" t="n">
        <v>0</v>
      </c>
      <c r="I1888" t="n">
        <v>0</v>
      </c>
      <c r="J1888" t="n">
        <v>0</v>
      </c>
      <c r="K1888" t="n">
        <v>0</v>
      </c>
      <c r="L1888" t="n">
        <v>0</v>
      </c>
      <c r="M1888" t="n">
        <v>0</v>
      </c>
      <c r="N1888" t="n">
        <v>0</v>
      </c>
      <c r="O1888" t="n">
        <v>0</v>
      </c>
      <c r="P1888" t="n">
        <v>0</v>
      </c>
      <c r="Q1888" t="n">
        <v>0</v>
      </c>
      <c r="R1888" s="2" t="inlineStr"/>
    </row>
    <row r="1889" ht="15" customHeight="1">
      <c r="A1889" t="inlineStr">
        <is>
          <t>A 27867-2019</t>
        </is>
      </c>
      <c r="B1889" s="1" t="n">
        <v>43620</v>
      </c>
      <c r="C1889" s="1" t="n">
        <v>45182</v>
      </c>
      <c r="D1889" t="inlineStr">
        <is>
          <t>JÄMTLANDS LÄN</t>
        </is>
      </c>
      <c r="E1889" t="inlineStr">
        <is>
          <t>ÅRE</t>
        </is>
      </c>
      <c r="G1889" t="n">
        <v>1.9</v>
      </c>
      <c r="H1889" t="n">
        <v>0</v>
      </c>
      <c r="I1889" t="n">
        <v>0</v>
      </c>
      <c r="J1889" t="n">
        <v>0</v>
      </c>
      <c r="K1889" t="n">
        <v>0</v>
      </c>
      <c r="L1889" t="n">
        <v>0</v>
      </c>
      <c r="M1889" t="n">
        <v>0</v>
      </c>
      <c r="N1889" t="n">
        <v>0</v>
      </c>
      <c r="O1889" t="n">
        <v>0</v>
      </c>
      <c r="P1889" t="n">
        <v>0</v>
      </c>
      <c r="Q1889" t="n">
        <v>0</v>
      </c>
      <c r="R1889" s="2" t="inlineStr"/>
    </row>
    <row r="1890" ht="15" customHeight="1">
      <c r="A1890" t="inlineStr">
        <is>
          <t>A 27977-2019</t>
        </is>
      </c>
      <c r="B1890" s="1" t="n">
        <v>43620</v>
      </c>
      <c r="C1890" s="1" t="n">
        <v>45182</v>
      </c>
      <c r="D1890" t="inlineStr">
        <is>
          <t>JÄMTLANDS LÄN</t>
        </is>
      </c>
      <c r="E1890" t="inlineStr">
        <is>
          <t>ÖSTERSUND</t>
        </is>
      </c>
      <c r="G1890" t="n">
        <v>1</v>
      </c>
      <c r="H1890" t="n">
        <v>0</v>
      </c>
      <c r="I1890" t="n">
        <v>0</v>
      </c>
      <c r="J1890" t="n">
        <v>0</v>
      </c>
      <c r="K1890" t="n">
        <v>0</v>
      </c>
      <c r="L1890" t="n">
        <v>0</v>
      </c>
      <c r="M1890" t="n">
        <v>0</v>
      </c>
      <c r="N1890" t="n">
        <v>0</v>
      </c>
      <c r="O1890" t="n">
        <v>0</v>
      </c>
      <c r="P1890" t="n">
        <v>0</v>
      </c>
      <c r="Q1890" t="n">
        <v>0</v>
      </c>
      <c r="R1890" s="2" t="inlineStr"/>
    </row>
    <row r="1891" ht="15" customHeight="1">
      <c r="A1891" t="inlineStr">
        <is>
          <t>A 27903-2019</t>
        </is>
      </c>
      <c r="B1891" s="1" t="n">
        <v>43620</v>
      </c>
      <c r="C1891" s="1" t="n">
        <v>45182</v>
      </c>
      <c r="D1891" t="inlineStr">
        <is>
          <t>JÄMTLANDS LÄN</t>
        </is>
      </c>
      <c r="E1891" t="inlineStr">
        <is>
          <t>HÄRJEDALEN</t>
        </is>
      </c>
      <c r="G1891" t="n">
        <v>22</v>
      </c>
      <c r="H1891" t="n">
        <v>0</v>
      </c>
      <c r="I1891" t="n">
        <v>0</v>
      </c>
      <c r="J1891" t="n">
        <v>0</v>
      </c>
      <c r="K1891" t="n">
        <v>0</v>
      </c>
      <c r="L1891" t="n">
        <v>0</v>
      </c>
      <c r="M1891" t="n">
        <v>0</v>
      </c>
      <c r="N1891" t="n">
        <v>0</v>
      </c>
      <c r="O1891" t="n">
        <v>0</v>
      </c>
      <c r="P1891" t="n">
        <v>0</v>
      </c>
      <c r="Q1891" t="n">
        <v>0</v>
      </c>
      <c r="R1891" s="2" t="inlineStr"/>
    </row>
    <row r="1892" ht="15" customHeight="1">
      <c r="A1892" t="inlineStr">
        <is>
          <t>A 27817-2019</t>
        </is>
      </c>
      <c r="B1892" s="1" t="n">
        <v>43620</v>
      </c>
      <c r="C1892" s="1" t="n">
        <v>45182</v>
      </c>
      <c r="D1892" t="inlineStr">
        <is>
          <t>JÄMTLANDS LÄN</t>
        </is>
      </c>
      <c r="E1892" t="inlineStr">
        <is>
          <t>STRÖMSUND</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29058-2019</t>
        </is>
      </c>
      <c r="B1893" s="1" t="n">
        <v>43621</v>
      </c>
      <c r="C1893" s="1" t="n">
        <v>45182</v>
      </c>
      <c r="D1893" t="inlineStr">
        <is>
          <t>JÄMTLANDS LÄN</t>
        </is>
      </c>
      <c r="E1893" t="inlineStr">
        <is>
          <t>ÖSTERSUND</t>
        </is>
      </c>
      <c r="G1893" t="n">
        <v>1.4</v>
      </c>
      <c r="H1893" t="n">
        <v>0</v>
      </c>
      <c r="I1893" t="n">
        <v>0</v>
      </c>
      <c r="J1893" t="n">
        <v>0</v>
      </c>
      <c r="K1893" t="n">
        <v>0</v>
      </c>
      <c r="L1893" t="n">
        <v>0</v>
      </c>
      <c r="M1893" t="n">
        <v>0</v>
      </c>
      <c r="N1893" t="n">
        <v>0</v>
      </c>
      <c r="O1893" t="n">
        <v>0</v>
      </c>
      <c r="P1893" t="n">
        <v>0</v>
      </c>
      <c r="Q1893" t="n">
        <v>0</v>
      </c>
      <c r="R1893" s="2" t="inlineStr"/>
    </row>
    <row r="1894" ht="15" customHeight="1">
      <c r="A1894" t="inlineStr">
        <is>
          <t>A 28250-2019</t>
        </is>
      </c>
      <c r="B1894" s="1" t="n">
        <v>43622</v>
      </c>
      <c r="C1894" s="1" t="n">
        <v>45182</v>
      </c>
      <c r="D1894" t="inlineStr">
        <is>
          <t>JÄMTLANDS LÄN</t>
        </is>
      </c>
      <c r="E1894" t="inlineStr">
        <is>
          <t>BERG</t>
        </is>
      </c>
      <c r="F1894" t="inlineStr">
        <is>
          <t>SCA</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28251-2019</t>
        </is>
      </c>
      <c r="B1895" s="1" t="n">
        <v>43622</v>
      </c>
      <c r="C1895" s="1" t="n">
        <v>45182</v>
      </c>
      <c r="D1895" t="inlineStr">
        <is>
          <t>JÄMTLANDS LÄN</t>
        </is>
      </c>
      <c r="E1895" t="inlineStr">
        <is>
          <t>RAGUNDA</t>
        </is>
      </c>
      <c r="F1895" t="inlineStr">
        <is>
          <t>SCA</t>
        </is>
      </c>
      <c r="G1895" t="n">
        <v>25.7</v>
      </c>
      <c r="H1895" t="n">
        <v>0</v>
      </c>
      <c r="I1895" t="n">
        <v>0</v>
      </c>
      <c r="J1895" t="n">
        <v>0</v>
      </c>
      <c r="K1895" t="n">
        <v>0</v>
      </c>
      <c r="L1895" t="n">
        <v>0</v>
      </c>
      <c r="M1895" t="n">
        <v>0</v>
      </c>
      <c r="N1895" t="n">
        <v>0</v>
      </c>
      <c r="O1895" t="n">
        <v>0</v>
      </c>
      <c r="P1895" t="n">
        <v>0</v>
      </c>
      <c r="Q1895" t="n">
        <v>0</v>
      </c>
      <c r="R1895" s="2" t="inlineStr"/>
    </row>
    <row r="1896" ht="15" customHeight="1">
      <c r="A1896" t="inlineStr">
        <is>
          <t>A 29270-2019</t>
        </is>
      </c>
      <c r="B1896" s="1" t="n">
        <v>43623</v>
      </c>
      <c r="C1896" s="1" t="n">
        <v>45182</v>
      </c>
      <c r="D1896" t="inlineStr">
        <is>
          <t>JÄMTLANDS LÄN</t>
        </is>
      </c>
      <c r="E1896" t="inlineStr">
        <is>
          <t>KROKOM</t>
        </is>
      </c>
      <c r="G1896" t="n">
        <v>0.3</v>
      </c>
      <c r="H1896" t="n">
        <v>0</v>
      </c>
      <c r="I1896" t="n">
        <v>0</v>
      </c>
      <c r="J1896" t="n">
        <v>0</v>
      </c>
      <c r="K1896" t="n">
        <v>0</v>
      </c>
      <c r="L1896" t="n">
        <v>0</v>
      </c>
      <c r="M1896" t="n">
        <v>0</v>
      </c>
      <c r="N1896" t="n">
        <v>0</v>
      </c>
      <c r="O1896" t="n">
        <v>0</v>
      </c>
      <c r="P1896" t="n">
        <v>0</v>
      </c>
      <c r="Q1896" t="n">
        <v>0</v>
      </c>
      <c r="R1896" s="2" t="inlineStr"/>
    </row>
    <row r="1897" ht="15" customHeight="1">
      <c r="A1897" t="inlineStr">
        <is>
          <t>A 29211-2019</t>
        </is>
      </c>
      <c r="B1897" s="1" t="n">
        <v>43623</v>
      </c>
      <c r="C1897" s="1" t="n">
        <v>45182</v>
      </c>
      <c r="D1897" t="inlineStr">
        <is>
          <t>JÄMTLANDS LÄN</t>
        </is>
      </c>
      <c r="E1897" t="inlineStr">
        <is>
          <t>KROKOM</t>
        </is>
      </c>
      <c r="G1897" t="n">
        <v>5</v>
      </c>
      <c r="H1897" t="n">
        <v>0</v>
      </c>
      <c r="I1897" t="n">
        <v>0</v>
      </c>
      <c r="J1897" t="n">
        <v>0</v>
      </c>
      <c r="K1897" t="n">
        <v>0</v>
      </c>
      <c r="L1897" t="n">
        <v>0</v>
      </c>
      <c r="M1897" t="n">
        <v>0</v>
      </c>
      <c r="N1897" t="n">
        <v>0</v>
      </c>
      <c r="O1897" t="n">
        <v>0</v>
      </c>
      <c r="P1897" t="n">
        <v>0</v>
      </c>
      <c r="Q1897" t="n">
        <v>0</v>
      </c>
      <c r="R1897" s="2" t="inlineStr"/>
    </row>
    <row r="1898" ht="15" customHeight="1">
      <c r="A1898" t="inlineStr">
        <is>
          <t>A 28326-2019</t>
        </is>
      </c>
      <c r="B1898" s="1" t="n">
        <v>43623</v>
      </c>
      <c r="C1898" s="1" t="n">
        <v>45182</v>
      </c>
      <c r="D1898" t="inlineStr">
        <is>
          <t>JÄMTLANDS LÄN</t>
        </is>
      </c>
      <c r="E1898" t="inlineStr">
        <is>
          <t>HÄRJEDALEN</t>
        </is>
      </c>
      <c r="F1898" t="inlineStr">
        <is>
          <t>Sveaskog</t>
        </is>
      </c>
      <c r="G1898" t="n">
        <v>2.3</v>
      </c>
      <c r="H1898" t="n">
        <v>0</v>
      </c>
      <c r="I1898" t="n">
        <v>0</v>
      </c>
      <c r="J1898" t="n">
        <v>0</v>
      </c>
      <c r="K1898" t="n">
        <v>0</v>
      </c>
      <c r="L1898" t="n">
        <v>0</v>
      </c>
      <c r="M1898" t="n">
        <v>0</v>
      </c>
      <c r="N1898" t="n">
        <v>0</v>
      </c>
      <c r="O1898" t="n">
        <v>0</v>
      </c>
      <c r="P1898" t="n">
        <v>0</v>
      </c>
      <c r="Q1898" t="n">
        <v>0</v>
      </c>
      <c r="R1898" s="2" t="inlineStr"/>
    </row>
    <row r="1899" ht="15" customHeight="1">
      <c r="A1899" t="inlineStr">
        <is>
          <t>A 28312-2019</t>
        </is>
      </c>
      <c r="B1899" s="1" t="n">
        <v>43623</v>
      </c>
      <c r="C1899" s="1" t="n">
        <v>45182</v>
      </c>
      <c r="D1899" t="inlineStr">
        <is>
          <t>JÄMTLANDS LÄN</t>
        </is>
      </c>
      <c r="E1899" t="inlineStr">
        <is>
          <t>HÄRJEDALEN</t>
        </is>
      </c>
      <c r="G1899" t="n">
        <v>6.5</v>
      </c>
      <c r="H1899" t="n">
        <v>0</v>
      </c>
      <c r="I1899" t="n">
        <v>0</v>
      </c>
      <c r="J1899" t="n">
        <v>0</v>
      </c>
      <c r="K1899" t="n">
        <v>0</v>
      </c>
      <c r="L1899" t="n">
        <v>0</v>
      </c>
      <c r="M1899" t="n">
        <v>0</v>
      </c>
      <c r="N1899" t="n">
        <v>0</v>
      </c>
      <c r="O1899" t="n">
        <v>0</v>
      </c>
      <c r="P1899" t="n">
        <v>0</v>
      </c>
      <c r="Q1899" t="n">
        <v>0</v>
      </c>
      <c r="R1899" s="2" t="inlineStr"/>
    </row>
    <row r="1900" ht="15" customHeight="1">
      <c r="A1900" t="inlineStr">
        <is>
          <t>A 29222-2019</t>
        </is>
      </c>
      <c r="B1900" s="1" t="n">
        <v>43623</v>
      </c>
      <c r="C1900" s="1" t="n">
        <v>45182</v>
      </c>
      <c r="D1900" t="inlineStr">
        <is>
          <t>JÄMTLANDS LÄN</t>
        </is>
      </c>
      <c r="E1900" t="inlineStr">
        <is>
          <t>KROKOM</t>
        </is>
      </c>
      <c r="G1900" t="n">
        <v>5.9</v>
      </c>
      <c r="H1900" t="n">
        <v>0</v>
      </c>
      <c r="I1900" t="n">
        <v>0</v>
      </c>
      <c r="J1900" t="n">
        <v>0</v>
      </c>
      <c r="K1900" t="n">
        <v>0</v>
      </c>
      <c r="L1900" t="n">
        <v>0</v>
      </c>
      <c r="M1900" t="n">
        <v>0</v>
      </c>
      <c r="N1900" t="n">
        <v>0</v>
      </c>
      <c r="O1900" t="n">
        <v>0</v>
      </c>
      <c r="P1900" t="n">
        <v>0</v>
      </c>
      <c r="Q1900" t="n">
        <v>0</v>
      </c>
      <c r="R1900" s="2" t="inlineStr"/>
    </row>
    <row r="1901" ht="15" customHeight="1">
      <c r="A1901" t="inlineStr">
        <is>
          <t>A 29339-2019</t>
        </is>
      </c>
      <c r="B1901" s="1" t="n">
        <v>43626</v>
      </c>
      <c r="C1901" s="1" t="n">
        <v>45182</v>
      </c>
      <c r="D1901" t="inlineStr">
        <is>
          <t>JÄMTLANDS LÄN</t>
        </is>
      </c>
      <c r="E1901" t="inlineStr">
        <is>
          <t>BERG</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28513-2019</t>
        </is>
      </c>
      <c r="B1902" s="1" t="n">
        <v>43626</v>
      </c>
      <c r="C1902" s="1" t="n">
        <v>45182</v>
      </c>
      <c r="D1902" t="inlineStr">
        <is>
          <t>JÄMTLANDS LÄN</t>
        </is>
      </c>
      <c r="E1902" t="inlineStr">
        <is>
          <t>HÄRJEDALEN</t>
        </is>
      </c>
      <c r="G1902" t="n">
        <v>0.9</v>
      </c>
      <c r="H1902" t="n">
        <v>0</v>
      </c>
      <c r="I1902" t="n">
        <v>0</v>
      </c>
      <c r="J1902" t="n">
        <v>0</v>
      </c>
      <c r="K1902" t="n">
        <v>0</v>
      </c>
      <c r="L1902" t="n">
        <v>0</v>
      </c>
      <c r="M1902" t="n">
        <v>0</v>
      </c>
      <c r="N1902" t="n">
        <v>0</v>
      </c>
      <c r="O1902" t="n">
        <v>0</v>
      </c>
      <c r="P1902" t="n">
        <v>0</v>
      </c>
      <c r="Q1902" t="n">
        <v>0</v>
      </c>
      <c r="R1902" s="2" t="inlineStr"/>
    </row>
    <row r="1903" ht="15" customHeight="1">
      <c r="A1903" t="inlineStr">
        <is>
          <t>A 28521-2019</t>
        </is>
      </c>
      <c r="B1903" s="1" t="n">
        <v>43626</v>
      </c>
      <c r="C1903" s="1" t="n">
        <v>45182</v>
      </c>
      <c r="D1903" t="inlineStr">
        <is>
          <t>JÄMTLANDS LÄN</t>
        </is>
      </c>
      <c r="E1903" t="inlineStr">
        <is>
          <t>KROKOM</t>
        </is>
      </c>
      <c r="G1903" t="n">
        <v>1</v>
      </c>
      <c r="H1903" t="n">
        <v>0</v>
      </c>
      <c r="I1903" t="n">
        <v>0</v>
      </c>
      <c r="J1903" t="n">
        <v>0</v>
      </c>
      <c r="K1903" t="n">
        <v>0</v>
      </c>
      <c r="L1903" t="n">
        <v>0</v>
      </c>
      <c r="M1903" t="n">
        <v>0</v>
      </c>
      <c r="N1903" t="n">
        <v>0</v>
      </c>
      <c r="O1903" t="n">
        <v>0</v>
      </c>
      <c r="P1903" t="n">
        <v>0</v>
      </c>
      <c r="Q1903" t="n">
        <v>0</v>
      </c>
      <c r="R1903" s="2" t="inlineStr"/>
    </row>
    <row r="1904" ht="15" customHeight="1">
      <c r="A1904" t="inlineStr">
        <is>
          <t>A 28766-2019</t>
        </is>
      </c>
      <c r="B1904" s="1" t="n">
        <v>43627</v>
      </c>
      <c r="C1904" s="1" t="n">
        <v>45182</v>
      </c>
      <c r="D1904" t="inlineStr">
        <is>
          <t>JÄMTLANDS LÄN</t>
        </is>
      </c>
      <c r="E1904" t="inlineStr">
        <is>
          <t>STRÖMSUND</t>
        </is>
      </c>
      <c r="G1904" t="n">
        <v>19.8</v>
      </c>
      <c r="H1904" t="n">
        <v>0</v>
      </c>
      <c r="I1904" t="n">
        <v>0</v>
      </c>
      <c r="J1904" t="n">
        <v>0</v>
      </c>
      <c r="K1904" t="n">
        <v>0</v>
      </c>
      <c r="L1904" t="n">
        <v>0</v>
      </c>
      <c r="M1904" t="n">
        <v>0</v>
      </c>
      <c r="N1904" t="n">
        <v>0</v>
      </c>
      <c r="O1904" t="n">
        <v>0</v>
      </c>
      <c r="P1904" t="n">
        <v>0</v>
      </c>
      <c r="Q1904" t="n">
        <v>0</v>
      </c>
      <c r="R1904" s="2" t="inlineStr"/>
    </row>
    <row r="1905" ht="15" customHeight="1">
      <c r="A1905" t="inlineStr">
        <is>
          <t>A 28671-2019</t>
        </is>
      </c>
      <c r="B1905" s="1" t="n">
        <v>43627</v>
      </c>
      <c r="C1905" s="1" t="n">
        <v>45182</v>
      </c>
      <c r="D1905" t="inlineStr">
        <is>
          <t>JÄMTLANDS LÄN</t>
        </is>
      </c>
      <c r="E1905" t="inlineStr">
        <is>
          <t>STRÖMSUND</t>
        </is>
      </c>
      <c r="G1905" t="n">
        <v>21.3</v>
      </c>
      <c r="H1905" t="n">
        <v>0</v>
      </c>
      <c r="I1905" t="n">
        <v>0</v>
      </c>
      <c r="J1905" t="n">
        <v>0</v>
      </c>
      <c r="K1905" t="n">
        <v>0</v>
      </c>
      <c r="L1905" t="n">
        <v>0</v>
      </c>
      <c r="M1905" t="n">
        <v>0</v>
      </c>
      <c r="N1905" t="n">
        <v>0</v>
      </c>
      <c r="O1905" t="n">
        <v>0</v>
      </c>
      <c r="P1905" t="n">
        <v>0</v>
      </c>
      <c r="Q1905" t="n">
        <v>0</v>
      </c>
      <c r="R1905" s="2" t="inlineStr"/>
    </row>
    <row r="1906" ht="15" customHeight="1">
      <c r="A1906" t="inlineStr">
        <is>
          <t>A 28793-2019</t>
        </is>
      </c>
      <c r="B1906" s="1" t="n">
        <v>43627</v>
      </c>
      <c r="C1906" s="1" t="n">
        <v>45182</v>
      </c>
      <c r="D1906" t="inlineStr">
        <is>
          <t>JÄMTLANDS LÄN</t>
        </is>
      </c>
      <c r="E1906" t="inlineStr">
        <is>
          <t>ÅRE</t>
        </is>
      </c>
      <c r="G1906" t="n">
        <v>7.8</v>
      </c>
      <c r="H1906" t="n">
        <v>0</v>
      </c>
      <c r="I1906" t="n">
        <v>0</v>
      </c>
      <c r="J1906" t="n">
        <v>0</v>
      </c>
      <c r="K1906" t="n">
        <v>0</v>
      </c>
      <c r="L1906" t="n">
        <v>0</v>
      </c>
      <c r="M1906" t="n">
        <v>0</v>
      </c>
      <c r="N1906" t="n">
        <v>0</v>
      </c>
      <c r="O1906" t="n">
        <v>0</v>
      </c>
      <c r="P1906" t="n">
        <v>0</v>
      </c>
      <c r="Q1906" t="n">
        <v>0</v>
      </c>
      <c r="R1906" s="2" t="inlineStr"/>
    </row>
    <row r="1907" ht="15" customHeight="1">
      <c r="A1907" t="inlineStr">
        <is>
          <t>A 29146-2019</t>
        </is>
      </c>
      <c r="B1907" s="1" t="n">
        <v>43628</v>
      </c>
      <c r="C1907" s="1" t="n">
        <v>45182</v>
      </c>
      <c r="D1907" t="inlineStr">
        <is>
          <t>JÄMTLANDS LÄN</t>
        </is>
      </c>
      <c r="E1907" t="inlineStr">
        <is>
          <t>STRÖMSUND</t>
        </is>
      </c>
      <c r="F1907" t="inlineStr">
        <is>
          <t>SCA</t>
        </is>
      </c>
      <c r="G1907" t="n">
        <v>79.8</v>
      </c>
      <c r="H1907" t="n">
        <v>0</v>
      </c>
      <c r="I1907" t="n">
        <v>0</v>
      </c>
      <c r="J1907" t="n">
        <v>0</v>
      </c>
      <c r="K1907" t="n">
        <v>0</v>
      </c>
      <c r="L1907" t="n">
        <v>0</v>
      </c>
      <c r="M1907" t="n">
        <v>0</v>
      </c>
      <c r="N1907" t="n">
        <v>0</v>
      </c>
      <c r="O1907" t="n">
        <v>0</v>
      </c>
      <c r="P1907" t="n">
        <v>0</v>
      </c>
      <c r="Q1907" t="n">
        <v>0</v>
      </c>
      <c r="R1907" s="2" t="inlineStr"/>
    </row>
    <row r="1908" ht="15" customHeight="1">
      <c r="A1908" t="inlineStr">
        <is>
          <t>A 28950-2019</t>
        </is>
      </c>
      <c r="B1908" s="1" t="n">
        <v>43628</v>
      </c>
      <c r="C1908" s="1" t="n">
        <v>45182</v>
      </c>
      <c r="D1908" t="inlineStr">
        <is>
          <t>JÄMTLANDS LÄN</t>
        </is>
      </c>
      <c r="E1908" t="inlineStr">
        <is>
          <t>BRÄCKE</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29153-2019</t>
        </is>
      </c>
      <c r="B1909" s="1" t="n">
        <v>43628</v>
      </c>
      <c r="C1909" s="1" t="n">
        <v>45182</v>
      </c>
      <c r="D1909" t="inlineStr">
        <is>
          <t>JÄMTLANDS LÄN</t>
        </is>
      </c>
      <c r="E1909" t="inlineStr">
        <is>
          <t>KROKOM</t>
        </is>
      </c>
      <c r="F1909" t="inlineStr">
        <is>
          <t>SCA</t>
        </is>
      </c>
      <c r="G1909" t="n">
        <v>4.7</v>
      </c>
      <c r="H1909" t="n">
        <v>0</v>
      </c>
      <c r="I1909" t="n">
        <v>0</v>
      </c>
      <c r="J1909" t="n">
        <v>0</v>
      </c>
      <c r="K1909" t="n">
        <v>0</v>
      </c>
      <c r="L1909" t="n">
        <v>0</v>
      </c>
      <c r="M1909" t="n">
        <v>0</v>
      </c>
      <c r="N1909" t="n">
        <v>0</v>
      </c>
      <c r="O1909" t="n">
        <v>0</v>
      </c>
      <c r="P1909" t="n">
        <v>0</v>
      </c>
      <c r="Q1909" t="n">
        <v>0</v>
      </c>
      <c r="R1909" s="2" t="inlineStr"/>
    </row>
    <row r="1910" ht="15" customHeight="1">
      <c r="A1910" t="inlineStr">
        <is>
          <t>A 29166-2019</t>
        </is>
      </c>
      <c r="B1910" s="1" t="n">
        <v>43628</v>
      </c>
      <c r="C1910" s="1" t="n">
        <v>45182</v>
      </c>
      <c r="D1910" t="inlineStr">
        <is>
          <t>JÄMTLANDS LÄN</t>
        </is>
      </c>
      <c r="E1910" t="inlineStr">
        <is>
          <t>STRÖMSUND</t>
        </is>
      </c>
      <c r="F1910" t="inlineStr">
        <is>
          <t>SCA</t>
        </is>
      </c>
      <c r="G1910" t="n">
        <v>3.5</v>
      </c>
      <c r="H1910" t="n">
        <v>0</v>
      </c>
      <c r="I1910" t="n">
        <v>0</v>
      </c>
      <c r="J1910" t="n">
        <v>0</v>
      </c>
      <c r="K1910" t="n">
        <v>0</v>
      </c>
      <c r="L1910" t="n">
        <v>0</v>
      </c>
      <c r="M1910" t="n">
        <v>0</v>
      </c>
      <c r="N1910" t="n">
        <v>0</v>
      </c>
      <c r="O1910" t="n">
        <v>0</v>
      </c>
      <c r="P1910" t="n">
        <v>0</v>
      </c>
      <c r="Q1910" t="n">
        <v>0</v>
      </c>
      <c r="R1910" s="2" t="inlineStr"/>
    </row>
    <row r="1911" ht="15" customHeight="1">
      <c r="A1911" t="inlineStr">
        <is>
          <t>A 29705-2019</t>
        </is>
      </c>
      <c r="B1911" s="1" t="n">
        <v>43628</v>
      </c>
      <c r="C1911" s="1" t="n">
        <v>45182</v>
      </c>
      <c r="D1911" t="inlineStr">
        <is>
          <t>JÄMTLANDS LÄN</t>
        </is>
      </c>
      <c r="E1911" t="inlineStr">
        <is>
          <t>KROKOM</t>
        </is>
      </c>
      <c r="G1911" t="n">
        <v>7.1</v>
      </c>
      <c r="H1911" t="n">
        <v>0</v>
      </c>
      <c r="I1911" t="n">
        <v>0</v>
      </c>
      <c r="J1911" t="n">
        <v>0</v>
      </c>
      <c r="K1911" t="n">
        <v>0</v>
      </c>
      <c r="L1911" t="n">
        <v>0</v>
      </c>
      <c r="M1911" t="n">
        <v>0</v>
      </c>
      <c r="N1911" t="n">
        <v>0</v>
      </c>
      <c r="O1911" t="n">
        <v>0</v>
      </c>
      <c r="P1911" t="n">
        <v>0</v>
      </c>
      <c r="Q1911" t="n">
        <v>0</v>
      </c>
      <c r="R1911" s="2" t="inlineStr"/>
    </row>
    <row r="1912" ht="15" customHeight="1">
      <c r="A1912" t="inlineStr">
        <is>
          <t>A 29476-2019</t>
        </is>
      </c>
      <c r="B1912" s="1" t="n">
        <v>43629</v>
      </c>
      <c r="C1912" s="1" t="n">
        <v>45182</v>
      </c>
      <c r="D1912" t="inlineStr">
        <is>
          <t>JÄMTLANDS LÄN</t>
        </is>
      </c>
      <c r="E1912" t="inlineStr">
        <is>
          <t>BRÄCKE</t>
        </is>
      </c>
      <c r="F1912" t="inlineStr">
        <is>
          <t>SCA</t>
        </is>
      </c>
      <c r="G1912" t="n">
        <v>2.5</v>
      </c>
      <c r="H1912" t="n">
        <v>0</v>
      </c>
      <c r="I1912" t="n">
        <v>0</v>
      </c>
      <c r="J1912" t="n">
        <v>0</v>
      </c>
      <c r="K1912" t="n">
        <v>0</v>
      </c>
      <c r="L1912" t="n">
        <v>0</v>
      </c>
      <c r="M1912" t="n">
        <v>0</v>
      </c>
      <c r="N1912" t="n">
        <v>0</v>
      </c>
      <c r="O1912" t="n">
        <v>0</v>
      </c>
      <c r="P1912" t="n">
        <v>0</v>
      </c>
      <c r="Q1912" t="n">
        <v>0</v>
      </c>
      <c r="R1912" s="2" t="inlineStr"/>
    </row>
    <row r="1913" ht="15" customHeight="1">
      <c r="A1913" t="inlineStr">
        <is>
          <t>A 29272-2019</t>
        </is>
      </c>
      <c r="B1913" s="1" t="n">
        <v>43629</v>
      </c>
      <c r="C1913" s="1" t="n">
        <v>45182</v>
      </c>
      <c r="D1913" t="inlineStr">
        <is>
          <t>JÄMTLANDS LÄN</t>
        </is>
      </c>
      <c r="E1913" t="inlineStr">
        <is>
          <t>ÅRE</t>
        </is>
      </c>
      <c r="G1913" t="n">
        <v>10.9</v>
      </c>
      <c r="H1913" t="n">
        <v>0</v>
      </c>
      <c r="I1913" t="n">
        <v>0</v>
      </c>
      <c r="J1913" t="n">
        <v>0</v>
      </c>
      <c r="K1913" t="n">
        <v>0</v>
      </c>
      <c r="L1913" t="n">
        <v>0</v>
      </c>
      <c r="M1913" t="n">
        <v>0</v>
      </c>
      <c r="N1913" t="n">
        <v>0</v>
      </c>
      <c r="O1913" t="n">
        <v>0</v>
      </c>
      <c r="P1913" t="n">
        <v>0</v>
      </c>
      <c r="Q1913" t="n">
        <v>0</v>
      </c>
      <c r="R1913" s="2" t="inlineStr"/>
    </row>
    <row r="1914" ht="15" customHeight="1">
      <c r="A1914" t="inlineStr">
        <is>
          <t>A 29359-2019</t>
        </is>
      </c>
      <c r="B1914" s="1" t="n">
        <v>43629</v>
      </c>
      <c r="C1914" s="1" t="n">
        <v>45182</v>
      </c>
      <c r="D1914" t="inlineStr">
        <is>
          <t>JÄMTLANDS LÄN</t>
        </is>
      </c>
      <c r="E1914" t="inlineStr">
        <is>
          <t>STRÖMSUND</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29378-2019</t>
        </is>
      </c>
      <c r="B1915" s="1" t="n">
        <v>43629</v>
      </c>
      <c r="C1915" s="1" t="n">
        <v>45182</v>
      </c>
      <c r="D1915" t="inlineStr">
        <is>
          <t>JÄMTLANDS LÄN</t>
        </is>
      </c>
      <c r="E1915" t="inlineStr">
        <is>
          <t>STRÖMSUND</t>
        </is>
      </c>
      <c r="G1915" t="n">
        <v>33.5</v>
      </c>
      <c r="H1915" t="n">
        <v>0</v>
      </c>
      <c r="I1915" t="n">
        <v>0</v>
      </c>
      <c r="J1915" t="n">
        <v>0</v>
      </c>
      <c r="K1915" t="n">
        <v>0</v>
      </c>
      <c r="L1915" t="n">
        <v>0</v>
      </c>
      <c r="M1915" t="n">
        <v>0</v>
      </c>
      <c r="N1915" t="n">
        <v>0</v>
      </c>
      <c r="O1915" t="n">
        <v>0</v>
      </c>
      <c r="P1915" t="n">
        <v>0</v>
      </c>
      <c r="Q1915" t="n">
        <v>0</v>
      </c>
      <c r="R1915" s="2" t="inlineStr"/>
    </row>
    <row r="1916" ht="15" customHeight="1">
      <c r="A1916" t="inlineStr">
        <is>
          <t>A 29202-2019</t>
        </is>
      </c>
      <c r="B1916" s="1" t="n">
        <v>43629</v>
      </c>
      <c r="C1916" s="1" t="n">
        <v>45182</v>
      </c>
      <c r="D1916" t="inlineStr">
        <is>
          <t>JÄMTLANDS LÄN</t>
        </is>
      </c>
      <c r="E1916" t="inlineStr">
        <is>
          <t>BERG</t>
        </is>
      </c>
      <c r="F1916" t="inlineStr">
        <is>
          <t>Sveaskog</t>
        </is>
      </c>
      <c r="G1916" t="n">
        <v>6.6</v>
      </c>
      <c r="H1916" t="n">
        <v>0</v>
      </c>
      <c r="I1916" t="n">
        <v>0</v>
      </c>
      <c r="J1916" t="n">
        <v>0</v>
      </c>
      <c r="K1916" t="n">
        <v>0</v>
      </c>
      <c r="L1916" t="n">
        <v>0</v>
      </c>
      <c r="M1916" t="n">
        <v>0</v>
      </c>
      <c r="N1916" t="n">
        <v>0</v>
      </c>
      <c r="O1916" t="n">
        <v>0</v>
      </c>
      <c r="P1916" t="n">
        <v>0</v>
      </c>
      <c r="Q1916" t="n">
        <v>0</v>
      </c>
      <c r="R1916" s="2" t="inlineStr"/>
    </row>
    <row r="1917" ht="15" customHeight="1">
      <c r="A1917" t="inlineStr">
        <is>
          <t>A 29263-2019</t>
        </is>
      </c>
      <c r="B1917" s="1" t="n">
        <v>43629</v>
      </c>
      <c r="C1917" s="1" t="n">
        <v>45182</v>
      </c>
      <c r="D1917" t="inlineStr">
        <is>
          <t>JÄMTLANDS LÄN</t>
        </is>
      </c>
      <c r="E1917" t="inlineStr">
        <is>
          <t>HÄRJEDALEN</t>
        </is>
      </c>
      <c r="F1917" t="inlineStr">
        <is>
          <t>Holmen skog AB</t>
        </is>
      </c>
      <c r="G1917" t="n">
        <v>0.7</v>
      </c>
      <c r="H1917" t="n">
        <v>0</v>
      </c>
      <c r="I1917" t="n">
        <v>0</v>
      </c>
      <c r="J1917" t="n">
        <v>0</v>
      </c>
      <c r="K1917" t="n">
        <v>0</v>
      </c>
      <c r="L1917" t="n">
        <v>0</v>
      </c>
      <c r="M1917" t="n">
        <v>0</v>
      </c>
      <c r="N1917" t="n">
        <v>0</v>
      </c>
      <c r="O1917" t="n">
        <v>0</v>
      </c>
      <c r="P1917" t="n">
        <v>0</v>
      </c>
      <c r="Q1917" t="n">
        <v>0</v>
      </c>
      <c r="R1917" s="2" t="inlineStr"/>
    </row>
    <row r="1918" ht="15" customHeight="1">
      <c r="A1918" t="inlineStr">
        <is>
          <t>A 29728-2019</t>
        </is>
      </c>
      <c r="B1918" s="1" t="n">
        <v>43630</v>
      </c>
      <c r="C1918" s="1" t="n">
        <v>45182</v>
      </c>
      <c r="D1918" t="inlineStr">
        <is>
          <t>JÄMTLANDS LÄN</t>
        </is>
      </c>
      <c r="E1918" t="inlineStr">
        <is>
          <t>BERG</t>
        </is>
      </c>
      <c r="G1918" t="n">
        <v>8.1</v>
      </c>
      <c r="H1918" t="n">
        <v>0</v>
      </c>
      <c r="I1918" t="n">
        <v>0</v>
      </c>
      <c r="J1918" t="n">
        <v>0</v>
      </c>
      <c r="K1918" t="n">
        <v>0</v>
      </c>
      <c r="L1918" t="n">
        <v>0</v>
      </c>
      <c r="M1918" t="n">
        <v>0</v>
      </c>
      <c r="N1918" t="n">
        <v>0</v>
      </c>
      <c r="O1918" t="n">
        <v>0</v>
      </c>
      <c r="P1918" t="n">
        <v>0</v>
      </c>
      <c r="Q1918" t="n">
        <v>0</v>
      </c>
      <c r="R1918" s="2" t="inlineStr"/>
    </row>
    <row r="1919" ht="15" customHeight="1">
      <c r="A1919" t="inlineStr">
        <is>
          <t>A 29740-2019</t>
        </is>
      </c>
      <c r="B1919" s="1" t="n">
        <v>43630</v>
      </c>
      <c r="C1919" s="1" t="n">
        <v>45182</v>
      </c>
      <c r="D1919" t="inlineStr">
        <is>
          <t>JÄMTLANDS LÄN</t>
        </is>
      </c>
      <c r="E1919" t="inlineStr">
        <is>
          <t>STRÖMSUND</t>
        </is>
      </c>
      <c r="F1919" t="inlineStr">
        <is>
          <t>SCA</t>
        </is>
      </c>
      <c r="G1919" t="n">
        <v>62.8</v>
      </c>
      <c r="H1919" t="n">
        <v>0</v>
      </c>
      <c r="I1919" t="n">
        <v>0</v>
      </c>
      <c r="J1919" t="n">
        <v>0</v>
      </c>
      <c r="K1919" t="n">
        <v>0</v>
      </c>
      <c r="L1919" t="n">
        <v>0</v>
      </c>
      <c r="M1919" t="n">
        <v>0</v>
      </c>
      <c r="N1919" t="n">
        <v>0</v>
      </c>
      <c r="O1919" t="n">
        <v>0</v>
      </c>
      <c r="P1919" t="n">
        <v>0</v>
      </c>
      <c r="Q1919" t="n">
        <v>0</v>
      </c>
      <c r="R1919" s="2" t="inlineStr"/>
    </row>
    <row r="1920" ht="15" customHeight="1">
      <c r="A1920" t="inlineStr">
        <is>
          <t>A 29769-2019</t>
        </is>
      </c>
      <c r="B1920" s="1" t="n">
        <v>43632</v>
      </c>
      <c r="C1920" s="1" t="n">
        <v>45182</v>
      </c>
      <c r="D1920" t="inlineStr">
        <is>
          <t>JÄMTLANDS LÄN</t>
        </is>
      </c>
      <c r="E1920" t="inlineStr">
        <is>
          <t>ÅRE</t>
        </is>
      </c>
      <c r="G1920" t="n">
        <v>1.8</v>
      </c>
      <c r="H1920" t="n">
        <v>0</v>
      </c>
      <c r="I1920" t="n">
        <v>0</v>
      </c>
      <c r="J1920" t="n">
        <v>0</v>
      </c>
      <c r="K1920" t="n">
        <v>0</v>
      </c>
      <c r="L1920" t="n">
        <v>0</v>
      </c>
      <c r="M1920" t="n">
        <v>0</v>
      </c>
      <c r="N1920" t="n">
        <v>0</v>
      </c>
      <c r="O1920" t="n">
        <v>0</v>
      </c>
      <c r="P1920" t="n">
        <v>0</v>
      </c>
      <c r="Q1920" t="n">
        <v>0</v>
      </c>
      <c r="R1920" s="2" t="inlineStr"/>
    </row>
    <row r="1921" ht="15" customHeight="1">
      <c r="A1921" t="inlineStr">
        <is>
          <t>A 29925-2019</t>
        </is>
      </c>
      <c r="B1921" s="1" t="n">
        <v>43633</v>
      </c>
      <c r="C1921" s="1" t="n">
        <v>45182</v>
      </c>
      <c r="D1921" t="inlineStr">
        <is>
          <t>JÄMTLANDS LÄN</t>
        </is>
      </c>
      <c r="E1921" t="inlineStr">
        <is>
          <t>KROKOM</t>
        </is>
      </c>
      <c r="G1921" t="n">
        <v>1.8</v>
      </c>
      <c r="H1921" t="n">
        <v>0</v>
      </c>
      <c r="I1921" t="n">
        <v>0</v>
      </c>
      <c r="J1921" t="n">
        <v>0</v>
      </c>
      <c r="K1921" t="n">
        <v>0</v>
      </c>
      <c r="L1921" t="n">
        <v>0</v>
      </c>
      <c r="M1921" t="n">
        <v>0</v>
      </c>
      <c r="N1921" t="n">
        <v>0</v>
      </c>
      <c r="O1921" t="n">
        <v>0</v>
      </c>
      <c r="P1921" t="n">
        <v>0</v>
      </c>
      <c r="Q1921" t="n">
        <v>0</v>
      </c>
      <c r="R1921" s="2" t="inlineStr"/>
    </row>
    <row r="1922" ht="15" customHeight="1">
      <c r="A1922" t="inlineStr">
        <is>
          <t>A 30034-2019</t>
        </is>
      </c>
      <c r="B1922" s="1" t="n">
        <v>43633</v>
      </c>
      <c r="C1922" s="1" t="n">
        <v>45182</v>
      </c>
      <c r="D1922" t="inlineStr">
        <is>
          <t>JÄMTLANDS LÄN</t>
        </is>
      </c>
      <c r="E1922" t="inlineStr">
        <is>
          <t>RAGUNDA</t>
        </is>
      </c>
      <c r="G1922" t="n">
        <v>5.6</v>
      </c>
      <c r="H1922" t="n">
        <v>0</v>
      </c>
      <c r="I1922" t="n">
        <v>0</v>
      </c>
      <c r="J1922" t="n">
        <v>0</v>
      </c>
      <c r="K1922" t="n">
        <v>0</v>
      </c>
      <c r="L1922" t="n">
        <v>0</v>
      </c>
      <c r="M1922" t="n">
        <v>0</v>
      </c>
      <c r="N1922" t="n">
        <v>0</v>
      </c>
      <c r="O1922" t="n">
        <v>0</v>
      </c>
      <c r="P1922" t="n">
        <v>0</v>
      </c>
      <c r="Q1922" t="n">
        <v>0</v>
      </c>
      <c r="R1922" s="2" t="inlineStr"/>
    </row>
    <row r="1923" ht="15" customHeight="1">
      <c r="A1923" t="inlineStr">
        <is>
          <t>A 30071-2019</t>
        </is>
      </c>
      <c r="B1923" s="1" t="n">
        <v>43633</v>
      </c>
      <c r="C1923" s="1" t="n">
        <v>45182</v>
      </c>
      <c r="D1923" t="inlineStr">
        <is>
          <t>JÄMTLANDS LÄN</t>
        </is>
      </c>
      <c r="E1923" t="inlineStr">
        <is>
          <t>BRÄCKE</t>
        </is>
      </c>
      <c r="F1923" t="inlineStr">
        <is>
          <t>SCA</t>
        </is>
      </c>
      <c r="G1923" t="n">
        <v>4.9</v>
      </c>
      <c r="H1923" t="n">
        <v>0</v>
      </c>
      <c r="I1923" t="n">
        <v>0</v>
      </c>
      <c r="J1923" t="n">
        <v>0</v>
      </c>
      <c r="K1923" t="n">
        <v>0</v>
      </c>
      <c r="L1923" t="n">
        <v>0</v>
      </c>
      <c r="M1923" t="n">
        <v>0</v>
      </c>
      <c r="N1923" t="n">
        <v>0</v>
      </c>
      <c r="O1923" t="n">
        <v>0</v>
      </c>
      <c r="P1923" t="n">
        <v>0</v>
      </c>
      <c r="Q1923" t="n">
        <v>0</v>
      </c>
      <c r="R1923" s="2" t="inlineStr"/>
    </row>
    <row r="1924" ht="15" customHeight="1">
      <c r="A1924" t="inlineStr">
        <is>
          <t>A 30032-2019</t>
        </is>
      </c>
      <c r="B1924" s="1" t="n">
        <v>43633</v>
      </c>
      <c r="C1924" s="1" t="n">
        <v>45182</v>
      </c>
      <c r="D1924" t="inlineStr">
        <is>
          <t>JÄMTLANDS LÄN</t>
        </is>
      </c>
      <c r="E1924" t="inlineStr">
        <is>
          <t>KROKOM</t>
        </is>
      </c>
      <c r="G1924" t="n">
        <v>4.1</v>
      </c>
      <c r="H1924" t="n">
        <v>0</v>
      </c>
      <c r="I1924" t="n">
        <v>0</v>
      </c>
      <c r="J1924" t="n">
        <v>0</v>
      </c>
      <c r="K1924" t="n">
        <v>0</v>
      </c>
      <c r="L1924" t="n">
        <v>0</v>
      </c>
      <c r="M1924" t="n">
        <v>0</v>
      </c>
      <c r="N1924" t="n">
        <v>0</v>
      </c>
      <c r="O1924" t="n">
        <v>0</v>
      </c>
      <c r="P1924" t="n">
        <v>0</v>
      </c>
      <c r="Q1924" t="n">
        <v>0</v>
      </c>
      <c r="R1924" s="2" t="inlineStr"/>
    </row>
    <row r="1925" ht="15" customHeight="1">
      <c r="A1925" t="inlineStr">
        <is>
          <t>A 29823-2019</t>
        </is>
      </c>
      <c r="B1925" s="1" t="n">
        <v>43633</v>
      </c>
      <c r="C1925" s="1" t="n">
        <v>45182</v>
      </c>
      <c r="D1925" t="inlineStr">
        <is>
          <t>JÄMTLANDS LÄN</t>
        </is>
      </c>
      <c r="E1925" t="inlineStr">
        <is>
          <t>KROKOM</t>
        </is>
      </c>
      <c r="G1925" t="n">
        <v>1.7</v>
      </c>
      <c r="H1925" t="n">
        <v>0</v>
      </c>
      <c r="I1925" t="n">
        <v>0</v>
      </c>
      <c r="J1925" t="n">
        <v>0</v>
      </c>
      <c r="K1925" t="n">
        <v>0</v>
      </c>
      <c r="L1925" t="n">
        <v>0</v>
      </c>
      <c r="M1925" t="n">
        <v>0</v>
      </c>
      <c r="N1925" t="n">
        <v>0</v>
      </c>
      <c r="O1925" t="n">
        <v>0</v>
      </c>
      <c r="P1925" t="n">
        <v>0</v>
      </c>
      <c r="Q1925" t="n">
        <v>0</v>
      </c>
      <c r="R1925" s="2" t="inlineStr"/>
    </row>
    <row r="1926" ht="15" customHeight="1">
      <c r="A1926" t="inlineStr">
        <is>
          <t>A 29916-2019</t>
        </is>
      </c>
      <c r="B1926" s="1" t="n">
        <v>43633</v>
      </c>
      <c r="C1926" s="1" t="n">
        <v>45182</v>
      </c>
      <c r="D1926" t="inlineStr">
        <is>
          <t>JÄMTLANDS LÄN</t>
        </is>
      </c>
      <c r="E1926" t="inlineStr">
        <is>
          <t>ÅRE</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30076-2019</t>
        </is>
      </c>
      <c r="B1927" s="1" t="n">
        <v>43633</v>
      </c>
      <c r="C1927" s="1" t="n">
        <v>45182</v>
      </c>
      <c r="D1927" t="inlineStr">
        <is>
          <t>JÄMTLANDS LÄN</t>
        </is>
      </c>
      <c r="E1927" t="inlineStr">
        <is>
          <t>BRÄCKE</t>
        </is>
      </c>
      <c r="F1927" t="inlineStr">
        <is>
          <t>SCA</t>
        </is>
      </c>
      <c r="G1927" t="n">
        <v>3.7</v>
      </c>
      <c r="H1927" t="n">
        <v>0</v>
      </c>
      <c r="I1927" t="n">
        <v>0</v>
      </c>
      <c r="J1927" t="n">
        <v>0</v>
      </c>
      <c r="K1927" t="n">
        <v>0</v>
      </c>
      <c r="L1927" t="n">
        <v>0</v>
      </c>
      <c r="M1927" t="n">
        <v>0</v>
      </c>
      <c r="N1927" t="n">
        <v>0</v>
      </c>
      <c r="O1927" t="n">
        <v>0</v>
      </c>
      <c r="P1927" t="n">
        <v>0</v>
      </c>
      <c r="Q1927" t="n">
        <v>0</v>
      </c>
      <c r="R1927" s="2" t="inlineStr"/>
    </row>
    <row r="1928" ht="15" customHeight="1">
      <c r="A1928" t="inlineStr">
        <is>
          <t>A 29822-2019</t>
        </is>
      </c>
      <c r="B1928" s="1" t="n">
        <v>43633</v>
      </c>
      <c r="C1928" s="1" t="n">
        <v>45182</v>
      </c>
      <c r="D1928" t="inlineStr">
        <is>
          <t>JÄMTLANDS LÄN</t>
        </is>
      </c>
      <c r="E1928" t="inlineStr">
        <is>
          <t>HÄRJEDALEN</t>
        </is>
      </c>
      <c r="G1928" t="n">
        <v>9.300000000000001</v>
      </c>
      <c r="H1928" t="n">
        <v>0</v>
      </c>
      <c r="I1928" t="n">
        <v>0</v>
      </c>
      <c r="J1928" t="n">
        <v>0</v>
      </c>
      <c r="K1928" t="n">
        <v>0</v>
      </c>
      <c r="L1928" t="n">
        <v>0</v>
      </c>
      <c r="M1928" t="n">
        <v>0</v>
      </c>
      <c r="N1928" t="n">
        <v>0</v>
      </c>
      <c r="O1928" t="n">
        <v>0</v>
      </c>
      <c r="P1928" t="n">
        <v>0</v>
      </c>
      <c r="Q1928" t="n">
        <v>0</v>
      </c>
      <c r="R1928" s="2" t="inlineStr"/>
    </row>
    <row r="1929" ht="15" customHeight="1">
      <c r="A1929" t="inlineStr">
        <is>
          <t>A 30030-2019</t>
        </is>
      </c>
      <c r="B1929" s="1" t="n">
        <v>43633</v>
      </c>
      <c r="C1929" s="1" t="n">
        <v>45182</v>
      </c>
      <c r="D1929" t="inlineStr">
        <is>
          <t>JÄMTLANDS LÄN</t>
        </is>
      </c>
      <c r="E1929" t="inlineStr">
        <is>
          <t>RAGUNDA</t>
        </is>
      </c>
      <c r="G1929" t="n">
        <v>10.6</v>
      </c>
      <c r="H1929" t="n">
        <v>0</v>
      </c>
      <c r="I1929" t="n">
        <v>0</v>
      </c>
      <c r="J1929" t="n">
        <v>0</v>
      </c>
      <c r="K1929" t="n">
        <v>0</v>
      </c>
      <c r="L1929" t="n">
        <v>0</v>
      </c>
      <c r="M1929" t="n">
        <v>0</v>
      </c>
      <c r="N1929" t="n">
        <v>0</v>
      </c>
      <c r="O1929" t="n">
        <v>0</v>
      </c>
      <c r="P1929" t="n">
        <v>0</v>
      </c>
      <c r="Q1929" t="n">
        <v>0</v>
      </c>
      <c r="R1929" s="2" t="inlineStr"/>
    </row>
    <row r="1930" ht="15" customHeight="1">
      <c r="A1930" t="inlineStr">
        <is>
          <t>A 30072-2019</t>
        </is>
      </c>
      <c r="B1930" s="1" t="n">
        <v>43633</v>
      </c>
      <c r="C1930" s="1" t="n">
        <v>45182</v>
      </c>
      <c r="D1930" t="inlineStr">
        <is>
          <t>JÄMTLANDS LÄN</t>
        </is>
      </c>
      <c r="E1930" t="inlineStr">
        <is>
          <t>BRÄCKE</t>
        </is>
      </c>
      <c r="F1930" t="inlineStr">
        <is>
          <t>Naturvårdsverket</t>
        </is>
      </c>
      <c r="G1930" t="n">
        <v>39</v>
      </c>
      <c r="H1930" t="n">
        <v>0</v>
      </c>
      <c r="I1930" t="n">
        <v>0</v>
      </c>
      <c r="J1930" t="n">
        <v>0</v>
      </c>
      <c r="K1930" t="n">
        <v>0</v>
      </c>
      <c r="L1930" t="n">
        <v>0</v>
      </c>
      <c r="M1930" t="n">
        <v>0</v>
      </c>
      <c r="N1930" t="n">
        <v>0</v>
      </c>
      <c r="O1930" t="n">
        <v>0</v>
      </c>
      <c r="P1930" t="n">
        <v>0</v>
      </c>
      <c r="Q1930" t="n">
        <v>0</v>
      </c>
      <c r="R1930" s="2" t="inlineStr"/>
    </row>
    <row r="1931" ht="15" customHeight="1">
      <c r="A1931" t="inlineStr">
        <is>
          <t>A 30378-2019</t>
        </is>
      </c>
      <c r="B1931" s="1" t="n">
        <v>43634</v>
      </c>
      <c r="C1931" s="1" t="n">
        <v>45182</v>
      </c>
      <c r="D1931" t="inlineStr">
        <is>
          <t>JÄMTLANDS LÄN</t>
        </is>
      </c>
      <c r="E1931" t="inlineStr">
        <is>
          <t>STRÖMSUND</t>
        </is>
      </c>
      <c r="F1931" t="inlineStr">
        <is>
          <t>SCA</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30138-2019</t>
        </is>
      </c>
      <c r="B1932" s="1" t="n">
        <v>43634</v>
      </c>
      <c r="C1932" s="1" t="n">
        <v>45182</v>
      </c>
      <c r="D1932" t="inlineStr">
        <is>
          <t>JÄMTLANDS LÄN</t>
        </is>
      </c>
      <c r="E1932" t="inlineStr">
        <is>
          <t>KROKOM</t>
        </is>
      </c>
      <c r="G1932" t="n">
        <v>9.800000000000001</v>
      </c>
      <c r="H1932" t="n">
        <v>0</v>
      </c>
      <c r="I1932" t="n">
        <v>0</v>
      </c>
      <c r="J1932" t="n">
        <v>0</v>
      </c>
      <c r="K1932" t="n">
        <v>0</v>
      </c>
      <c r="L1932" t="n">
        <v>0</v>
      </c>
      <c r="M1932" t="n">
        <v>0</v>
      </c>
      <c r="N1932" t="n">
        <v>0</v>
      </c>
      <c r="O1932" t="n">
        <v>0</v>
      </c>
      <c r="P1932" t="n">
        <v>0</v>
      </c>
      <c r="Q1932" t="n">
        <v>0</v>
      </c>
      <c r="R1932" s="2" t="inlineStr"/>
    </row>
    <row r="1933" ht="15" customHeight="1">
      <c r="A1933" t="inlineStr">
        <is>
          <t>A 30384-2019</t>
        </is>
      </c>
      <c r="B1933" s="1" t="n">
        <v>43634</v>
      </c>
      <c r="C1933" s="1" t="n">
        <v>45182</v>
      </c>
      <c r="D1933" t="inlineStr">
        <is>
          <t>JÄMTLANDS LÄN</t>
        </is>
      </c>
      <c r="E1933" t="inlineStr">
        <is>
          <t>ÅRE</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30139-2019</t>
        </is>
      </c>
      <c r="B1934" s="1" t="n">
        <v>43634</v>
      </c>
      <c r="C1934" s="1" t="n">
        <v>45182</v>
      </c>
      <c r="D1934" t="inlineStr">
        <is>
          <t>JÄMTLANDS LÄN</t>
        </is>
      </c>
      <c r="E1934" t="inlineStr">
        <is>
          <t>STRÖMSUND</t>
        </is>
      </c>
      <c r="F1934" t="inlineStr">
        <is>
          <t>Sveaskog</t>
        </is>
      </c>
      <c r="G1934" t="n">
        <v>3.9</v>
      </c>
      <c r="H1934" t="n">
        <v>0</v>
      </c>
      <c r="I1934" t="n">
        <v>0</v>
      </c>
      <c r="J1934" t="n">
        <v>0</v>
      </c>
      <c r="K1934" t="n">
        <v>0</v>
      </c>
      <c r="L1934" t="n">
        <v>0</v>
      </c>
      <c r="M1934" t="n">
        <v>0</v>
      </c>
      <c r="N1934" t="n">
        <v>0</v>
      </c>
      <c r="O1934" t="n">
        <v>0</v>
      </c>
      <c r="P1934" t="n">
        <v>0</v>
      </c>
      <c r="Q1934" t="n">
        <v>0</v>
      </c>
      <c r="R1934" s="2" t="inlineStr"/>
    </row>
    <row r="1935" ht="15" customHeight="1">
      <c r="A1935" t="inlineStr">
        <is>
          <t>A 30625-2019</t>
        </is>
      </c>
      <c r="B1935" s="1" t="n">
        <v>43635</v>
      </c>
      <c r="C1935" s="1" t="n">
        <v>45182</v>
      </c>
      <c r="D1935" t="inlineStr">
        <is>
          <t>JÄMTLANDS LÄN</t>
        </is>
      </c>
      <c r="E1935" t="inlineStr">
        <is>
          <t>BRÄCKE</t>
        </is>
      </c>
      <c r="F1935" t="inlineStr">
        <is>
          <t>SCA</t>
        </is>
      </c>
      <c r="G1935" t="n">
        <v>0.7</v>
      </c>
      <c r="H1935" t="n">
        <v>0</v>
      </c>
      <c r="I1935" t="n">
        <v>0</v>
      </c>
      <c r="J1935" t="n">
        <v>0</v>
      </c>
      <c r="K1935" t="n">
        <v>0</v>
      </c>
      <c r="L1935" t="n">
        <v>0</v>
      </c>
      <c r="M1935" t="n">
        <v>0</v>
      </c>
      <c r="N1935" t="n">
        <v>0</v>
      </c>
      <c r="O1935" t="n">
        <v>0</v>
      </c>
      <c r="P1935" t="n">
        <v>0</v>
      </c>
      <c r="Q1935" t="n">
        <v>0</v>
      </c>
      <c r="R1935" s="2" t="inlineStr"/>
    </row>
    <row r="1936" ht="15" customHeight="1">
      <c r="A1936" t="inlineStr">
        <is>
          <t>A 30627-2019</t>
        </is>
      </c>
      <c r="B1936" s="1" t="n">
        <v>43635</v>
      </c>
      <c r="C1936" s="1" t="n">
        <v>45182</v>
      </c>
      <c r="D1936" t="inlineStr">
        <is>
          <t>JÄMTLANDS LÄN</t>
        </is>
      </c>
      <c r="E1936" t="inlineStr">
        <is>
          <t>BRÄCKE</t>
        </is>
      </c>
      <c r="F1936" t="inlineStr">
        <is>
          <t>SCA</t>
        </is>
      </c>
      <c r="G1936" t="n">
        <v>2.3</v>
      </c>
      <c r="H1936" t="n">
        <v>0</v>
      </c>
      <c r="I1936" t="n">
        <v>0</v>
      </c>
      <c r="J1936" t="n">
        <v>0</v>
      </c>
      <c r="K1936" t="n">
        <v>0</v>
      </c>
      <c r="L1936" t="n">
        <v>0</v>
      </c>
      <c r="M1936" t="n">
        <v>0</v>
      </c>
      <c r="N1936" t="n">
        <v>0</v>
      </c>
      <c r="O1936" t="n">
        <v>0</v>
      </c>
      <c r="P1936" t="n">
        <v>0</v>
      </c>
      <c r="Q1936" t="n">
        <v>0</v>
      </c>
      <c r="R1936" s="2" t="inlineStr"/>
    </row>
    <row r="1937" ht="15" customHeight="1">
      <c r="A1937" t="inlineStr">
        <is>
          <t>A 31189-2019</t>
        </is>
      </c>
      <c r="B1937" s="1" t="n">
        <v>43635</v>
      </c>
      <c r="C1937" s="1" t="n">
        <v>45182</v>
      </c>
      <c r="D1937" t="inlineStr">
        <is>
          <t>JÄMTLANDS LÄN</t>
        </is>
      </c>
      <c r="E1937" t="inlineStr">
        <is>
          <t>ÖSTERSUND</t>
        </is>
      </c>
      <c r="G1937" t="n">
        <v>5.5</v>
      </c>
      <c r="H1937" t="n">
        <v>0</v>
      </c>
      <c r="I1937" t="n">
        <v>0</v>
      </c>
      <c r="J1937" t="n">
        <v>0</v>
      </c>
      <c r="K1937" t="n">
        <v>0</v>
      </c>
      <c r="L1937" t="n">
        <v>0</v>
      </c>
      <c r="M1937" t="n">
        <v>0</v>
      </c>
      <c r="N1937" t="n">
        <v>0</v>
      </c>
      <c r="O1937" t="n">
        <v>0</v>
      </c>
      <c r="P1937" t="n">
        <v>0</v>
      </c>
      <c r="Q1937" t="n">
        <v>0</v>
      </c>
      <c r="R1937" s="2" t="inlineStr"/>
    </row>
    <row r="1938" ht="15" customHeight="1">
      <c r="A1938" t="inlineStr">
        <is>
          <t>A 30758-2019</t>
        </is>
      </c>
      <c r="B1938" s="1" t="n">
        <v>43636</v>
      </c>
      <c r="C1938" s="1" t="n">
        <v>45182</v>
      </c>
      <c r="D1938" t="inlineStr">
        <is>
          <t>JÄMTLANDS LÄN</t>
        </is>
      </c>
      <c r="E1938" t="inlineStr">
        <is>
          <t>KROKOM</t>
        </is>
      </c>
      <c r="G1938" t="n">
        <v>6.4</v>
      </c>
      <c r="H1938" t="n">
        <v>0</v>
      </c>
      <c r="I1938" t="n">
        <v>0</v>
      </c>
      <c r="J1938" t="n">
        <v>0</v>
      </c>
      <c r="K1938" t="n">
        <v>0</v>
      </c>
      <c r="L1938" t="n">
        <v>0</v>
      </c>
      <c r="M1938" t="n">
        <v>0</v>
      </c>
      <c r="N1938" t="n">
        <v>0</v>
      </c>
      <c r="O1938" t="n">
        <v>0</v>
      </c>
      <c r="P1938" t="n">
        <v>0</v>
      </c>
      <c r="Q1938" t="n">
        <v>0</v>
      </c>
      <c r="R1938" s="2" t="inlineStr"/>
    </row>
    <row r="1939" ht="15" customHeight="1">
      <c r="A1939" t="inlineStr">
        <is>
          <t>A 30678-2019</t>
        </is>
      </c>
      <c r="B1939" s="1" t="n">
        <v>43636</v>
      </c>
      <c r="C1939" s="1" t="n">
        <v>45182</v>
      </c>
      <c r="D1939" t="inlineStr">
        <is>
          <t>JÄMTLANDS LÄN</t>
        </is>
      </c>
      <c r="E1939" t="inlineStr">
        <is>
          <t>BRÄCKE</t>
        </is>
      </c>
      <c r="G1939" t="n">
        <v>2</v>
      </c>
      <c r="H1939" t="n">
        <v>0</v>
      </c>
      <c r="I1939" t="n">
        <v>0</v>
      </c>
      <c r="J1939" t="n">
        <v>0</v>
      </c>
      <c r="K1939" t="n">
        <v>0</v>
      </c>
      <c r="L1939" t="n">
        <v>0</v>
      </c>
      <c r="M1939" t="n">
        <v>0</v>
      </c>
      <c r="N1939" t="n">
        <v>0</v>
      </c>
      <c r="O1939" t="n">
        <v>0</v>
      </c>
      <c r="P1939" t="n">
        <v>0</v>
      </c>
      <c r="Q1939" t="n">
        <v>0</v>
      </c>
      <c r="R1939" s="2" t="inlineStr"/>
    </row>
    <row r="1940" ht="15" customHeight="1">
      <c r="A1940" t="inlineStr">
        <is>
          <t>A 30915-2019</t>
        </is>
      </c>
      <c r="B1940" s="1" t="n">
        <v>43636</v>
      </c>
      <c r="C1940" s="1" t="n">
        <v>45182</v>
      </c>
      <c r="D1940" t="inlineStr">
        <is>
          <t>JÄMTLANDS LÄN</t>
        </is>
      </c>
      <c r="E1940" t="inlineStr">
        <is>
          <t>STRÖMSUND</t>
        </is>
      </c>
      <c r="F1940" t="inlineStr">
        <is>
          <t>SCA</t>
        </is>
      </c>
      <c r="G1940" t="n">
        <v>3.1</v>
      </c>
      <c r="H1940" t="n">
        <v>0</v>
      </c>
      <c r="I1940" t="n">
        <v>0</v>
      </c>
      <c r="J1940" t="n">
        <v>0</v>
      </c>
      <c r="K1940" t="n">
        <v>0</v>
      </c>
      <c r="L1940" t="n">
        <v>0</v>
      </c>
      <c r="M1940" t="n">
        <v>0</v>
      </c>
      <c r="N1940" t="n">
        <v>0</v>
      </c>
      <c r="O1940" t="n">
        <v>0</v>
      </c>
      <c r="P1940" t="n">
        <v>0</v>
      </c>
      <c r="Q1940" t="n">
        <v>0</v>
      </c>
      <c r="R1940" s="2" t="inlineStr"/>
    </row>
    <row r="1941" ht="15" customHeight="1">
      <c r="A1941" t="inlineStr">
        <is>
          <t>A 30946-2019</t>
        </is>
      </c>
      <c r="B1941" s="1" t="n">
        <v>43636</v>
      </c>
      <c r="C1941" s="1" t="n">
        <v>45182</v>
      </c>
      <c r="D1941" t="inlineStr">
        <is>
          <t>JÄMTLANDS LÄN</t>
        </is>
      </c>
      <c r="E1941" t="inlineStr">
        <is>
          <t>ÖSTERSUND</t>
        </is>
      </c>
      <c r="F1941" t="inlineStr">
        <is>
          <t>SCA</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30691-2019</t>
        </is>
      </c>
      <c r="B1942" s="1" t="n">
        <v>43636</v>
      </c>
      <c r="C1942" s="1" t="n">
        <v>45182</v>
      </c>
      <c r="D1942" t="inlineStr">
        <is>
          <t>JÄMTLANDS LÄN</t>
        </is>
      </c>
      <c r="E1942" t="inlineStr">
        <is>
          <t>KROKOM</t>
        </is>
      </c>
      <c r="G1942" t="n">
        <v>1.3</v>
      </c>
      <c r="H1942" t="n">
        <v>0</v>
      </c>
      <c r="I1942" t="n">
        <v>0</v>
      </c>
      <c r="J1942" t="n">
        <v>0</v>
      </c>
      <c r="K1942" t="n">
        <v>0</v>
      </c>
      <c r="L1942" t="n">
        <v>0</v>
      </c>
      <c r="M1942" t="n">
        <v>0</v>
      </c>
      <c r="N1942" t="n">
        <v>0</v>
      </c>
      <c r="O1942" t="n">
        <v>0</v>
      </c>
      <c r="P1942" t="n">
        <v>0</v>
      </c>
      <c r="Q1942" t="n">
        <v>0</v>
      </c>
      <c r="R1942" s="2" t="inlineStr"/>
    </row>
    <row r="1943" ht="15" customHeight="1">
      <c r="A1943" t="inlineStr">
        <is>
          <t>A 30935-2019</t>
        </is>
      </c>
      <c r="B1943" s="1" t="n">
        <v>43636</v>
      </c>
      <c r="C1943" s="1" t="n">
        <v>45182</v>
      </c>
      <c r="D1943" t="inlineStr">
        <is>
          <t>JÄMTLANDS LÄN</t>
        </is>
      </c>
      <c r="E1943" t="inlineStr">
        <is>
          <t>BRÄCKE</t>
        </is>
      </c>
      <c r="F1943" t="inlineStr">
        <is>
          <t>SCA</t>
        </is>
      </c>
      <c r="G1943" t="n">
        <v>4.8</v>
      </c>
      <c r="H1943" t="n">
        <v>0</v>
      </c>
      <c r="I1943" t="n">
        <v>0</v>
      </c>
      <c r="J1943" t="n">
        <v>0</v>
      </c>
      <c r="K1943" t="n">
        <v>0</v>
      </c>
      <c r="L1943" t="n">
        <v>0</v>
      </c>
      <c r="M1943" t="n">
        <v>0</v>
      </c>
      <c r="N1943" t="n">
        <v>0</v>
      </c>
      <c r="O1943" t="n">
        <v>0</v>
      </c>
      <c r="P1943" t="n">
        <v>0</v>
      </c>
      <c r="Q1943" t="n">
        <v>0</v>
      </c>
      <c r="R1943" s="2" t="inlineStr"/>
    </row>
    <row r="1944" ht="15" customHeight="1">
      <c r="A1944" t="inlineStr">
        <is>
          <t>A 31032-2019</t>
        </is>
      </c>
      <c r="B1944" s="1" t="n">
        <v>43640</v>
      </c>
      <c r="C1944" s="1" t="n">
        <v>45182</v>
      </c>
      <c r="D1944" t="inlineStr">
        <is>
          <t>JÄMTLANDS LÄN</t>
        </is>
      </c>
      <c r="E1944" t="inlineStr">
        <is>
          <t>KROKOM</t>
        </is>
      </c>
      <c r="F1944" t="inlineStr">
        <is>
          <t>Övriga Aktiebolag</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31238-2019</t>
        </is>
      </c>
      <c r="B1945" s="1" t="n">
        <v>43640</v>
      </c>
      <c r="C1945" s="1" t="n">
        <v>45182</v>
      </c>
      <c r="D1945" t="inlineStr">
        <is>
          <t>JÄMTLANDS LÄN</t>
        </is>
      </c>
      <c r="E1945" t="inlineStr">
        <is>
          <t>BERG</t>
        </is>
      </c>
      <c r="F1945" t="inlineStr">
        <is>
          <t>Sveaskog</t>
        </is>
      </c>
      <c r="G1945" t="n">
        <v>9.6</v>
      </c>
      <c r="H1945" t="n">
        <v>0</v>
      </c>
      <c r="I1945" t="n">
        <v>0</v>
      </c>
      <c r="J1945" t="n">
        <v>0</v>
      </c>
      <c r="K1945" t="n">
        <v>0</v>
      </c>
      <c r="L1945" t="n">
        <v>0</v>
      </c>
      <c r="M1945" t="n">
        <v>0</v>
      </c>
      <c r="N1945" t="n">
        <v>0</v>
      </c>
      <c r="O1945" t="n">
        <v>0</v>
      </c>
      <c r="P1945" t="n">
        <v>0</v>
      </c>
      <c r="Q1945" t="n">
        <v>0</v>
      </c>
      <c r="R1945" s="2" t="inlineStr"/>
    </row>
    <row r="1946" ht="15" customHeight="1">
      <c r="A1946" t="inlineStr">
        <is>
          <t>A 31299-2019</t>
        </is>
      </c>
      <c r="B1946" s="1" t="n">
        <v>43640</v>
      </c>
      <c r="C1946" s="1" t="n">
        <v>45182</v>
      </c>
      <c r="D1946" t="inlineStr">
        <is>
          <t>JÄMTLANDS LÄN</t>
        </is>
      </c>
      <c r="E1946" t="inlineStr">
        <is>
          <t>RAGUNDA</t>
        </is>
      </c>
      <c r="F1946" t="inlineStr">
        <is>
          <t>SCA</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31071-2019</t>
        </is>
      </c>
      <c r="B1947" s="1" t="n">
        <v>43640</v>
      </c>
      <c r="C1947" s="1" t="n">
        <v>45182</v>
      </c>
      <c r="D1947" t="inlineStr">
        <is>
          <t>JÄMTLANDS LÄN</t>
        </is>
      </c>
      <c r="E1947" t="inlineStr">
        <is>
          <t>KROKOM</t>
        </is>
      </c>
      <c r="F1947" t="inlineStr">
        <is>
          <t>Övriga Aktiebolag</t>
        </is>
      </c>
      <c r="G1947" t="n">
        <v>2.1</v>
      </c>
      <c r="H1947" t="n">
        <v>0</v>
      </c>
      <c r="I1947" t="n">
        <v>0</v>
      </c>
      <c r="J1947" t="n">
        <v>0</v>
      </c>
      <c r="K1947" t="n">
        <v>0</v>
      </c>
      <c r="L1947" t="n">
        <v>0</v>
      </c>
      <c r="M1947" t="n">
        <v>0</v>
      </c>
      <c r="N1947" t="n">
        <v>0</v>
      </c>
      <c r="O1947" t="n">
        <v>0</v>
      </c>
      <c r="P1947" t="n">
        <v>0</v>
      </c>
      <c r="Q1947" t="n">
        <v>0</v>
      </c>
      <c r="R1947" s="2" t="inlineStr"/>
    </row>
    <row r="1948" ht="15" customHeight="1">
      <c r="A1948" t="inlineStr">
        <is>
          <t>A 31621-2019</t>
        </is>
      </c>
      <c r="B1948" s="1" t="n">
        <v>43640</v>
      </c>
      <c r="C1948" s="1" t="n">
        <v>45182</v>
      </c>
      <c r="D1948" t="inlineStr">
        <is>
          <t>JÄMTLANDS LÄN</t>
        </is>
      </c>
      <c r="E1948" t="inlineStr">
        <is>
          <t>ÖSTERSUND</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31206-2019</t>
        </is>
      </c>
      <c r="B1949" s="1" t="n">
        <v>43640</v>
      </c>
      <c r="C1949" s="1" t="n">
        <v>45182</v>
      </c>
      <c r="D1949" t="inlineStr">
        <is>
          <t>JÄMTLANDS LÄN</t>
        </is>
      </c>
      <c r="E1949" t="inlineStr">
        <is>
          <t>BERG</t>
        </is>
      </c>
      <c r="F1949" t="inlineStr">
        <is>
          <t>Sveaskog</t>
        </is>
      </c>
      <c r="G1949" t="n">
        <v>10.1</v>
      </c>
      <c r="H1949" t="n">
        <v>0</v>
      </c>
      <c r="I1949" t="n">
        <v>0</v>
      </c>
      <c r="J1949" t="n">
        <v>0</v>
      </c>
      <c r="K1949" t="n">
        <v>0</v>
      </c>
      <c r="L1949" t="n">
        <v>0</v>
      </c>
      <c r="M1949" t="n">
        <v>0</v>
      </c>
      <c r="N1949" t="n">
        <v>0</v>
      </c>
      <c r="O1949" t="n">
        <v>0</v>
      </c>
      <c r="P1949" t="n">
        <v>0</v>
      </c>
      <c r="Q1949" t="n">
        <v>0</v>
      </c>
      <c r="R1949" s="2" t="inlineStr"/>
    </row>
    <row r="1950" ht="15" customHeight="1">
      <c r="A1950" t="inlineStr">
        <is>
          <t>A 31291-2019</t>
        </is>
      </c>
      <c r="B1950" s="1" t="n">
        <v>43640</v>
      </c>
      <c r="C1950" s="1" t="n">
        <v>45182</v>
      </c>
      <c r="D1950" t="inlineStr">
        <is>
          <t>JÄMTLANDS LÄN</t>
        </is>
      </c>
      <c r="E1950" t="inlineStr">
        <is>
          <t>BRÄCKE</t>
        </is>
      </c>
      <c r="F1950" t="inlineStr">
        <is>
          <t>SCA</t>
        </is>
      </c>
      <c r="G1950" t="n">
        <v>18.7</v>
      </c>
      <c r="H1950" t="n">
        <v>0</v>
      </c>
      <c r="I1950" t="n">
        <v>0</v>
      </c>
      <c r="J1950" t="n">
        <v>0</v>
      </c>
      <c r="K1950" t="n">
        <v>0</v>
      </c>
      <c r="L1950" t="n">
        <v>0</v>
      </c>
      <c r="M1950" t="n">
        <v>0</v>
      </c>
      <c r="N1950" t="n">
        <v>0</v>
      </c>
      <c r="O1950" t="n">
        <v>0</v>
      </c>
      <c r="P1950" t="n">
        <v>0</v>
      </c>
      <c r="Q1950" t="n">
        <v>0</v>
      </c>
      <c r="R1950" s="2" t="inlineStr"/>
    </row>
    <row r="1951" ht="15" customHeight="1">
      <c r="A1951" t="inlineStr">
        <is>
          <t>A 31070-2019</t>
        </is>
      </c>
      <c r="B1951" s="1" t="n">
        <v>43640</v>
      </c>
      <c r="C1951" s="1" t="n">
        <v>45182</v>
      </c>
      <c r="D1951" t="inlineStr">
        <is>
          <t>JÄMTLANDS LÄN</t>
        </is>
      </c>
      <c r="E1951" t="inlineStr">
        <is>
          <t>KROKOM</t>
        </is>
      </c>
      <c r="G1951" t="n">
        <v>5.1</v>
      </c>
      <c r="H1951" t="n">
        <v>0</v>
      </c>
      <c r="I1951" t="n">
        <v>0</v>
      </c>
      <c r="J1951" t="n">
        <v>0</v>
      </c>
      <c r="K1951" t="n">
        <v>0</v>
      </c>
      <c r="L1951" t="n">
        <v>0</v>
      </c>
      <c r="M1951" t="n">
        <v>0</v>
      </c>
      <c r="N1951" t="n">
        <v>0</v>
      </c>
      <c r="O1951" t="n">
        <v>0</v>
      </c>
      <c r="P1951" t="n">
        <v>0</v>
      </c>
      <c r="Q1951" t="n">
        <v>0</v>
      </c>
      <c r="R1951" s="2" t="inlineStr"/>
    </row>
    <row r="1952" ht="15" customHeight="1">
      <c r="A1952" t="inlineStr">
        <is>
          <t>A 31292-2019</t>
        </is>
      </c>
      <c r="B1952" s="1" t="n">
        <v>43640</v>
      </c>
      <c r="C1952" s="1" t="n">
        <v>45182</v>
      </c>
      <c r="D1952" t="inlineStr">
        <is>
          <t>JÄMTLANDS LÄN</t>
        </is>
      </c>
      <c r="E1952" t="inlineStr">
        <is>
          <t>BRÄCKE</t>
        </is>
      </c>
      <c r="F1952" t="inlineStr">
        <is>
          <t>SCA</t>
        </is>
      </c>
      <c r="G1952" t="n">
        <v>3.3</v>
      </c>
      <c r="H1952" t="n">
        <v>0</v>
      </c>
      <c r="I1952" t="n">
        <v>0</v>
      </c>
      <c r="J1952" t="n">
        <v>0</v>
      </c>
      <c r="K1952" t="n">
        <v>0</v>
      </c>
      <c r="L1952" t="n">
        <v>0</v>
      </c>
      <c r="M1952" t="n">
        <v>0</v>
      </c>
      <c r="N1952" t="n">
        <v>0</v>
      </c>
      <c r="O1952" t="n">
        <v>0</v>
      </c>
      <c r="P1952" t="n">
        <v>0</v>
      </c>
      <c r="Q1952" t="n">
        <v>0</v>
      </c>
      <c r="R1952" s="2" t="inlineStr"/>
    </row>
    <row r="1953" ht="15" customHeight="1">
      <c r="A1953" t="inlineStr">
        <is>
          <t>A 31617-2019</t>
        </is>
      </c>
      <c r="B1953" s="1" t="n">
        <v>43640</v>
      </c>
      <c r="C1953" s="1" t="n">
        <v>45182</v>
      </c>
      <c r="D1953" t="inlineStr">
        <is>
          <t>JÄMTLANDS LÄN</t>
        </is>
      </c>
      <c r="E1953" t="inlineStr">
        <is>
          <t>ÖSTERSUND</t>
        </is>
      </c>
      <c r="G1953" t="n">
        <v>0.4</v>
      </c>
      <c r="H1953" t="n">
        <v>0</v>
      </c>
      <c r="I1953" t="n">
        <v>0</v>
      </c>
      <c r="J1953" t="n">
        <v>0</v>
      </c>
      <c r="K1953" t="n">
        <v>0</v>
      </c>
      <c r="L1953" t="n">
        <v>0</v>
      </c>
      <c r="M1953" t="n">
        <v>0</v>
      </c>
      <c r="N1953" t="n">
        <v>0</v>
      </c>
      <c r="O1953" t="n">
        <v>0</v>
      </c>
      <c r="P1953" t="n">
        <v>0</v>
      </c>
      <c r="Q1953" t="n">
        <v>0</v>
      </c>
      <c r="R1953" s="2" t="inlineStr"/>
    </row>
    <row r="1954" ht="15" customHeight="1">
      <c r="A1954" t="inlineStr">
        <is>
          <t>A 31563-2019</t>
        </is>
      </c>
      <c r="B1954" s="1" t="n">
        <v>43641</v>
      </c>
      <c r="C1954" s="1" t="n">
        <v>45182</v>
      </c>
      <c r="D1954" t="inlineStr">
        <is>
          <t>JÄMTLANDS LÄN</t>
        </is>
      </c>
      <c r="E1954" t="inlineStr">
        <is>
          <t>RAGUNDA</t>
        </is>
      </c>
      <c r="F1954" t="inlineStr">
        <is>
          <t>SCA</t>
        </is>
      </c>
      <c r="G1954" t="n">
        <v>4.8</v>
      </c>
      <c r="H1954" t="n">
        <v>0</v>
      </c>
      <c r="I1954" t="n">
        <v>0</v>
      </c>
      <c r="J1954" t="n">
        <v>0</v>
      </c>
      <c r="K1954" t="n">
        <v>0</v>
      </c>
      <c r="L1954" t="n">
        <v>0</v>
      </c>
      <c r="M1954" t="n">
        <v>0</v>
      </c>
      <c r="N1954" t="n">
        <v>0</v>
      </c>
      <c r="O1954" t="n">
        <v>0</v>
      </c>
      <c r="P1954" t="n">
        <v>0</v>
      </c>
      <c r="Q1954" t="n">
        <v>0</v>
      </c>
      <c r="R1954" s="2" t="inlineStr"/>
    </row>
    <row r="1955" ht="15" customHeight="1">
      <c r="A1955" t="inlineStr">
        <is>
          <t>A 31575-2019</t>
        </is>
      </c>
      <c r="B1955" s="1" t="n">
        <v>43641</v>
      </c>
      <c r="C1955" s="1" t="n">
        <v>45182</v>
      </c>
      <c r="D1955" t="inlineStr">
        <is>
          <t>JÄMTLANDS LÄN</t>
        </is>
      </c>
      <c r="E1955" t="inlineStr">
        <is>
          <t>KROKOM</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31562-2019</t>
        </is>
      </c>
      <c r="B1956" s="1" t="n">
        <v>43641</v>
      </c>
      <c r="C1956" s="1" t="n">
        <v>45182</v>
      </c>
      <c r="D1956" t="inlineStr">
        <is>
          <t>JÄMTLANDS LÄN</t>
        </is>
      </c>
      <c r="E1956" t="inlineStr">
        <is>
          <t>RAGUNDA</t>
        </is>
      </c>
      <c r="F1956" t="inlineStr">
        <is>
          <t>SCA</t>
        </is>
      </c>
      <c r="G1956" t="n">
        <v>10.1</v>
      </c>
      <c r="H1956" t="n">
        <v>0</v>
      </c>
      <c r="I1956" t="n">
        <v>0</v>
      </c>
      <c r="J1956" t="n">
        <v>0</v>
      </c>
      <c r="K1956" t="n">
        <v>0</v>
      </c>
      <c r="L1956" t="n">
        <v>0</v>
      </c>
      <c r="M1956" t="n">
        <v>0</v>
      </c>
      <c r="N1956" t="n">
        <v>0</v>
      </c>
      <c r="O1956" t="n">
        <v>0</v>
      </c>
      <c r="P1956" t="n">
        <v>0</v>
      </c>
      <c r="Q1956" t="n">
        <v>0</v>
      </c>
      <c r="R1956" s="2" t="inlineStr"/>
    </row>
    <row r="1957" ht="15" customHeight="1">
      <c r="A1957" t="inlineStr">
        <is>
          <t>A 31574-2019</t>
        </is>
      </c>
      <c r="B1957" s="1" t="n">
        <v>43641</v>
      </c>
      <c r="C1957" s="1" t="n">
        <v>45182</v>
      </c>
      <c r="D1957" t="inlineStr">
        <is>
          <t>JÄMTLANDS LÄN</t>
        </is>
      </c>
      <c r="E1957" t="inlineStr">
        <is>
          <t>KROKOM</t>
        </is>
      </c>
      <c r="G1957" t="n">
        <v>5.7</v>
      </c>
      <c r="H1957" t="n">
        <v>0</v>
      </c>
      <c r="I1957" t="n">
        <v>0</v>
      </c>
      <c r="J1957" t="n">
        <v>0</v>
      </c>
      <c r="K1957" t="n">
        <v>0</v>
      </c>
      <c r="L1957" t="n">
        <v>0</v>
      </c>
      <c r="M1957" t="n">
        <v>0</v>
      </c>
      <c r="N1957" t="n">
        <v>0</v>
      </c>
      <c r="O1957" t="n">
        <v>0</v>
      </c>
      <c r="P1957" t="n">
        <v>0</v>
      </c>
      <c r="Q1957" t="n">
        <v>0</v>
      </c>
      <c r="R1957" s="2" t="inlineStr"/>
    </row>
    <row r="1958" ht="15" customHeight="1">
      <c r="A1958" t="inlineStr">
        <is>
          <t>A 31568-2019</t>
        </is>
      </c>
      <c r="B1958" s="1" t="n">
        <v>43641</v>
      </c>
      <c r="C1958" s="1" t="n">
        <v>45182</v>
      </c>
      <c r="D1958" t="inlineStr">
        <is>
          <t>JÄMTLANDS LÄN</t>
        </is>
      </c>
      <c r="E1958" t="inlineStr">
        <is>
          <t>BERG</t>
        </is>
      </c>
      <c r="F1958" t="inlineStr">
        <is>
          <t>SCA</t>
        </is>
      </c>
      <c r="G1958" t="n">
        <v>16.4</v>
      </c>
      <c r="H1958" t="n">
        <v>0</v>
      </c>
      <c r="I1958" t="n">
        <v>0</v>
      </c>
      <c r="J1958" t="n">
        <v>0</v>
      </c>
      <c r="K1958" t="n">
        <v>0</v>
      </c>
      <c r="L1958" t="n">
        <v>0</v>
      </c>
      <c r="M1958" t="n">
        <v>0</v>
      </c>
      <c r="N1958" t="n">
        <v>0</v>
      </c>
      <c r="O1958" t="n">
        <v>0</v>
      </c>
      <c r="P1958" t="n">
        <v>0</v>
      </c>
      <c r="Q1958" t="n">
        <v>0</v>
      </c>
      <c r="R1958" s="2" t="inlineStr"/>
    </row>
    <row r="1959" ht="15" customHeight="1">
      <c r="A1959" t="inlineStr">
        <is>
          <t>A 32053-2019</t>
        </is>
      </c>
      <c r="B1959" s="1" t="n">
        <v>43642</v>
      </c>
      <c r="C1959" s="1" t="n">
        <v>45182</v>
      </c>
      <c r="D1959" t="inlineStr">
        <is>
          <t>JÄMTLANDS LÄN</t>
        </is>
      </c>
      <c r="E1959" t="inlineStr">
        <is>
          <t>KROKOM</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31911-2019</t>
        </is>
      </c>
      <c r="B1960" s="1" t="n">
        <v>43642</v>
      </c>
      <c r="C1960" s="1" t="n">
        <v>45182</v>
      </c>
      <c r="D1960" t="inlineStr">
        <is>
          <t>JÄMTLANDS LÄN</t>
        </is>
      </c>
      <c r="E1960" t="inlineStr">
        <is>
          <t>KROKOM</t>
        </is>
      </c>
      <c r="G1960" t="n">
        <v>1.4</v>
      </c>
      <c r="H1960" t="n">
        <v>0</v>
      </c>
      <c r="I1960" t="n">
        <v>0</v>
      </c>
      <c r="J1960" t="n">
        <v>0</v>
      </c>
      <c r="K1960" t="n">
        <v>0</v>
      </c>
      <c r="L1960" t="n">
        <v>0</v>
      </c>
      <c r="M1960" t="n">
        <v>0</v>
      </c>
      <c r="N1960" t="n">
        <v>0</v>
      </c>
      <c r="O1960" t="n">
        <v>0</v>
      </c>
      <c r="P1960" t="n">
        <v>0</v>
      </c>
      <c r="Q1960" t="n">
        <v>0</v>
      </c>
      <c r="R1960" s="2" t="inlineStr"/>
    </row>
    <row r="1961" ht="15" customHeight="1">
      <c r="A1961" t="inlineStr">
        <is>
          <t>A 32123-2019</t>
        </is>
      </c>
      <c r="B1961" s="1" t="n">
        <v>43643</v>
      </c>
      <c r="C1961" s="1" t="n">
        <v>45182</v>
      </c>
      <c r="D1961" t="inlineStr">
        <is>
          <t>JÄMTLANDS LÄN</t>
        </is>
      </c>
      <c r="E1961" t="inlineStr">
        <is>
          <t>BERG</t>
        </is>
      </c>
      <c r="F1961" t="inlineStr">
        <is>
          <t>Sveaskog</t>
        </is>
      </c>
      <c r="G1961" t="n">
        <v>3.7</v>
      </c>
      <c r="H1961" t="n">
        <v>0</v>
      </c>
      <c r="I1961" t="n">
        <v>0</v>
      </c>
      <c r="J1961" t="n">
        <v>0</v>
      </c>
      <c r="K1961" t="n">
        <v>0</v>
      </c>
      <c r="L1961" t="n">
        <v>0</v>
      </c>
      <c r="M1961" t="n">
        <v>0</v>
      </c>
      <c r="N1961" t="n">
        <v>0</v>
      </c>
      <c r="O1961" t="n">
        <v>0</v>
      </c>
      <c r="P1961" t="n">
        <v>0</v>
      </c>
      <c r="Q1961" t="n">
        <v>0</v>
      </c>
      <c r="R1961" s="2" t="inlineStr"/>
    </row>
    <row r="1962" ht="15" customHeight="1">
      <c r="A1962" t="inlineStr">
        <is>
          <t>A 32211-2019</t>
        </is>
      </c>
      <c r="B1962" s="1" t="n">
        <v>43643</v>
      </c>
      <c r="C1962" s="1" t="n">
        <v>45182</v>
      </c>
      <c r="D1962" t="inlineStr">
        <is>
          <t>JÄMTLANDS LÄN</t>
        </is>
      </c>
      <c r="E1962" t="inlineStr">
        <is>
          <t>RAGUNDA</t>
        </is>
      </c>
      <c r="F1962" t="inlineStr">
        <is>
          <t>SCA</t>
        </is>
      </c>
      <c r="G1962" t="n">
        <v>1</v>
      </c>
      <c r="H1962" t="n">
        <v>0</v>
      </c>
      <c r="I1962" t="n">
        <v>0</v>
      </c>
      <c r="J1962" t="n">
        <v>0</v>
      </c>
      <c r="K1962" t="n">
        <v>0</v>
      </c>
      <c r="L1962" t="n">
        <v>0</v>
      </c>
      <c r="M1962" t="n">
        <v>0</v>
      </c>
      <c r="N1962" t="n">
        <v>0</v>
      </c>
      <c r="O1962" t="n">
        <v>0</v>
      </c>
      <c r="P1962" t="n">
        <v>0</v>
      </c>
      <c r="Q1962" t="n">
        <v>0</v>
      </c>
      <c r="R1962" s="2" t="inlineStr"/>
    </row>
    <row r="1963" ht="15" customHeight="1">
      <c r="A1963" t="inlineStr">
        <is>
          <t>A 32156-2019</t>
        </is>
      </c>
      <c r="B1963" s="1" t="n">
        <v>43643</v>
      </c>
      <c r="C1963" s="1" t="n">
        <v>45182</v>
      </c>
      <c r="D1963" t="inlineStr">
        <is>
          <t>JÄMTLANDS LÄN</t>
        </is>
      </c>
      <c r="E1963" t="inlineStr">
        <is>
          <t>BERG</t>
        </is>
      </c>
      <c r="F1963" t="inlineStr">
        <is>
          <t>Sveaskog</t>
        </is>
      </c>
      <c r="G1963" t="n">
        <v>5.7</v>
      </c>
      <c r="H1963" t="n">
        <v>0</v>
      </c>
      <c r="I1963" t="n">
        <v>0</v>
      </c>
      <c r="J1963" t="n">
        <v>0</v>
      </c>
      <c r="K1963" t="n">
        <v>0</v>
      </c>
      <c r="L1963" t="n">
        <v>0</v>
      </c>
      <c r="M1963" t="n">
        <v>0</v>
      </c>
      <c r="N1963" t="n">
        <v>0</v>
      </c>
      <c r="O1963" t="n">
        <v>0</v>
      </c>
      <c r="P1963" t="n">
        <v>0</v>
      </c>
      <c r="Q1963" t="n">
        <v>0</v>
      </c>
      <c r="R1963" s="2" t="inlineStr"/>
    </row>
    <row r="1964" ht="15" customHeight="1">
      <c r="A1964" t="inlineStr">
        <is>
          <t>A 32121-2019</t>
        </is>
      </c>
      <c r="B1964" s="1" t="n">
        <v>43643</v>
      </c>
      <c r="C1964" s="1" t="n">
        <v>45182</v>
      </c>
      <c r="D1964" t="inlineStr">
        <is>
          <t>JÄMTLANDS LÄN</t>
        </is>
      </c>
      <c r="E1964" t="inlineStr">
        <is>
          <t>BERG</t>
        </is>
      </c>
      <c r="F1964" t="inlineStr">
        <is>
          <t>Sveaskog</t>
        </is>
      </c>
      <c r="G1964" t="n">
        <v>5.2</v>
      </c>
      <c r="H1964" t="n">
        <v>0</v>
      </c>
      <c r="I1964" t="n">
        <v>0</v>
      </c>
      <c r="J1964" t="n">
        <v>0</v>
      </c>
      <c r="K1964" t="n">
        <v>0</v>
      </c>
      <c r="L1964" t="n">
        <v>0</v>
      </c>
      <c r="M1964" t="n">
        <v>0</v>
      </c>
      <c r="N1964" t="n">
        <v>0</v>
      </c>
      <c r="O1964" t="n">
        <v>0</v>
      </c>
      <c r="P1964" t="n">
        <v>0</v>
      </c>
      <c r="Q1964" t="n">
        <v>0</v>
      </c>
      <c r="R1964" s="2" t="inlineStr"/>
    </row>
    <row r="1965" ht="15" customHeight="1">
      <c r="A1965" t="inlineStr">
        <is>
          <t>A 32482-2019</t>
        </is>
      </c>
      <c r="B1965" s="1" t="n">
        <v>43644</v>
      </c>
      <c r="C1965" s="1" t="n">
        <v>45182</v>
      </c>
      <c r="D1965" t="inlineStr">
        <is>
          <t>JÄMTLANDS LÄN</t>
        </is>
      </c>
      <c r="E1965" t="inlineStr">
        <is>
          <t>STRÖMSUND</t>
        </is>
      </c>
      <c r="F1965" t="inlineStr">
        <is>
          <t>SCA</t>
        </is>
      </c>
      <c r="G1965" t="n">
        <v>8.4</v>
      </c>
      <c r="H1965" t="n">
        <v>0</v>
      </c>
      <c r="I1965" t="n">
        <v>0</v>
      </c>
      <c r="J1965" t="n">
        <v>0</v>
      </c>
      <c r="K1965" t="n">
        <v>0</v>
      </c>
      <c r="L1965" t="n">
        <v>0</v>
      </c>
      <c r="M1965" t="n">
        <v>0</v>
      </c>
      <c r="N1965" t="n">
        <v>0</v>
      </c>
      <c r="O1965" t="n">
        <v>0</v>
      </c>
      <c r="P1965" t="n">
        <v>0</v>
      </c>
      <c r="Q1965" t="n">
        <v>0</v>
      </c>
      <c r="R1965" s="2" t="inlineStr"/>
    </row>
    <row r="1966" ht="15" customHeight="1">
      <c r="A1966" t="inlineStr">
        <is>
          <t>A 34618-2019</t>
        </is>
      </c>
      <c r="B1966" s="1" t="n">
        <v>43647</v>
      </c>
      <c r="C1966" s="1" t="n">
        <v>45182</v>
      </c>
      <c r="D1966" t="inlineStr">
        <is>
          <t>JÄMTLANDS LÄN</t>
        </is>
      </c>
      <c r="E1966" t="inlineStr">
        <is>
          <t>HÄRJEDALEN</t>
        </is>
      </c>
      <c r="F1966" t="inlineStr">
        <is>
          <t>SCA</t>
        </is>
      </c>
      <c r="G1966" t="n">
        <v>2.4</v>
      </c>
      <c r="H1966" t="n">
        <v>0</v>
      </c>
      <c r="I1966" t="n">
        <v>0</v>
      </c>
      <c r="J1966" t="n">
        <v>0</v>
      </c>
      <c r="K1966" t="n">
        <v>0</v>
      </c>
      <c r="L1966" t="n">
        <v>0</v>
      </c>
      <c r="M1966" t="n">
        <v>0</v>
      </c>
      <c r="N1966" t="n">
        <v>0</v>
      </c>
      <c r="O1966" t="n">
        <v>0</v>
      </c>
      <c r="P1966" t="n">
        <v>0</v>
      </c>
      <c r="Q1966" t="n">
        <v>0</v>
      </c>
      <c r="R1966" s="2" t="inlineStr"/>
    </row>
    <row r="1967" ht="15" customHeight="1">
      <c r="A1967" t="inlineStr">
        <is>
          <t>A 32572-2019</t>
        </is>
      </c>
      <c r="B1967" s="1" t="n">
        <v>43647</v>
      </c>
      <c r="C1967" s="1" t="n">
        <v>45182</v>
      </c>
      <c r="D1967" t="inlineStr">
        <is>
          <t>JÄMTLANDS LÄN</t>
        </is>
      </c>
      <c r="E1967" t="inlineStr">
        <is>
          <t>BRÄCKE</t>
        </is>
      </c>
      <c r="F1967" t="inlineStr">
        <is>
          <t>Övriga Aktiebolag</t>
        </is>
      </c>
      <c r="G1967" t="n">
        <v>6.8</v>
      </c>
      <c r="H1967" t="n">
        <v>0</v>
      </c>
      <c r="I1967" t="n">
        <v>0</v>
      </c>
      <c r="J1967" t="n">
        <v>0</v>
      </c>
      <c r="K1967" t="n">
        <v>0</v>
      </c>
      <c r="L1967" t="n">
        <v>0</v>
      </c>
      <c r="M1967" t="n">
        <v>0</v>
      </c>
      <c r="N1967" t="n">
        <v>0</v>
      </c>
      <c r="O1967" t="n">
        <v>0</v>
      </c>
      <c r="P1967" t="n">
        <v>0</v>
      </c>
      <c r="Q1967" t="n">
        <v>0</v>
      </c>
      <c r="R1967" s="2" t="inlineStr"/>
    </row>
    <row r="1968" ht="15" customHeight="1">
      <c r="A1968" t="inlineStr">
        <is>
          <t>A 32739-2019</t>
        </is>
      </c>
      <c r="B1968" s="1" t="n">
        <v>43647</v>
      </c>
      <c r="C1968" s="1" t="n">
        <v>45182</v>
      </c>
      <c r="D1968" t="inlineStr">
        <is>
          <t>JÄMTLANDS LÄN</t>
        </is>
      </c>
      <c r="E1968" t="inlineStr">
        <is>
          <t>STRÖMSUND</t>
        </is>
      </c>
      <c r="F1968" t="inlineStr">
        <is>
          <t>SCA</t>
        </is>
      </c>
      <c r="G1968" t="n">
        <v>174.6</v>
      </c>
      <c r="H1968" t="n">
        <v>0</v>
      </c>
      <c r="I1968" t="n">
        <v>0</v>
      </c>
      <c r="J1968" t="n">
        <v>0</v>
      </c>
      <c r="K1968" t="n">
        <v>0</v>
      </c>
      <c r="L1968" t="n">
        <v>0</v>
      </c>
      <c r="M1968" t="n">
        <v>0</v>
      </c>
      <c r="N1968" t="n">
        <v>0</v>
      </c>
      <c r="O1968" t="n">
        <v>0</v>
      </c>
      <c r="P1968" t="n">
        <v>0</v>
      </c>
      <c r="Q1968" t="n">
        <v>0</v>
      </c>
      <c r="R1968" s="2" t="inlineStr"/>
    </row>
    <row r="1969" ht="15" customHeight="1">
      <c r="A1969" t="inlineStr">
        <is>
          <t>A 32748-2019</t>
        </is>
      </c>
      <c r="B1969" s="1" t="n">
        <v>43647</v>
      </c>
      <c r="C1969" s="1" t="n">
        <v>45182</v>
      </c>
      <c r="D1969" t="inlineStr">
        <is>
          <t>JÄMTLANDS LÄN</t>
        </is>
      </c>
      <c r="E1969" t="inlineStr">
        <is>
          <t>STRÖMSUND</t>
        </is>
      </c>
      <c r="F1969" t="inlineStr">
        <is>
          <t>SCA</t>
        </is>
      </c>
      <c r="G1969" t="n">
        <v>5.5</v>
      </c>
      <c r="H1969" t="n">
        <v>0</v>
      </c>
      <c r="I1969" t="n">
        <v>0</v>
      </c>
      <c r="J1969" t="n">
        <v>0</v>
      </c>
      <c r="K1969" t="n">
        <v>0</v>
      </c>
      <c r="L1969" t="n">
        <v>0</v>
      </c>
      <c r="M1969" t="n">
        <v>0</v>
      </c>
      <c r="N1969" t="n">
        <v>0</v>
      </c>
      <c r="O1969" t="n">
        <v>0</v>
      </c>
      <c r="P1969" t="n">
        <v>0</v>
      </c>
      <c r="Q1969" t="n">
        <v>0</v>
      </c>
      <c r="R1969" s="2" t="inlineStr"/>
    </row>
    <row r="1970" ht="15" customHeight="1">
      <c r="A1970" t="inlineStr">
        <is>
          <t>A 32878-2019</t>
        </is>
      </c>
      <c r="B1970" s="1" t="n">
        <v>43648</v>
      </c>
      <c r="C1970" s="1" t="n">
        <v>45182</v>
      </c>
      <c r="D1970" t="inlineStr">
        <is>
          <t>JÄMTLANDS LÄN</t>
        </is>
      </c>
      <c r="E1970" t="inlineStr">
        <is>
          <t>HÄRJEDALEN</t>
        </is>
      </c>
      <c r="F1970" t="inlineStr">
        <is>
          <t>Övriga Aktiebolag</t>
        </is>
      </c>
      <c r="G1970" t="n">
        <v>91.8</v>
      </c>
      <c r="H1970" t="n">
        <v>0</v>
      </c>
      <c r="I1970" t="n">
        <v>0</v>
      </c>
      <c r="J1970" t="n">
        <v>0</v>
      </c>
      <c r="K1970" t="n">
        <v>0</v>
      </c>
      <c r="L1970" t="n">
        <v>0</v>
      </c>
      <c r="M1970" t="n">
        <v>0</v>
      </c>
      <c r="N1970" t="n">
        <v>0</v>
      </c>
      <c r="O1970" t="n">
        <v>0</v>
      </c>
      <c r="P1970" t="n">
        <v>0</v>
      </c>
      <c r="Q1970" t="n">
        <v>0</v>
      </c>
      <c r="R1970" s="2" t="inlineStr"/>
    </row>
    <row r="1971" ht="15" customHeight="1">
      <c r="A1971" t="inlineStr">
        <is>
          <t>A 32973-2019</t>
        </is>
      </c>
      <c r="B1971" s="1" t="n">
        <v>43648</v>
      </c>
      <c r="C1971" s="1" t="n">
        <v>45182</v>
      </c>
      <c r="D1971" t="inlineStr">
        <is>
          <t>JÄMTLANDS LÄN</t>
        </is>
      </c>
      <c r="E1971" t="inlineStr">
        <is>
          <t>STRÖMSUND</t>
        </is>
      </c>
      <c r="G1971" t="n">
        <v>3.5</v>
      </c>
      <c r="H1971" t="n">
        <v>0</v>
      </c>
      <c r="I1971" t="n">
        <v>0</v>
      </c>
      <c r="J1971" t="n">
        <v>0</v>
      </c>
      <c r="K1971" t="n">
        <v>0</v>
      </c>
      <c r="L1971" t="n">
        <v>0</v>
      </c>
      <c r="M1971" t="n">
        <v>0</v>
      </c>
      <c r="N1971" t="n">
        <v>0</v>
      </c>
      <c r="O1971" t="n">
        <v>0</v>
      </c>
      <c r="P1971" t="n">
        <v>0</v>
      </c>
      <c r="Q1971" t="n">
        <v>0</v>
      </c>
      <c r="R1971" s="2" t="inlineStr"/>
    </row>
    <row r="1972" ht="15" customHeight="1">
      <c r="A1972" t="inlineStr">
        <is>
          <t>A 32975-2019</t>
        </is>
      </c>
      <c r="B1972" s="1" t="n">
        <v>43648</v>
      </c>
      <c r="C1972" s="1" t="n">
        <v>45182</v>
      </c>
      <c r="D1972" t="inlineStr">
        <is>
          <t>JÄMTLANDS LÄN</t>
        </is>
      </c>
      <c r="E1972" t="inlineStr">
        <is>
          <t>STRÖMSUND</t>
        </is>
      </c>
      <c r="G1972" t="n">
        <v>2.3</v>
      </c>
      <c r="H1972" t="n">
        <v>0</v>
      </c>
      <c r="I1972" t="n">
        <v>0</v>
      </c>
      <c r="J1972" t="n">
        <v>0</v>
      </c>
      <c r="K1972" t="n">
        <v>0</v>
      </c>
      <c r="L1972" t="n">
        <v>0</v>
      </c>
      <c r="M1972" t="n">
        <v>0</v>
      </c>
      <c r="N1972" t="n">
        <v>0</v>
      </c>
      <c r="O1972" t="n">
        <v>0</v>
      </c>
      <c r="P1972" t="n">
        <v>0</v>
      </c>
      <c r="Q1972" t="n">
        <v>0</v>
      </c>
      <c r="R1972" s="2" t="inlineStr"/>
    </row>
    <row r="1973" ht="15" customHeight="1">
      <c r="A1973" t="inlineStr">
        <is>
          <t>A 32971-2019</t>
        </is>
      </c>
      <c r="B1973" s="1" t="n">
        <v>43648</v>
      </c>
      <c r="C1973" s="1" t="n">
        <v>45182</v>
      </c>
      <c r="D1973" t="inlineStr">
        <is>
          <t>JÄMTLANDS LÄN</t>
        </is>
      </c>
      <c r="E1973" t="inlineStr">
        <is>
          <t>STRÖMSUND</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34658-2019</t>
        </is>
      </c>
      <c r="B1974" s="1" t="n">
        <v>43648</v>
      </c>
      <c r="C1974" s="1" t="n">
        <v>45182</v>
      </c>
      <c r="D1974" t="inlineStr">
        <is>
          <t>JÄMTLANDS LÄN</t>
        </is>
      </c>
      <c r="E1974" t="inlineStr">
        <is>
          <t>BRÄCKE</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32974-2019</t>
        </is>
      </c>
      <c r="B1975" s="1" t="n">
        <v>43648</v>
      </c>
      <c r="C1975" s="1" t="n">
        <v>45182</v>
      </c>
      <c r="D1975" t="inlineStr">
        <is>
          <t>JÄMTLANDS LÄN</t>
        </is>
      </c>
      <c r="E1975" t="inlineStr">
        <is>
          <t>STRÖMSUND</t>
        </is>
      </c>
      <c r="G1975" t="n">
        <v>2.8</v>
      </c>
      <c r="H1975" t="n">
        <v>0</v>
      </c>
      <c r="I1975" t="n">
        <v>0</v>
      </c>
      <c r="J1975" t="n">
        <v>0</v>
      </c>
      <c r="K1975" t="n">
        <v>0</v>
      </c>
      <c r="L1975" t="n">
        <v>0</v>
      </c>
      <c r="M1975" t="n">
        <v>0</v>
      </c>
      <c r="N1975" t="n">
        <v>0</v>
      </c>
      <c r="O1975" t="n">
        <v>0</v>
      </c>
      <c r="P1975" t="n">
        <v>0</v>
      </c>
      <c r="Q1975" t="n">
        <v>0</v>
      </c>
      <c r="R1975" s="2" t="inlineStr"/>
    </row>
    <row r="1976" ht="15" customHeight="1">
      <c r="A1976" t="inlineStr">
        <is>
          <t>A 33015-2019</t>
        </is>
      </c>
      <c r="B1976" s="1" t="n">
        <v>43649</v>
      </c>
      <c r="C1976" s="1" t="n">
        <v>45182</v>
      </c>
      <c r="D1976" t="inlineStr">
        <is>
          <t>JÄMTLANDS LÄN</t>
        </is>
      </c>
      <c r="E1976" t="inlineStr">
        <is>
          <t>KROKOM</t>
        </is>
      </c>
      <c r="F1976" t="inlineStr">
        <is>
          <t>Övriga Aktiebolag</t>
        </is>
      </c>
      <c r="G1976" t="n">
        <v>12.7</v>
      </c>
      <c r="H1976" t="n">
        <v>0</v>
      </c>
      <c r="I1976" t="n">
        <v>0</v>
      </c>
      <c r="J1976" t="n">
        <v>0</v>
      </c>
      <c r="K1976" t="n">
        <v>0</v>
      </c>
      <c r="L1976" t="n">
        <v>0</v>
      </c>
      <c r="M1976" t="n">
        <v>0</v>
      </c>
      <c r="N1976" t="n">
        <v>0</v>
      </c>
      <c r="O1976" t="n">
        <v>0</v>
      </c>
      <c r="P1976" t="n">
        <v>0</v>
      </c>
      <c r="Q1976" t="n">
        <v>0</v>
      </c>
      <c r="R1976" s="2" t="inlineStr"/>
    </row>
    <row r="1977" ht="15" customHeight="1">
      <c r="A1977" t="inlineStr">
        <is>
          <t>A 33222-2019</t>
        </is>
      </c>
      <c r="B1977" s="1" t="n">
        <v>43649</v>
      </c>
      <c r="C1977" s="1" t="n">
        <v>45182</v>
      </c>
      <c r="D1977" t="inlineStr">
        <is>
          <t>JÄMTLANDS LÄN</t>
        </is>
      </c>
      <c r="E1977" t="inlineStr">
        <is>
          <t>BRÄCKE</t>
        </is>
      </c>
      <c r="F1977" t="inlineStr">
        <is>
          <t>SCA</t>
        </is>
      </c>
      <c r="G1977" t="n">
        <v>7.2</v>
      </c>
      <c r="H1977" t="n">
        <v>0</v>
      </c>
      <c r="I1977" t="n">
        <v>0</v>
      </c>
      <c r="J1977" t="n">
        <v>0</v>
      </c>
      <c r="K1977" t="n">
        <v>0</v>
      </c>
      <c r="L1977" t="n">
        <v>0</v>
      </c>
      <c r="M1977" t="n">
        <v>0</v>
      </c>
      <c r="N1977" t="n">
        <v>0</v>
      </c>
      <c r="O1977" t="n">
        <v>0</v>
      </c>
      <c r="P1977" t="n">
        <v>0</v>
      </c>
      <c r="Q1977" t="n">
        <v>0</v>
      </c>
      <c r="R1977" s="2" t="inlineStr"/>
    </row>
    <row r="1978" ht="15" customHeight="1">
      <c r="A1978" t="inlineStr">
        <is>
          <t>A 33001-2019</t>
        </is>
      </c>
      <c r="B1978" s="1" t="n">
        <v>43649</v>
      </c>
      <c r="C1978" s="1" t="n">
        <v>45182</v>
      </c>
      <c r="D1978" t="inlineStr">
        <is>
          <t>JÄMTLANDS LÄN</t>
        </is>
      </c>
      <c r="E1978" t="inlineStr">
        <is>
          <t>KROKOM</t>
        </is>
      </c>
      <c r="F1978" t="inlineStr">
        <is>
          <t>Övriga Aktiebolag</t>
        </is>
      </c>
      <c r="G1978" t="n">
        <v>7.8</v>
      </c>
      <c r="H1978" t="n">
        <v>0</v>
      </c>
      <c r="I1978" t="n">
        <v>0</v>
      </c>
      <c r="J1978" t="n">
        <v>0</v>
      </c>
      <c r="K1978" t="n">
        <v>0</v>
      </c>
      <c r="L1978" t="n">
        <v>0</v>
      </c>
      <c r="M1978" t="n">
        <v>0</v>
      </c>
      <c r="N1978" t="n">
        <v>0</v>
      </c>
      <c r="O1978" t="n">
        <v>0</v>
      </c>
      <c r="P1978" t="n">
        <v>0</v>
      </c>
      <c r="Q1978" t="n">
        <v>0</v>
      </c>
      <c r="R1978" s="2" t="inlineStr"/>
    </row>
    <row r="1979" ht="15" customHeight="1">
      <c r="A1979" t="inlineStr">
        <is>
          <t>A 34758-2019</t>
        </is>
      </c>
      <c r="B1979" s="1" t="n">
        <v>43649</v>
      </c>
      <c r="C1979" s="1" t="n">
        <v>45182</v>
      </c>
      <c r="D1979" t="inlineStr">
        <is>
          <t>JÄMTLANDS LÄN</t>
        </is>
      </c>
      <c r="E1979" t="inlineStr">
        <is>
          <t>STRÖMSUND</t>
        </is>
      </c>
      <c r="G1979" t="n">
        <v>2.2</v>
      </c>
      <c r="H1979" t="n">
        <v>0</v>
      </c>
      <c r="I1979" t="n">
        <v>0</v>
      </c>
      <c r="J1979" t="n">
        <v>0</v>
      </c>
      <c r="K1979" t="n">
        <v>0</v>
      </c>
      <c r="L1979" t="n">
        <v>0</v>
      </c>
      <c r="M1979" t="n">
        <v>0</v>
      </c>
      <c r="N1979" t="n">
        <v>0</v>
      </c>
      <c r="O1979" t="n">
        <v>0</v>
      </c>
      <c r="P1979" t="n">
        <v>0</v>
      </c>
      <c r="Q1979" t="n">
        <v>0</v>
      </c>
      <c r="R1979" s="2" t="inlineStr"/>
    </row>
    <row r="1980" ht="15" customHeight="1">
      <c r="A1980" t="inlineStr">
        <is>
          <t>A 33341-2019</t>
        </is>
      </c>
      <c r="B1980" s="1" t="n">
        <v>43650</v>
      </c>
      <c r="C1980" s="1" t="n">
        <v>45182</v>
      </c>
      <c r="D1980" t="inlineStr">
        <is>
          <t>JÄMTLANDS LÄN</t>
        </is>
      </c>
      <c r="E1980" t="inlineStr">
        <is>
          <t>RAGUNDA</t>
        </is>
      </c>
      <c r="F1980" t="inlineStr">
        <is>
          <t>Kommuner</t>
        </is>
      </c>
      <c r="G1980" t="n">
        <v>1.3</v>
      </c>
      <c r="H1980" t="n">
        <v>0</v>
      </c>
      <c r="I1980" t="n">
        <v>0</v>
      </c>
      <c r="J1980" t="n">
        <v>0</v>
      </c>
      <c r="K1980" t="n">
        <v>0</v>
      </c>
      <c r="L1980" t="n">
        <v>0</v>
      </c>
      <c r="M1980" t="n">
        <v>0</v>
      </c>
      <c r="N1980" t="n">
        <v>0</v>
      </c>
      <c r="O1980" t="n">
        <v>0</v>
      </c>
      <c r="P1980" t="n">
        <v>0</v>
      </c>
      <c r="Q1980" t="n">
        <v>0</v>
      </c>
      <c r="R1980" s="2" t="inlineStr"/>
    </row>
    <row r="1981" ht="15" customHeight="1">
      <c r="A1981" t="inlineStr">
        <is>
          <t>A 33360-2019</t>
        </is>
      </c>
      <c r="B1981" s="1" t="n">
        <v>43650</v>
      </c>
      <c r="C1981" s="1" t="n">
        <v>45182</v>
      </c>
      <c r="D1981" t="inlineStr">
        <is>
          <t>JÄMTLANDS LÄN</t>
        </is>
      </c>
      <c r="E1981" t="inlineStr">
        <is>
          <t>KROKOM</t>
        </is>
      </c>
      <c r="G1981" t="n">
        <v>15.8</v>
      </c>
      <c r="H1981" t="n">
        <v>0</v>
      </c>
      <c r="I1981" t="n">
        <v>0</v>
      </c>
      <c r="J1981" t="n">
        <v>0</v>
      </c>
      <c r="K1981" t="n">
        <v>0</v>
      </c>
      <c r="L1981" t="n">
        <v>0</v>
      </c>
      <c r="M1981" t="n">
        <v>0</v>
      </c>
      <c r="N1981" t="n">
        <v>0</v>
      </c>
      <c r="O1981" t="n">
        <v>0</v>
      </c>
      <c r="P1981" t="n">
        <v>0</v>
      </c>
      <c r="Q1981" t="n">
        <v>0</v>
      </c>
      <c r="R1981" s="2" t="inlineStr"/>
    </row>
    <row r="1982" ht="15" customHeight="1">
      <c r="A1982" t="inlineStr">
        <is>
          <t>A 34903-2019</t>
        </is>
      </c>
      <c r="B1982" s="1" t="n">
        <v>43650</v>
      </c>
      <c r="C1982" s="1" t="n">
        <v>45182</v>
      </c>
      <c r="D1982" t="inlineStr">
        <is>
          <t>JÄMTLANDS LÄN</t>
        </is>
      </c>
      <c r="E1982" t="inlineStr">
        <is>
          <t>ÖSTERSUND</t>
        </is>
      </c>
      <c r="G1982" t="n">
        <v>1</v>
      </c>
      <c r="H1982" t="n">
        <v>0</v>
      </c>
      <c r="I1982" t="n">
        <v>0</v>
      </c>
      <c r="J1982" t="n">
        <v>0</v>
      </c>
      <c r="K1982" t="n">
        <v>0</v>
      </c>
      <c r="L1982" t="n">
        <v>0</v>
      </c>
      <c r="M1982" t="n">
        <v>0</v>
      </c>
      <c r="N1982" t="n">
        <v>0</v>
      </c>
      <c r="O1982" t="n">
        <v>0</v>
      </c>
      <c r="P1982" t="n">
        <v>0</v>
      </c>
      <c r="Q1982" t="n">
        <v>0</v>
      </c>
      <c r="R1982" s="2" t="inlineStr"/>
    </row>
    <row r="1983" ht="15" customHeight="1">
      <c r="A1983" t="inlineStr">
        <is>
          <t>A 33379-2019</t>
        </is>
      </c>
      <c r="B1983" s="1" t="n">
        <v>43650</v>
      </c>
      <c r="C1983" s="1" t="n">
        <v>45182</v>
      </c>
      <c r="D1983" t="inlineStr">
        <is>
          <t>JÄMTLANDS LÄN</t>
        </is>
      </c>
      <c r="E1983" t="inlineStr">
        <is>
          <t>BRÄCKE</t>
        </is>
      </c>
      <c r="F1983" t="inlineStr">
        <is>
          <t>Övriga Aktiebolag</t>
        </is>
      </c>
      <c r="G1983" t="n">
        <v>32.7</v>
      </c>
      <c r="H1983" t="n">
        <v>0</v>
      </c>
      <c r="I1983" t="n">
        <v>0</v>
      </c>
      <c r="J1983" t="n">
        <v>0</v>
      </c>
      <c r="K1983" t="n">
        <v>0</v>
      </c>
      <c r="L1983" t="n">
        <v>0</v>
      </c>
      <c r="M1983" t="n">
        <v>0</v>
      </c>
      <c r="N1983" t="n">
        <v>0</v>
      </c>
      <c r="O1983" t="n">
        <v>0</v>
      </c>
      <c r="P1983" t="n">
        <v>0</v>
      </c>
      <c r="Q1983" t="n">
        <v>0</v>
      </c>
      <c r="R1983" s="2" t="inlineStr"/>
    </row>
    <row r="1984" ht="15" customHeight="1">
      <c r="A1984" t="inlineStr">
        <is>
          <t>A 35264-2019</t>
        </is>
      </c>
      <c r="B1984" s="1" t="n">
        <v>43651</v>
      </c>
      <c r="C1984" s="1" t="n">
        <v>45182</v>
      </c>
      <c r="D1984" t="inlineStr">
        <is>
          <t>JÄMTLANDS LÄN</t>
        </is>
      </c>
      <c r="E1984" t="inlineStr">
        <is>
          <t>KROKOM</t>
        </is>
      </c>
      <c r="G1984" t="n">
        <v>10</v>
      </c>
      <c r="H1984" t="n">
        <v>0</v>
      </c>
      <c r="I1984" t="n">
        <v>0</v>
      </c>
      <c r="J1984" t="n">
        <v>0</v>
      </c>
      <c r="K1984" t="n">
        <v>0</v>
      </c>
      <c r="L1984" t="n">
        <v>0</v>
      </c>
      <c r="M1984" t="n">
        <v>0</v>
      </c>
      <c r="N1984" t="n">
        <v>0</v>
      </c>
      <c r="O1984" t="n">
        <v>0</v>
      </c>
      <c r="P1984" t="n">
        <v>0</v>
      </c>
      <c r="Q1984" t="n">
        <v>0</v>
      </c>
      <c r="R1984" s="2" t="inlineStr"/>
    </row>
    <row r="1985" ht="15" customHeight="1">
      <c r="A1985" t="inlineStr">
        <is>
          <t>A 35337-2019</t>
        </is>
      </c>
      <c r="B1985" s="1" t="n">
        <v>43651</v>
      </c>
      <c r="C1985" s="1" t="n">
        <v>45182</v>
      </c>
      <c r="D1985" t="inlineStr">
        <is>
          <t>JÄMTLANDS LÄN</t>
        </is>
      </c>
      <c r="E1985" t="inlineStr">
        <is>
          <t>KROKOM</t>
        </is>
      </c>
      <c r="G1985" t="n">
        <v>3.7</v>
      </c>
      <c r="H1985" t="n">
        <v>0</v>
      </c>
      <c r="I1985" t="n">
        <v>0</v>
      </c>
      <c r="J1985" t="n">
        <v>0</v>
      </c>
      <c r="K1985" t="n">
        <v>0</v>
      </c>
      <c r="L1985" t="n">
        <v>0</v>
      </c>
      <c r="M1985" t="n">
        <v>0</v>
      </c>
      <c r="N1985" t="n">
        <v>0</v>
      </c>
      <c r="O1985" t="n">
        <v>0</v>
      </c>
      <c r="P1985" t="n">
        <v>0</v>
      </c>
      <c r="Q1985" t="n">
        <v>0</v>
      </c>
      <c r="R1985" s="2" t="inlineStr"/>
    </row>
    <row r="1986" ht="15" customHeight="1">
      <c r="A1986" t="inlineStr">
        <is>
          <t>A 33552-2019</t>
        </is>
      </c>
      <c r="B1986" s="1" t="n">
        <v>43651</v>
      </c>
      <c r="C1986" s="1" t="n">
        <v>45182</v>
      </c>
      <c r="D1986" t="inlineStr">
        <is>
          <t>JÄMTLANDS LÄN</t>
        </is>
      </c>
      <c r="E1986" t="inlineStr">
        <is>
          <t>STRÖMSUND</t>
        </is>
      </c>
      <c r="F1986" t="inlineStr">
        <is>
          <t>Holmen skog AB</t>
        </is>
      </c>
      <c r="G1986" t="n">
        <v>15.9</v>
      </c>
      <c r="H1986" t="n">
        <v>0</v>
      </c>
      <c r="I1986" t="n">
        <v>0</v>
      </c>
      <c r="J1986" t="n">
        <v>0</v>
      </c>
      <c r="K1986" t="n">
        <v>0</v>
      </c>
      <c r="L1986" t="n">
        <v>0</v>
      </c>
      <c r="M1986" t="n">
        <v>0</v>
      </c>
      <c r="N1986" t="n">
        <v>0</v>
      </c>
      <c r="O1986" t="n">
        <v>0</v>
      </c>
      <c r="P1986" t="n">
        <v>0</v>
      </c>
      <c r="Q1986" t="n">
        <v>0</v>
      </c>
      <c r="R1986" s="2" t="inlineStr"/>
    </row>
    <row r="1987" ht="15" customHeight="1">
      <c r="A1987" t="inlineStr">
        <is>
          <t>A 33701-2019</t>
        </is>
      </c>
      <c r="B1987" s="1" t="n">
        <v>43651</v>
      </c>
      <c r="C1987" s="1" t="n">
        <v>45182</v>
      </c>
      <c r="D1987" t="inlineStr">
        <is>
          <t>JÄMTLANDS LÄN</t>
        </is>
      </c>
      <c r="E1987" t="inlineStr">
        <is>
          <t>STRÖMSUND</t>
        </is>
      </c>
      <c r="F1987" t="inlineStr">
        <is>
          <t>Holmen skog AB</t>
        </is>
      </c>
      <c r="G1987" t="n">
        <v>21.7</v>
      </c>
      <c r="H1987" t="n">
        <v>0</v>
      </c>
      <c r="I1987" t="n">
        <v>0</v>
      </c>
      <c r="J1987" t="n">
        <v>0</v>
      </c>
      <c r="K1987" t="n">
        <v>0</v>
      </c>
      <c r="L1987" t="n">
        <v>0</v>
      </c>
      <c r="M1987" t="n">
        <v>0</v>
      </c>
      <c r="N1987" t="n">
        <v>0</v>
      </c>
      <c r="O1987" t="n">
        <v>0</v>
      </c>
      <c r="P1987" t="n">
        <v>0</v>
      </c>
      <c r="Q1987" t="n">
        <v>0</v>
      </c>
      <c r="R1987" s="2" t="inlineStr"/>
    </row>
    <row r="1988" ht="15" customHeight="1">
      <c r="A1988" t="inlineStr">
        <is>
          <t>A 33830-2019</t>
        </is>
      </c>
      <c r="B1988" s="1" t="n">
        <v>43651</v>
      </c>
      <c r="C1988" s="1" t="n">
        <v>45182</v>
      </c>
      <c r="D1988" t="inlineStr">
        <is>
          <t>JÄMTLANDS LÄN</t>
        </is>
      </c>
      <c r="E1988" t="inlineStr">
        <is>
          <t>BRÄCKE</t>
        </is>
      </c>
      <c r="F1988" t="inlineStr">
        <is>
          <t>SCA</t>
        </is>
      </c>
      <c r="G1988" t="n">
        <v>6.7</v>
      </c>
      <c r="H1988" t="n">
        <v>0</v>
      </c>
      <c r="I1988" t="n">
        <v>0</v>
      </c>
      <c r="J1988" t="n">
        <v>0</v>
      </c>
      <c r="K1988" t="n">
        <v>0</v>
      </c>
      <c r="L1988" t="n">
        <v>0</v>
      </c>
      <c r="M1988" t="n">
        <v>0</v>
      </c>
      <c r="N1988" t="n">
        <v>0</v>
      </c>
      <c r="O1988" t="n">
        <v>0</v>
      </c>
      <c r="P1988" t="n">
        <v>0</v>
      </c>
      <c r="Q1988" t="n">
        <v>0</v>
      </c>
      <c r="R1988" s="2" t="inlineStr"/>
    </row>
    <row r="1989" ht="15" customHeight="1">
      <c r="A1989" t="inlineStr">
        <is>
          <t>A 35266-2019</t>
        </is>
      </c>
      <c r="B1989" s="1" t="n">
        <v>43651</v>
      </c>
      <c r="C1989" s="1" t="n">
        <v>45182</v>
      </c>
      <c r="D1989" t="inlineStr">
        <is>
          <t>JÄMTLANDS LÄN</t>
        </is>
      </c>
      <c r="E1989" t="inlineStr">
        <is>
          <t>KROKOM</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35339-2019</t>
        </is>
      </c>
      <c r="B1990" s="1" t="n">
        <v>43651</v>
      </c>
      <c r="C1990" s="1" t="n">
        <v>45182</v>
      </c>
      <c r="D1990" t="inlineStr">
        <is>
          <t>JÄMTLANDS LÄN</t>
        </is>
      </c>
      <c r="E1990" t="inlineStr">
        <is>
          <t>KROKOM</t>
        </is>
      </c>
      <c r="G1990" t="n">
        <v>3.1</v>
      </c>
      <c r="H1990" t="n">
        <v>0</v>
      </c>
      <c r="I1990" t="n">
        <v>0</v>
      </c>
      <c r="J1990" t="n">
        <v>0</v>
      </c>
      <c r="K1990" t="n">
        <v>0</v>
      </c>
      <c r="L1990" t="n">
        <v>0</v>
      </c>
      <c r="M1990" t="n">
        <v>0</v>
      </c>
      <c r="N1990" t="n">
        <v>0</v>
      </c>
      <c r="O1990" t="n">
        <v>0</v>
      </c>
      <c r="P1990" t="n">
        <v>0</v>
      </c>
      <c r="Q1990" t="n">
        <v>0</v>
      </c>
      <c r="R1990" s="2" t="inlineStr"/>
    </row>
    <row r="1991" ht="15" customHeight="1">
      <c r="A1991" t="inlineStr">
        <is>
          <t>A 33496-2019</t>
        </is>
      </c>
      <c r="B1991" s="1" t="n">
        <v>43651</v>
      </c>
      <c r="C1991" s="1" t="n">
        <v>45182</v>
      </c>
      <c r="D1991" t="inlineStr">
        <is>
          <t>JÄMTLANDS LÄN</t>
        </is>
      </c>
      <c r="E1991" t="inlineStr">
        <is>
          <t>HÄRJEDALEN</t>
        </is>
      </c>
      <c r="G1991" t="n">
        <v>3.6</v>
      </c>
      <c r="H1991" t="n">
        <v>0</v>
      </c>
      <c r="I1991" t="n">
        <v>0</v>
      </c>
      <c r="J1991" t="n">
        <v>0</v>
      </c>
      <c r="K1991" t="n">
        <v>0</v>
      </c>
      <c r="L1991" t="n">
        <v>0</v>
      </c>
      <c r="M1991" t="n">
        <v>0</v>
      </c>
      <c r="N1991" t="n">
        <v>0</v>
      </c>
      <c r="O1991" t="n">
        <v>0</v>
      </c>
      <c r="P1991" t="n">
        <v>0</v>
      </c>
      <c r="Q1991" t="n">
        <v>0</v>
      </c>
      <c r="R1991" s="2" t="inlineStr"/>
    </row>
    <row r="1992" ht="15" customHeight="1">
      <c r="A1992" t="inlineStr">
        <is>
          <t>A 35466-2019</t>
        </is>
      </c>
      <c r="B1992" s="1" t="n">
        <v>43651</v>
      </c>
      <c r="C1992" s="1" t="n">
        <v>45182</v>
      </c>
      <c r="D1992" t="inlineStr">
        <is>
          <t>JÄMTLANDS LÄN</t>
        </is>
      </c>
      <c r="E1992" t="inlineStr">
        <is>
          <t>RAGUNDA</t>
        </is>
      </c>
      <c r="G1992" t="n">
        <v>1.7</v>
      </c>
      <c r="H1992" t="n">
        <v>0</v>
      </c>
      <c r="I1992" t="n">
        <v>0</v>
      </c>
      <c r="J1992" t="n">
        <v>0</v>
      </c>
      <c r="K1992" t="n">
        <v>0</v>
      </c>
      <c r="L1992" t="n">
        <v>0</v>
      </c>
      <c r="M1992" t="n">
        <v>0</v>
      </c>
      <c r="N1992" t="n">
        <v>0</v>
      </c>
      <c r="O1992" t="n">
        <v>0</v>
      </c>
      <c r="P1992" t="n">
        <v>0</v>
      </c>
      <c r="Q1992" t="n">
        <v>0</v>
      </c>
      <c r="R1992" s="2" t="inlineStr"/>
    </row>
    <row r="1993" ht="15" customHeight="1">
      <c r="A1993" t="inlineStr">
        <is>
          <t>A 33538-2019</t>
        </is>
      </c>
      <c r="B1993" s="1" t="n">
        <v>43651</v>
      </c>
      <c r="C1993" s="1" t="n">
        <v>45182</v>
      </c>
      <c r="D1993" t="inlineStr">
        <is>
          <t>JÄMTLANDS LÄN</t>
        </is>
      </c>
      <c r="E1993" t="inlineStr">
        <is>
          <t>STRÖMSUND</t>
        </is>
      </c>
      <c r="F1993" t="inlineStr">
        <is>
          <t>Holmen skog AB</t>
        </is>
      </c>
      <c r="G1993" t="n">
        <v>15.6</v>
      </c>
      <c r="H1993" t="n">
        <v>0</v>
      </c>
      <c r="I1993" t="n">
        <v>0</v>
      </c>
      <c r="J1993" t="n">
        <v>0</v>
      </c>
      <c r="K1993" t="n">
        <v>0</v>
      </c>
      <c r="L1993" t="n">
        <v>0</v>
      </c>
      <c r="M1993" t="n">
        <v>0</v>
      </c>
      <c r="N1993" t="n">
        <v>0</v>
      </c>
      <c r="O1993" t="n">
        <v>0</v>
      </c>
      <c r="P1993" t="n">
        <v>0</v>
      </c>
      <c r="Q1993" t="n">
        <v>0</v>
      </c>
      <c r="R1993" s="2" t="inlineStr"/>
    </row>
    <row r="1994" ht="15" customHeight="1">
      <c r="A1994" t="inlineStr">
        <is>
          <t>A 33825-2019</t>
        </is>
      </c>
      <c r="B1994" s="1" t="n">
        <v>43651</v>
      </c>
      <c r="C1994" s="1" t="n">
        <v>45182</v>
      </c>
      <c r="D1994" t="inlineStr">
        <is>
          <t>JÄMTLANDS LÄN</t>
        </is>
      </c>
      <c r="E1994" t="inlineStr">
        <is>
          <t>STRÖMSUND</t>
        </is>
      </c>
      <c r="F1994" t="inlineStr">
        <is>
          <t>SCA</t>
        </is>
      </c>
      <c r="G1994" t="n">
        <v>15.6</v>
      </c>
      <c r="H1994" t="n">
        <v>0</v>
      </c>
      <c r="I1994" t="n">
        <v>0</v>
      </c>
      <c r="J1994" t="n">
        <v>0</v>
      </c>
      <c r="K1994" t="n">
        <v>0</v>
      </c>
      <c r="L1994" t="n">
        <v>0</v>
      </c>
      <c r="M1994" t="n">
        <v>0</v>
      </c>
      <c r="N1994" t="n">
        <v>0</v>
      </c>
      <c r="O1994" t="n">
        <v>0</v>
      </c>
      <c r="P1994" t="n">
        <v>0</v>
      </c>
      <c r="Q1994" t="n">
        <v>0</v>
      </c>
      <c r="R1994" s="2" t="inlineStr"/>
    </row>
    <row r="1995" ht="15" customHeight="1">
      <c r="A1995" t="inlineStr">
        <is>
          <t>A 35288-2019</t>
        </is>
      </c>
      <c r="B1995" s="1" t="n">
        <v>43651</v>
      </c>
      <c r="C1995" s="1" t="n">
        <v>45182</v>
      </c>
      <c r="D1995" t="inlineStr">
        <is>
          <t>JÄMTLANDS LÄN</t>
        </is>
      </c>
      <c r="E1995" t="inlineStr">
        <is>
          <t>KROKOM</t>
        </is>
      </c>
      <c r="G1995" t="n">
        <v>6.9</v>
      </c>
      <c r="H1995" t="n">
        <v>0</v>
      </c>
      <c r="I1995" t="n">
        <v>0</v>
      </c>
      <c r="J1995" t="n">
        <v>0</v>
      </c>
      <c r="K1995" t="n">
        <v>0</v>
      </c>
      <c r="L1995" t="n">
        <v>0</v>
      </c>
      <c r="M1995" t="n">
        <v>0</v>
      </c>
      <c r="N1995" t="n">
        <v>0</v>
      </c>
      <c r="O1995" t="n">
        <v>0</v>
      </c>
      <c r="P1995" t="n">
        <v>0</v>
      </c>
      <c r="Q1995" t="n">
        <v>0</v>
      </c>
      <c r="R1995" s="2" t="inlineStr"/>
    </row>
    <row r="1996" ht="15" customHeight="1">
      <c r="A1996" t="inlineStr">
        <is>
          <t>A 35500-2019</t>
        </is>
      </c>
      <c r="B1996" s="1" t="n">
        <v>43651</v>
      </c>
      <c r="C1996" s="1" t="n">
        <v>45182</v>
      </c>
      <c r="D1996" t="inlineStr">
        <is>
          <t>JÄMTLANDS LÄN</t>
        </is>
      </c>
      <c r="E1996" t="inlineStr">
        <is>
          <t>ÖSTERSUND</t>
        </is>
      </c>
      <c r="F1996" t="inlineStr">
        <is>
          <t>SCA</t>
        </is>
      </c>
      <c r="G1996" t="n">
        <v>7</v>
      </c>
      <c r="H1996" t="n">
        <v>0</v>
      </c>
      <c r="I1996" t="n">
        <v>0</v>
      </c>
      <c r="J1996" t="n">
        <v>0</v>
      </c>
      <c r="K1996" t="n">
        <v>0</v>
      </c>
      <c r="L1996" t="n">
        <v>0</v>
      </c>
      <c r="M1996" t="n">
        <v>0</v>
      </c>
      <c r="N1996" t="n">
        <v>0</v>
      </c>
      <c r="O1996" t="n">
        <v>0</v>
      </c>
      <c r="P1996" t="n">
        <v>0</v>
      </c>
      <c r="Q1996" t="n">
        <v>0</v>
      </c>
      <c r="R1996" s="2" t="inlineStr"/>
    </row>
    <row r="1997" ht="15" customHeight="1">
      <c r="A1997" t="inlineStr">
        <is>
          <t>A 33856-2019</t>
        </is>
      </c>
      <c r="B1997" s="1" t="n">
        <v>43652</v>
      </c>
      <c r="C1997" s="1" t="n">
        <v>45182</v>
      </c>
      <c r="D1997" t="inlineStr">
        <is>
          <t>JÄMTLANDS LÄN</t>
        </is>
      </c>
      <c r="E1997" t="inlineStr">
        <is>
          <t>ÅRE</t>
        </is>
      </c>
      <c r="G1997" t="n">
        <v>9.6</v>
      </c>
      <c r="H1997" t="n">
        <v>0</v>
      </c>
      <c r="I1997" t="n">
        <v>0</v>
      </c>
      <c r="J1997" t="n">
        <v>0</v>
      </c>
      <c r="K1997" t="n">
        <v>0</v>
      </c>
      <c r="L1997" t="n">
        <v>0</v>
      </c>
      <c r="M1997" t="n">
        <v>0</v>
      </c>
      <c r="N1997" t="n">
        <v>0</v>
      </c>
      <c r="O1997" t="n">
        <v>0</v>
      </c>
      <c r="P1997" t="n">
        <v>0</v>
      </c>
      <c r="Q1997" t="n">
        <v>0</v>
      </c>
      <c r="R1997" s="2" t="inlineStr"/>
    </row>
    <row r="1998" ht="15" customHeight="1">
      <c r="A1998" t="inlineStr">
        <is>
          <t>A 34119-2019</t>
        </is>
      </c>
      <c r="B1998" s="1" t="n">
        <v>43654</v>
      </c>
      <c r="C1998" s="1" t="n">
        <v>45182</v>
      </c>
      <c r="D1998" t="inlineStr">
        <is>
          <t>JÄMTLANDS LÄN</t>
        </is>
      </c>
      <c r="E1998" t="inlineStr">
        <is>
          <t>RAGUNDA</t>
        </is>
      </c>
      <c r="F1998" t="inlineStr">
        <is>
          <t>SCA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34065-2019</t>
        </is>
      </c>
      <c r="B1999" s="1" t="n">
        <v>43654</v>
      </c>
      <c r="C1999" s="1" t="n">
        <v>45182</v>
      </c>
      <c r="D1999" t="inlineStr">
        <is>
          <t>JÄMTLANDS LÄN</t>
        </is>
      </c>
      <c r="E1999" t="inlineStr">
        <is>
          <t>KROKOM</t>
        </is>
      </c>
      <c r="G1999" t="n">
        <v>12.3</v>
      </c>
      <c r="H1999" t="n">
        <v>0</v>
      </c>
      <c r="I1999" t="n">
        <v>0</v>
      </c>
      <c r="J1999" t="n">
        <v>0</v>
      </c>
      <c r="K1999" t="n">
        <v>0</v>
      </c>
      <c r="L1999" t="n">
        <v>0</v>
      </c>
      <c r="M1999" t="n">
        <v>0</v>
      </c>
      <c r="N1999" t="n">
        <v>0</v>
      </c>
      <c r="O1999" t="n">
        <v>0</v>
      </c>
      <c r="P1999" t="n">
        <v>0</v>
      </c>
      <c r="Q1999" t="n">
        <v>0</v>
      </c>
      <c r="R1999" s="2" t="inlineStr"/>
    </row>
    <row r="2000" ht="15" customHeight="1">
      <c r="A2000" t="inlineStr">
        <is>
          <t>A 34103-2019</t>
        </is>
      </c>
      <c r="B2000" s="1" t="n">
        <v>43654</v>
      </c>
      <c r="C2000" s="1" t="n">
        <v>45182</v>
      </c>
      <c r="D2000" t="inlineStr">
        <is>
          <t>JÄMTLANDS LÄN</t>
        </is>
      </c>
      <c r="E2000" t="inlineStr">
        <is>
          <t>BRÄCKE</t>
        </is>
      </c>
      <c r="F2000" t="inlineStr">
        <is>
          <t>SCA</t>
        </is>
      </c>
      <c r="G2000" t="n">
        <v>25</v>
      </c>
      <c r="H2000" t="n">
        <v>0</v>
      </c>
      <c r="I2000" t="n">
        <v>0</v>
      </c>
      <c r="J2000" t="n">
        <v>0</v>
      </c>
      <c r="K2000" t="n">
        <v>0</v>
      </c>
      <c r="L2000" t="n">
        <v>0</v>
      </c>
      <c r="M2000" t="n">
        <v>0</v>
      </c>
      <c r="N2000" t="n">
        <v>0</v>
      </c>
      <c r="O2000" t="n">
        <v>0</v>
      </c>
      <c r="P2000" t="n">
        <v>0</v>
      </c>
      <c r="Q2000" t="n">
        <v>0</v>
      </c>
      <c r="R2000" s="2" t="inlineStr"/>
    </row>
    <row r="2001" ht="15" customHeight="1">
      <c r="A2001" t="inlineStr">
        <is>
          <t>A 34109-2019</t>
        </is>
      </c>
      <c r="B2001" s="1" t="n">
        <v>43654</v>
      </c>
      <c r="C2001" s="1" t="n">
        <v>45182</v>
      </c>
      <c r="D2001" t="inlineStr">
        <is>
          <t>JÄMTLANDS LÄN</t>
        </is>
      </c>
      <c r="E2001" t="inlineStr">
        <is>
          <t>ÖSTERSUND</t>
        </is>
      </c>
      <c r="F2001" t="inlineStr">
        <is>
          <t>SCA</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34125-2019</t>
        </is>
      </c>
      <c r="B2002" s="1" t="n">
        <v>43654</v>
      </c>
      <c r="C2002" s="1" t="n">
        <v>45182</v>
      </c>
      <c r="D2002" t="inlineStr">
        <is>
          <t>JÄMTLANDS LÄN</t>
        </is>
      </c>
      <c r="E2002" t="inlineStr">
        <is>
          <t>STRÖMSUND</t>
        </is>
      </c>
      <c r="F2002" t="inlineStr">
        <is>
          <t>SCA</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34121-2019</t>
        </is>
      </c>
      <c r="B2003" s="1" t="n">
        <v>43654</v>
      </c>
      <c r="C2003" s="1" t="n">
        <v>45182</v>
      </c>
      <c r="D2003" t="inlineStr">
        <is>
          <t>JÄMTLANDS LÄN</t>
        </is>
      </c>
      <c r="E2003" t="inlineStr">
        <is>
          <t>RAGUNDA</t>
        </is>
      </c>
      <c r="F2003" t="inlineStr">
        <is>
          <t>SCA</t>
        </is>
      </c>
      <c r="G2003" t="n">
        <v>3.6</v>
      </c>
      <c r="H2003" t="n">
        <v>0</v>
      </c>
      <c r="I2003" t="n">
        <v>0</v>
      </c>
      <c r="J2003" t="n">
        <v>0</v>
      </c>
      <c r="K2003" t="n">
        <v>0</v>
      </c>
      <c r="L2003" t="n">
        <v>0</v>
      </c>
      <c r="M2003" t="n">
        <v>0</v>
      </c>
      <c r="N2003" t="n">
        <v>0</v>
      </c>
      <c r="O2003" t="n">
        <v>0</v>
      </c>
      <c r="P2003" t="n">
        <v>0</v>
      </c>
      <c r="Q2003" t="n">
        <v>0</v>
      </c>
      <c r="R2003" s="2" t="inlineStr"/>
    </row>
    <row r="2004" ht="15" customHeight="1">
      <c r="A2004" t="inlineStr">
        <is>
          <t>A 35535-2019</t>
        </is>
      </c>
      <c r="B2004" s="1" t="n">
        <v>43654</v>
      </c>
      <c r="C2004" s="1" t="n">
        <v>45182</v>
      </c>
      <c r="D2004" t="inlineStr">
        <is>
          <t>JÄMTLANDS LÄN</t>
        </is>
      </c>
      <c r="E2004" t="inlineStr">
        <is>
          <t>ÖSTERSUND</t>
        </is>
      </c>
      <c r="G2004" t="n">
        <v>9.800000000000001</v>
      </c>
      <c r="H2004" t="n">
        <v>0</v>
      </c>
      <c r="I2004" t="n">
        <v>0</v>
      </c>
      <c r="J2004" t="n">
        <v>0</v>
      </c>
      <c r="K2004" t="n">
        <v>0</v>
      </c>
      <c r="L2004" t="n">
        <v>0</v>
      </c>
      <c r="M2004" t="n">
        <v>0</v>
      </c>
      <c r="N2004" t="n">
        <v>0</v>
      </c>
      <c r="O2004" t="n">
        <v>0</v>
      </c>
      <c r="P2004" t="n">
        <v>0</v>
      </c>
      <c r="Q2004" t="n">
        <v>0</v>
      </c>
      <c r="R2004" s="2" t="inlineStr"/>
    </row>
    <row r="2005" ht="15" customHeight="1">
      <c r="A2005" t="inlineStr">
        <is>
          <t>A 35674-2019</t>
        </is>
      </c>
      <c r="B2005" s="1" t="n">
        <v>43655</v>
      </c>
      <c r="C2005" s="1" t="n">
        <v>45182</v>
      </c>
      <c r="D2005" t="inlineStr">
        <is>
          <t>JÄMTLANDS LÄN</t>
        </is>
      </c>
      <c r="E2005" t="inlineStr">
        <is>
          <t>STRÖMSUND</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34152-2019</t>
        </is>
      </c>
      <c r="B2006" s="1" t="n">
        <v>43655</v>
      </c>
      <c r="C2006" s="1" t="n">
        <v>45182</v>
      </c>
      <c r="D2006" t="inlineStr">
        <is>
          <t>JÄMTLANDS LÄN</t>
        </is>
      </c>
      <c r="E2006" t="inlineStr">
        <is>
          <t>STRÖMSUND</t>
        </is>
      </c>
      <c r="F2006" t="inlineStr">
        <is>
          <t>Sveaskog</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34246-2019</t>
        </is>
      </c>
      <c r="B2007" s="1" t="n">
        <v>43655</v>
      </c>
      <c r="C2007" s="1" t="n">
        <v>45182</v>
      </c>
      <c r="D2007" t="inlineStr">
        <is>
          <t>JÄMTLANDS LÄN</t>
        </is>
      </c>
      <c r="E2007" t="inlineStr">
        <is>
          <t>ÖSTERSUND</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35668-2019</t>
        </is>
      </c>
      <c r="B2008" s="1" t="n">
        <v>43655</v>
      </c>
      <c r="C2008" s="1" t="n">
        <v>45182</v>
      </c>
      <c r="D2008" t="inlineStr">
        <is>
          <t>JÄMTLANDS LÄN</t>
        </is>
      </c>
      <c r="E2008" t="inlineStr">
        <is>
          <t>KROKOM</t>
        </is>
      </c>
      <c r="G2008" t="n">
        <v>8.199999999999999</v>
      </c>
      <c r="H2008" t="n">
        <v>0</v>
      </c>
      <c r="I2008" t="n">
        <v>0</v>
      </c>
      <c r="J2008" t="n">
        <v>0</v>
      </c>
      <c r="K2008" t="n">
        <v>0</v>
      </c>
      <c r="L2008" t="n">
        <v>0</v>
      </c>
      <c r="M2008" t="n">
        <v>0</v>
      </c>
      <c r="N2008" t="n">
        <v>0</v>
      </c>
      <c r="O2008" t="n">
        <v>0</v>
      </c>
      <c r="P2008" t="n">
        <v>0</v>
      </c>
      <c r="Q2008" t="n">
        <v>0</v>
      </c>
      <c r="R2008" s="2" t="inlineStr"/>
    </row>
    <row r="2009" ht="15" customHeight="1">
      <c r="A2009" t="inlineStr">
        <is>
          <t>A 34219-2019</t>
        </is>
      </c>
      <c r="B2009" s="1" t="n">
        <v>43655</v>
      </c>
      <c r="C2009" s="1" t="n">
        <v>45182</v>
      </c>
      <c r="D2009" t="inlineStr">
        <is>
          <t>JÄMTLANDS LÄN</t>
        </is>
      </c>
      <c r="E2009" t="inlineStr">
        <is>
          <t>STRÖMSUND</t>
        </is>
      </c>
      <c r="F2009" t="inlineStr">
        <is>
          <t>Sveaskog</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34233-2019</t>
        </is>
      </c>
      <c r="B2010" s="1" t="n">
        <v>43655</v>
      </c>
      <c r="C2010" s="1" t="n">
        <v>45182</v>
      </c>
      <c r="D2010" t="inlineStr">
        <is>
          <t>JÄMTLANDS LÄN</t>
        </is>
      </c>
      <c r="E2010" t="inlineStr">
        <is>
          <t>STRÖMSUND</t>
        </is>
      </c>
      <c r="G2010" t="n">
        <v>3.1</v>
      </c>
      <c r="H2010" t="n">
        <v>0</v>
      </c>
      <c r="I2010" t="n">
        <v>0</v>
      </c>
      <c r="J2010" t="n">
        <v>0</v>
      </c>
      <c r="K2010" t="n">
        <v>0</v>
      </c>
      <c r="L2010" t="n">
        <v>0</v>
      </c>
      <c r="M2010" t="n">
        <v>0</v>
      </c>
      <c r="N2010" t="n">
        <v>0</v>
      </c>
      <c r="O2010" t="n">
        <v>0</v>
      </c>
      <c r="P2010" t="n">
        <v>0</v>
      </c>
      <c r="Q2010" t="n">
        <v>0</v>
      </c>
      <c r="R2010" s="2" t="inlineStr"/>
    </row>
    <row r="2011" ht="15" customHeight="1">
      <c r="A2011" t="inlineStr">
        <is>
          <t>A 35678-2019</t>
        </is>
      </c>
      <c r="B2011" s="1" t="n">
        <v>43656</v>
      </c>
      <c r="C2011" s="1" t="n">
        <v>45182</v>
      </c>
      <c r="D2011" t="inlineStr">
        <is>
          <t>JÄMTLANDS LÄN</t>
        </is>
      </c>
      <c r="E2011" t="inlineStr">
        <is>
          <t>ÖSTERSUND</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35754-2019</t>
        </is>
      </c>
      <c r="B2012" s="1" t="n">
        <v>43656</v>
      </c>
      <c r="C2012" s="1" t="n">
        <v>45182</v>
      </c>
      <c r="D2012" t="inlineStr">
        <is>
          <t>JÄMTLANDS LÄN</t>
        </is>
      </c>
      <c r="E2012" t="inlineStr">
        <is>
          <t>KROKOM</t>
        </is>
      </c>
      <c r="G2012" t="n">
        <v>4.5</v>
      </c>
      <c r="H2012" t="n">
        <v>0</v>
      </c>
      <c r="I2012" t="n">
        <v>0</v>
      </c>
      <c r="J2012" t="n">
        <v>0</v>
      </c>
      <c r="K2012" t="n">
        <v>0</v>
      </c>
      <c r="L2012" t="n">
        <v>0</v>
      </c>
      <c r="M2012" t="n">
        <v>0</v>
      </c>
      <c r="N2012" t="n">
        <v>0</v>
      </c>
      <c r="O2012" t="n">
        <v>0</v>
      </c>
      <c r="P2012" t="n">
        <v>0</v>
      </c>
      <c r="Q2012" t="n">
        <v>0</v>
      </c>
      <c r="R2012" s="2" t="inlineStr"/>
    </row>
    <row r="2013" ht="15" customHeight="1">
      <c r="A2013" t="inlineStr">
        <is>
          <t>A 34469-2019</t>
        </is>
      </c>
      <c r="B2013" s="1" t="n">
        <v>43656</v>
      </c>
      <c r="C2013" s="1" t="n">
        <v>45182</v>
      </c>
      <c r="D2013" t="inlineStr">
        <is>
          <t>JÄMTLANDS LÄN</t>
        </is>
      </c>
      <c r="E2013" t="inlineStr">
        <is>
          <t>BERG</t>
        </is>
      </c>
      <c r="G2013" t="n">
        <v>6.3</v>
      </c>
      <c r="H2013" t="n">
        <v>0</v>
      </c>
      <c r="I2013" t="n">
        <v>0</v>
      </c>
      <c r="J2013" t="n">
        <v>0</v>
      </c>
      <c r="K2013" t="n">
        <v>0</v>
      </c>
      <c r="L2013" t="n">
        <v>0</v>
      </c>
      <c r="M2013" t="n">
        <v>0</v>
      </c>
      <c r="N2013" t="n">
        <v>0</v>
      </c>
      <c r="O2013" t="n">
        <v>0</v>
      </c>
      <c r="P2013" t="n">
        <v>0</v>
      </c>
      <c r="Q2013" t="n">
        <v>0</v>
      </c>
      <c r="R2013" s="2" t="inlineStr"/>
    </row>
    <row r="2014" ht="15" customHeight="1">
      <c r="A2014" t="inlineStr">
        <is>
          <t>A 34468-2019</t>
        </is>
      </c>
      <c r="B2014" s="1" t="n">
        <v>43656</v>
      </c>
      <c r="C2014" s="1" t="n">
        <v>45182</v>
      </c>
      <c r="D2014" t="inlineStr">
        <is>
          <t>JÄMTLANDS LÄN</t>
        </is>
      </c>
      <c r="E2014" t="inlineStr">
        <is>
          <t>BERG</t>
        </is>
      </c>
      <c r="G2014" t="n">
        <v>2</v>
      </c>
      <c r="H2014" t="n">
        <v>0</v>
      </c>
      <c r="I2014" t="n">
        <v>0</v>
      </c>
      <c r="J2014" t="n">
        <v>0</v>
      </c>
      <c r="K2014" t="n">
        <v>0</v>
      </c>
      <c r="L2014" t="n">
        <v>0</v>
      </c>
      <c r="M2014" t="n">
        <v>0</v>
      </c>
      <c r="N2014" t="n">
        <v>0</v>
      </c>
      <c r="O2014" t="n">
        <v>0</v>
      </c>
      <c r="P2014" t="n">
        <v>0</v>
      </c>
      <c r="Q2014" t="n">
        <v>0</v>
      </c>
      <c r="R2014" s="2" t="inlineStr"/>
    </row>
    <row r="2015" ht="15" customHeight="1">
      <c r="A2015" t="inlineStr">
        <is>
          <t>A 34490-2019</t>
        </is>
      </c>
      <c r="B2015" s="1" t="n">
        <v>43656</v>
      </c>
      <c r="C2015" s="1" t="n">
        <v>45182</v>
      </c>
      <c r="D2015" t="inlineStr">
        <is>
          <t>JÄMTLANDS LÄN</t>
        </is>
      </c>
      <c r="E2015" t="inlineStr">
        <is>
          <t>RAGUNDA</t>
        </is>
      </c>
      <c r="F2015" t="inlineStr">
        <is>
          <t>SCA</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35688-2019</t>
        </is>
      </c>
      <c r="B2016" s="1" t="n">
        <v>43656</v>
      </c>
      <c r="C2016" s="1" t="n">
        <v>45182</v>
      </c>
      <c r="D2016" t="inlineStr">
        <is>
          <t>JÄMTLANDS LÄN</t>
        </is>
      </c>
      <c r="E2016" t="inlineStr">
        <is>
          <t>ÖSTERSUND</t>
        </is>
      </c>
      <c r="G2016" t="n">
        <v>12.6</v>
      </c>
      <c r="H2016" t="n">
        <v>0</v>
      </c>
      <c r="I2016" t="n">
        <v>0</v>
      </c>
      <c r="J2016" t="n">
        <v>0</v>
      </c>
      <c r="K2016" t="n">
        <v>0</v>
      </c>
      <c r="L2016" t="n">
        <v>0</v>
      </c>
      <c r="M2016" t="n">
        <v>0</v>
      </c>
      <c r="N2016" t="n">
        <v>0</v>
      </c>
      <c r="O2016" t="n">
        <v>0</v>
      </c>
      <c r="P2016" t="n">
        <v>0</v>
      </c>
      <c r="Q2016" t="n">
        <v>0</v>
      </c>
      <c r="R2016" s="2" t="inlineStr"/>
    </row>
    <row r="2017" ht="15" customHeight="1">
      <c r="A2017" t="inlineStr">
        <is>
          <t>A 34663-2019</t>
        </is>
      </c>
      <c r="B2017" s="1" t="n">
        <v>43657</v>
      </c>
      <c r="C2017" s="1" t="n">
        <v>45182</v>
      </c>
      <c r="D2017" t="inlineStr">
        <is>
          <t>JÄMTLANDS LÄN</t>
        </is>
      </c>
      <c r="E2017" t="inlineStr">
        <is>
          <t>BERG</t>
        </is>
      </c>
      <c r="G2017" t="n">
        <v>0.5</v>
      </c>
      <c r="H2017" t="n">
        <v>0</v>
      </c>
      <c r="I2017" t="n">
        <v>0</v>
      </c>
      <c r="J2017" t="n">
        <v>0</v>
      </c>
      <c r="K2017" t="n">
        <v>0</v>
      </c>
      <c r="L2017" t="n">
        <v>0</v>
      </c>
      <c r="M2017" t="n">
        <v>0</v>
      </c>
      <c r="N2017" t="n">
        <v>0</v>
      </c>
      <c r="O2017" t="n">
        <v>0</v>
      </c>
      <c r="P2017" t="n">
        <v>0</v>
      </c>
      <c r="Q2017" t="n">
        <v>0</v>
      </c>
      <c r="R2017" s="2" t="inlineStr"/>
    </row>
    <row r="2018" ht="15" customHeight="1">
      <c r="A2018" t="inlineStr">
        <is>
          <t>A 34739-2019</t>
        </is>
      </c>
      <c r="B2018" s="1" t="n">
        <v>43657</v>
      </c>
      <c r="C2018" s="1" t="n">
        <v>45182</v>
      </c>
      <c r="D2018" t="inlineStr">
        <is>
          <t>JÄMTLANDS LÄN</t>
        </is>
      </c>
      <c r="E2018" t="inlineStr">
        <is>
          <t>KROKOM</t>
        </is>
      </c>
      <c r="F2018" t="inlineStr">
        <is>
          <t>SCA</t>
        </is>
      </c>
      <c r="G2018" t="n">
        <v>7.9</v>
      </c>
      <c r="H2018" t="n">
        <v>0</v>
      </c>
      <c r="I2018" t="n">
        <v>0</v>
      </c>
      <c r="J2018" t="n">
        <v>0</v>
      </c>
      <c r="K2018" t="n">
        <v>0</v>
      </c>
      <c r="L2018" t="n">
        <v>0</v>
      </c>
      <c r="M2018" t="n">
        <v>0</v>
      </c>
      <c r="N2018" t="n">
        <v>0</v>
      </c>
      <c r="O2018" t="n">
        <v>0</v>
      </c>
      <c r="P2018" t="n">
        <v>0</v>
      </c>
      <c r="Q2018" t="n">
        <v>0</v>
      </c>
      <c r="R2018" s="2" t="inlineStr"/>
    </row>
    <row r="2019" ht="15" customHeight="1">
      <c r="A2019" t="inlineStr">
        <is>
          <t>A 36009-2019</t>
        </is>
      </c>
      <c r="B2019" s="1" t="n">
        <v>43657</v>
      </c>
      <c r="C2019" s="1" t="n">
        <v>45182</v>
      </c>
      <c r="D2019" t="inlineStr">
        <is>
          <t>JÄMTLANDS LÄN</t>
        </is>
      </c>
      <c r="E2019" t="inlineStr">
        <is>
          <t>KROKOM</t>
        </is>
      </c>
      <c r="G2019" t="n">
        <v>1.7</v>
      </c>
      <c r="H2019" t="n">
        <v>0</v>
      </c>
      <c r="I2019" t="n">
        <v>0</v>
      </c>
      <c r="J2019" t="n">
        <v>0</v>
      </c>
      <c r="K2019" t="n">
        <v>0</v>
      </c>
      <c r="L2019" t="n">
        <v>0</v>
      </c>
      <c r="M2019" t="n">
        <v>0</v>
      </c>
      <c r="N2019" t="n">
        <v>0</v>
      </c>
      <c r="O2019" t="n">
        <v>0</v>
      </c>
      <c r="P2019" t="n">
        <v>0</v>
      </c>
      <c r="Q2019" t="n">
        <v>0</v>
      </c>
      <c r="R2019" s="2" t="inlineStr"/>
    </row>
    <row r="2020" ht="15" customHeight="1">
      <c r="A2020" t="inlineStr">
        <is>
          <t>A 36193-2019</t>
        </is>
      </c>
      <c r="B2020" s="1" t="n">
        <v>43657</v>
      </c>
      <c r="C2020" s="1" t="n">
        <v>45182</v>
      </c>
      <c r="D2020" t="inlineStr">
        <is>
          <t>JÄMTLANDS LÄN</t>
        </is>
      </c>
      <c r="E2020" t="inlineStr">
        <is>
          <t>STRÖMSUND</t>
        </is>
      </c>
      <c r="F2020" t="inlineStr">
        <is>
          <t>Holmen skog AB</t>
        </is>
      </c>
      <c r="G2020" t="n">
        <v>2</v>
      </c>
      <c r="H2020" t="n">
        <v>0</v>
      </c>
      <c r="I2020" t="n">
        <v>0</v>
      </c>
      <c r="J2020" t="n">
        <v>0</v>
      </c>
      <c r="K2020" t="n">
        <v>0</v>
      </c>
      <c r="L2020" t="n">
        <v>0</v>
      </c>
      <c r="M2020" t="n">
        <v>0</v>
      </c>
      <c r="N2020" t="n">
        <v>0</v>
      </c>
      <c r="O2020" t="n">
        <v>0</v>
      </c>
      <c r="P2020" t="n">
        <v>0</v>
      </c>
      <c r="Q2020" t="n">
        <v>0</v>
      </c>
      <c r="R2020" s="2" t="inlineStr"/>
    </row>
    <row r="2021" ht="15" customHeight="1">
      <c r="A2021" t="inlineStr">
        <is>
          <t>A 36003-2019</t>
        </is>
      </c>
      <c r="B2021" s="1" t="n">
        <v>43657</v>
      </c>
      <c r="C2021" s="1" t="n">
        <v>45182</v>
      </c>
      <c r="D2021" t="inlineStr">
        <is>
          <t>JÄMTLANDS LÄN</t>
        </is>
      </c>
      <c r="E2021" t="inlineStr">
        <is>
          <t>ÖSTERSUND</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34741-2019</t>
        </is>
      </c>
      <c r="B2022" s="1" t="n">
        <v>43657</v>
      </c>
      <c r="C2022" s="1" t="n">
        <v>45182</v>
      </c>
      <c r="D2022" t="inlineStr">
        <is>
          <t>JÄMTLANDS LÄN</t>
        </is>
      </c>
      <c r="E2022" t="inlineStr">
        <is>
          <t>STRÖMSUND</t>
        </is>
      </c>
      <c r="F2022" t="inlineStr">
        <is>
          <t>SCA</t>
        </is>
      </c>
      <c r="G2022" t="n">
        <v>11.3</v>
      </c>
      <c r="H2022" t="n">
        <v>0</v>
      </c>
      <c r="I2022" t="n">
        <v>0</v>
      </c>
      <c r="J2022" t="n">
        <v>0</v>
      </c>
      <c r="K2022" t="n">
        <v>0</v>
      </c>
      <c r="L2022" t="n">
        <v>0</v>
      </c>
      <c r="M2022" t="n">
        <v>0</v>
      </c>
      <c r="N2022" t="n">
        <v>0</v>
      </c>
      <c r="O2022" t="n">
        <v>0</v>
      </c>
      <c r="P2022" t="n">
        <v>0</v>
      </c>
      <c r="Q2022" t="n">
        <v>0</v>
      </c>
      <c r="R2022" s="2" t="inlineStr"/>
    </row>
    <row r="2023" ht="15" customHeight="1">
      <c r="A2023" t="inlineStr">
        <is>
          <t>A 34805-2019</t>
        </is>
      </c>
      <c r="B2023" s="1" t="n">
        <v>43658</v>
      </c>
      <c r="C2023" s="1" t="n">
        <v>45182</v>
      </c>
      <c r="D2023" t="inlineStr">
        <is>
          <t>JÄMTLANDS LÄN</t>
        </is>
      </c>
      <c r="E2023" t="inlineStr">
        <is>
          <t>HÄRJEDALEN</t>
        </is>
      </c>
      <c r="F2023" t="inlineStr">
        <is>
          <t>Sveaskog</t>
        </is>
      </c>
      <c r="G2023" t="n">
        <v>0.2</v>
      </c>
      <c r="H2023" t="n">
        <v>0</v>
      </c>
      <c r="I2023" t="n">
        <v>0</v>
      </c>
      <c r="J2023" t="n">
        <v>0</v>
      </c>
      <c r="K2023" t="n">
        <v>0</v>
      </c>
      <c r="L2023" t="n">
        <v>0</v>
      </c>
      <c r="M2023" t="n">
        <v>0</v>
      </c>
      <c r="N2023" t="n">
        <v>0</v>
      </c>
      <c r="O2023" t="n">
        <v>0</v>
      </c>
      <c r="P2023" t="n">
        <v>0</v>
      </c>
      <c r="Q2023" t="n">
        <v>0</v>
      </c>
      <c r="R2023" s="2" t="inlineStr"/>
    </row>
    <row r="2024" ht="15" customHeight="1">
      <c r="A2024" t="inlineStr">
        <is>
          <t>A 34794-2019</t>
        </is>
      </c>
      <c r="B2024" s="1" t="n">
        <v>43658</v>
      </c>
      <c r="C2024" s="1" t="n">
        <v>45182</v>
      </c>
      <c r="D2024" t="inlineStr">
        <is>
          <t>JÄMTLANDS LÄN</t>
        </is>
      </c>
      <c r="E2024" t="inlineStr">
        <is>
          <t>STRÖMSUND</t>
        </is>
      </c>
      <c r="F2024" t="inlineStr">
        <is>
          <t>Sveaskog</t>
        </is>
      </c>
      <c r="G2024" t="n">
        <v>9.5</v>
      </c>
      <c r="H2024" t="n">
        <v>0</v>
      </c>
      <c r="I2024" t="n">
        <v>0</v>
      </c>
      <c r="J2024" t="n">
        <v>0</v>
      </c>
      <c r="K2024" t="n">
        <v>0</v>
      </c>
      <c r="L2024" t="n">
        <v>0</v>
      </c>
      <c r="M2024" t="n">
        <v>0</v>
      </c>
      <c r="N2024" t="n">
        <v>0</v>
      </c>
      <c r="O2024" t="n">
        <v>0</v>
      </c>
      <c r="P2024" t="n">
        <v>0</v>
      </c>
      <c r="Q2024" t="n">
        <v>0</v>
      </c>
      <c r="R2024" s="2" t="inlineStr"/>
    </row>
    <row r="2025" ht="15" customHeight="1">
      <c r="A2025" t="inlineStr">
        <is>
          <t>A 34987-2019</t>
        </is>
      </c>
      <c r="B2025" s="1" t="n">
        <v>43659</v>
      </c>
      <c r="C2025" s="1" t="n">
        <v>45182</v>
      </c>
      <c r="D2025" t="inlineStr">
        <is>
          <t>JÄMTLANDS LÄN</t>
        </is>
      </c>
      <c r="E2025" t="inlineStr">
        <is>
          <t>BRÄCKE</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35043-2019</t>
        </is>
      </c>
      <c r="B2026" s="1" t="n">
        <v>43661</v>
      </c>
      <c r="C2026" s="1" t="n">
        <v>45182</v>
      </c>
      <c r="D2026" t="inlineStr">
        <is>
          <t>JÄMTLANDS LÄN</t>
        </is>
      </c>
      <c r="E2026" t="inlineStr">
        <is>
          <t>BERG</t>
        </is>
      </c>
      <c r="G2026" t="n">
        <v>4</v>
      </c>
      <c r="H2026" t="n">
        <v>0</v>
      </c>
      <c r="I2026" t="n">
        <v>0</v>
      </c>
      <c r="J2026" t="n">
        <v>0</v>
      </c>
      <c r="K2026" t="n">
        <v>0</v>
      </c>
      <c r="L2026" t="n">
        <v>0</v>
      </c>
      <c r="M2026" t="n">
        <v>0</v>
      </c>
      <c r="N2026" t="n">
        <v>0</v>
      </c>
      <c r="O2026" t="n">
        <v>0</v>
      </c>
      <c r="P2026" t="n">
        <v>0</v>
      </c>
      <c r="Q2026" t="n">
        <v>0</v>
      </c>
      <c r="R2026" s="2" t="inlineStr"/>
    </row>
    <row r="2027" ht="15" customHeight="1">
      <c r="A2027" t="inlineStr">
        <is>
          <t>A 35160-2019</t>
        </is>
      </c>
      <c r="B2027" s="1" t="n">
        <v>43661</v>
      </c>
      <c r="C2027" s="1" t="n">
        <v>45182</v>
      </c>
      <c r="D2027" t="inlineStr">
        <is>
          <t>JÄMTLANDS LÄN</t>
        </is>
      </c>
      <c r="E2027" t="inlineStr">
        <is>
          <t>HÄRJEDALEN</t>
        </is>
      </c>
      <c r="F2027" t="inlineStr">
        <is>
          <t>Sveaskog</t>
        </is>
      </c>
      <c r="G2027" t="n">
        <v>1.3</v>
      </c>
      <c r="H2027" t="n">
        <v>0</v>
      </c>
      <c r="I2027" t="n">
        <v>0</v>
      </c>
      <c r="J2027" t="n">
        <v>0</v>
      </c>
      <c r="K2027" t="n">
        <v>0</v>
      </c>
      <c r="L2027" t="n">
        <v>0</v>
      </c>
      <c r="M2027" t="n">
        <v>0</v>
      </c>
      <c r="N2027" t="n">
        <v>0</v>
      </c>
      <c r="O2027" t="n">
        <v>0</v>
      </c>
      <c r="P2027" t="n">
        <v>0</v>
      </c>
      <c r="Q2027" t="n">
        <v>0</v>
      </c>
      <c r="R2027" s="2" t="inlineStr"/>
    </row>
    <row r="2028" ht="15" customHeight="1">
      <c r="A2028" t="inlineStr">
        <is>
          <t>A 35391-2019</t>
        </is>
      </c>
      <c r="B2028" s="1" t="n">
        <v>43661</v>
      </c>
      <c r="C2028" s="1" t="n">
        <v>45182</v>
      </c>
      <c r="D2028" t="inlineStr">
        <is>
          <t>JÄMTLANDS LÄN</t>
        </is>
      </c>
      <c r="E2028" t="inlineStr">
        <is>
          <t>ÅRE</t>
        </is>
      </c>
      <c r="G2028" t="n">
        <v>19.7</v>
      </c>
      <c r="H2028" t="n">
        <v>0</v>
      </c>
      <c r="I2028" t="n">
        <v>0</v>
      </c>
      <c r="J2028" t="n">
        <v>0</v>
      </c>
      <c r="K2028" t="n">
        <v>0</v>
      </c>
      <c r="L2028" t="n">
        <v>0</v>
      </c>
      <c r="M2028" t="n">
        <v>0</v>
      </c>
      <c r="N2028" t="n">
        <v>0</v>
      </c>
      <c r="O2028" t="n">
        <v>0</v>
      </c>
      <c r="P2028" t="n">
        <v>0</v>
      </c>
      <c r="Q2028" t="n">
        <v>0</v>
      </c>
      <c r="R2028" s="2" t="inlineStr"/>
    </row>
    <row r="2029" ht="15" customHeight="1">
      <c r="A2029" t="inlineStr">
        <is>
          <t>A 35485-2019</t>
        </is>
      </c>
      <c r="B2029" s="1" t="n">
        <v>43661</v>
      </c>
      <c r="C2029" s="1" t="n">
        <v>45182</v>
      </c>
      <c r="D2029" t="inlineStr">
        <is>
          <t>JÄMTLANDS LÄN</t>
        </is>
      </c>
      <c r="E2029" t="inlineStr">
        <is>
          <t>ÅRE</t>
        </is>
      </c>
      <c r="G2029" t="n">
        <v>5.5</v>
      </c>
      <c r="H2029" t="n">
        <v>0</v>
      </c>
      <c r="I2029" t="n">
        <v>0</v>
      </c>
      <c r="J2029" t="n">
        <v>0</v>
      </c>
      <c r="K2029" t="n">
        <v>0</v>
      </c>
      <c r="L2029" t="n">
        <v>0</v>
      </c>
      <c r="M2029" t="n">
        <v>0</v>
      </c>
      <c r="N2029" t="n">
        <v>0</v>
      </c>
      <c r="O2029" t="n">
        <v>0</v>
      </c>
      <c r="P2029" t="n">
        <v>0</v>
      </c>
      <c r="Q2029" t="n">
        <v>0</v>
      </c>
      <c r="R2029" s="2" t="inlineStr"/>
    </row>
    <row r="2030" ht="15" customHeight="1">
      <c r="A2030" t="inlineStr">
        <is>
          <t>A 35131-2019</t>
        </is>
      </c>
      <c r="B2030" s="1" t="n">
        <v>43661</v>
      </c>
      <c r="C2030" s="1" t="n">
        <v>45182</v>
      </c>
      <c r="D2030" t="inlineStr">
        <is>
          <t>JÄMTLANDS LÄN</t>
        </is>
      </c>
      <c r="E2030" t="inlineStr">
        <is>
          <t>KROKOM</t>
        </is>
      </c>
      <c r="G2030" t="n">
        <v>10.4</v>
      </c>
      <c r="H2030" t="n">
        <v>0</v>
      </c>
      <c r="I2030" t="n">
        <v>0</v>
      </c>
      <c r="J2030" t="n">
        <v>0</v>
      </c>
      <c r="K2030" t="n">
        <v>0</v>
      </c>
      <c r="L2030" t="n">
        <v>0</v>
      </c>
      <c r="M2030" t="n">
        <v>0</v>
      </c>
      <c r="N2030" t="n">
        <v>0</v>
      </c>
      <c r="O2030" t="n">
        <v>0</v>
      </c>
      <c r="P2030" t="n">
        <v>0</v>
      </c>
      <c r="Q2030" t="n">
        <v>0</v>
      </c>
      <c r="R2030" s="2" t="inlineStr"/>
    </row>
    <row r="2031" ht="15" customHeight="1">
      <c r="A2031" t="inlineStr">
        <is>
          <t>A 35340-2019</t>
        </is>
      </c>
      <c r="B2031" s="1" t="n">
        <v>43661</v>
      </c>
      <c r="C2031" s="1" t="n">
        <v>45182</v>
      </c>
      <c r="D2031" t="inlineStr">
        <is>
          <t>JÄMTLANDS LÄN</t>
        </is>
      </c>
      <c r="E2031" t="inlineStr">
        <is>
          <t>KROKOM</t>
        </is>
      </c>
      <c r="G2031" t="n">
        <v>4.4</v>
      </c>
      <c r="H2031" t="n">
        <v>0</v>
      </c>
      <c r="I2031" t="n">
        <v>0</v>
      </c>
      <c r="J2031" t="n">
        <v>0</v>
      </c>
      <c r="K2031" t="n">
        <v>0</v>
      </c>
      <c r="L2031" t="n">
        <v>0</v>
      </c>
      <c r="M2031" t="n">
        <v>0</v>
      </c>
      <c r="N2031" t="n">
        <v>0</v>
      </c>
      <c r="O2031" t="n">
        <v>0</v>
      </c>
      <c r="P2031" t="n">
        <v>0</v>
      </c>
      <c r="Q2031" t="n">
        <v>0</v>
      </c>
      <c r="R2031" s="2" t="inlineStr"/>
    </row>
    <row r="2032" ht="15" customHeight="1">
      <c r="A2032" t="inlineStr">
        <is>
          <t>A 36271-2019</t>
        </is>
      </c>
      <c r="B2032" s="1" t="n">
        <v>43661</v>
      </c>
      <c r="C2032" s="1" t="n">
        <v>45182</v>
      </c>
      <c r="D2032" t="inlineStr">
        <is>
          <t>JÄMTLANDS LÄN</t>
        </is>
      </c>
      <c r="E2032" t="inlineStr">
        <is>
          <t>KROKOM</t>
        </is>
      </c>
      <c r="G2032" t="n">
        <v>2.4</v>
      </c>
      <c r="H2032" t="n">
        <v>0</v>
      </c>
      <c r="I2032" t="n">
        <v>0</v>
      </c>
      <c r="J2032" t="n">
        <v>0</v>
      </c>
      <c r="K2032" t="n">
        <v>0</v>
      </c>
      <c r="L2032" t="n">
        <v>0</v>
      </c>
      <c r="M2032" t="n">
        <v>0</v>
      </c>
      <c r="N2032" t="n">
        <v>0</v>
      </c>
      <c r="O2032" t="n">
        <v>0</v>
      </c>
      <c r="P2032" t="n">
        <v>0</v>
      </c>
      <c r="Q2032" t="n">
        <v>0</v>
      </c>
      <c r="R2032" s="2" t="inlineStr"/>
    </row>
    <row r="2033" ht="15" customHeight="1">
      <c r="A2033" t="inlineStr">
        <is>
          <t>A 35323-2019</t>
        </is>
      </c>
      <c r="B2033" s="1" t="n">
        <v>43662</v>
      </c>
      <c r="C2033" s="1" t="n">
        <v>45182</v>
      </c>
      <c r="D2033" t="inlineStr">
        <is>
          <t>JÄMTLANDS LÄN</t>
        </is>
      </c>
      <c r="E2033" t="inlineStr">
        <is>
          <t>STRÖMSUND</t>
        </is>
      </c>
      <c r="F2033" t="inlineStr">
        <is>
          <t>SCA</t>
        </is>
      </c>
      <c r="G2033" t="n">
        <v>9.300000000000001</v>
      </c>
      <c r="H2033" t="n">
        <v>0</v>
      </c>
      <c r="I2033" t="n">
        <v>0</v>
      </c>
      <c r="J2033" t="n">
        <v>0</v>
      </c>
      <c r="K2033" t="n">
        <v>0</v>
      </c>
      <c r="L2033" t="n">
        <v>0</v>
      </c>
      <c r="M2033" t="n">
        <v>0</v>
      </c>
      <c r="N2033" t="n">
        <v>0</v>
      </c>
      <c r="O2033" t="n">
        <v>0</v>
      </c>
      <c r="P2033" t="n">
        <v>0</v>
      </c>
      <c r="Q2033" t="n">
        <v>0</v>
      </c>
      <c r="R2033" s="2" t="inlineStr"/>
    </row>
    <row r="2034" ht="15" customHeight="1">
      <c r="A2034" t="inlineStr">
        <is>
          <t>A 36375-2019</t>
        </is>
      </c>
      <c r="B2034" s="1" t="n">
        <v>43662</v>
      </c>
      <c r="C2034" s="1" t="n">
        <v>45182</v>
      </c>
      <c r="D2034" t="inlineStr">
        <is>
          <t>JÄMTLANDS LÄN</t>
        </is>
      </c>
      <c r="E2034" t="inlineStr">
        <is>
          <t>BERG</t>
        </is>
      </c>
      <c r="G2034" t="n">
        <v>1.5</v>
      </c>
      <c r="H2034" t="n">
        <v>0</v>
      </c>
      <c r="I2034" t="n">
        <v>0</v>
      </c>
      <c r="J2034" t="n">
        <v>0</v>
      </c>
      <c r="K2034" t="n">
        <v>0</v>
      </c>
      <c r="L2034" t="n">
        <v>0</v>
      </c>
      <c r="M2034" t="n">
        <v>0</v>
      </c>
      <c r="N2034" t="n">
        <v>0</v>
      </c>
      <c r="O2034" t="n">
        <v>0</v>
      </c>
      <c r="P2034" t="n">
        <v>0</v>
      </c>
      <c r="Q2034" t="n">
        <v>0</v>
      </c>
      <c r="R2034" s="2" t="inlineStr"/>
    </row>
    <row r="2035" ht="15" customHeight="1">
      <c r="A2035" t="inlineStr">
        <is>
          <t>A 36343-2019</t>
        </is>
      </c>
      <c r="B2035" s="1" t="n">
        <v>43662</v>
      </c>
      <c r="C2035" s="1" t="n">
        <v>45182</v>
      </c>
      <c r="D2035" t="inlineStr">
        <is>
          <t>JÄMTLANDS LÄN</t>
        </is>
      </c>
      <c r="E2035" t="inlineStr">
        <is>
          <t>HÄRJEDALEN</t>
        </is>
      </c>
      <c r="G2035" t="n">
        <v>8</v>
      </c>
      <c r="H2035" t="n">
        <v>0</v>
      </c>
      <c r="I2035" t="n">
        <v>0</v>
      </c>
      <c r="J2035" t="n">
        <v>0</v>
      </c>
      <c r="K2035" t="n">
        <v>0</v>
      </c>
      <c r="L2035" t="n">
        <v>0</v>
      </c>
      <c r="M2035" t="n">
        <v>0</v>
      </c>
      <c r="N2035" t="n">
        <v>0</v>
      </c>
      <c r="O2035" t="n">
        <v>0</v>
      </c>
      <c r="P2035" t="n">
        <v>0</v>
      </c>
      <c r="Q2035" t="n">
        <v>0</v>
      </c>
      <c r="R2035" s="2" t="inlineStr"/>
    </row>
    <row r="2036" ht="15" customHeight="1">
      <c r="A2036" t="inlineStr">
        <is>
          <t>A 35442-2019</t>
        </is>
      </c>
      <c r="B2036" s="1" t="n">
        <v>43663</v>
      </c>
      <c r="C2036" s="1" t="n">
        <v>45182</v>
      </c>
      <c r="D2036" t="inlineStr">
        <is>
          <t>JÄMTLANDS LÄN</t>
        </is>
      </c>
      <c r="E2036" t="inlineStr">
        <is>
          <t>STRÖMSUND</t>
        </is>
      </c>
      <c r="F2036" t="inlineStr">
        <is>
          <t>Holmen skog AB</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35472-2019</t>
        </is>
      </c>
      <c r="B2037" s="1" t="n">
        <v>43663</v>
      </c>
      <c r="C2037" s="1" t="n">
        <v>45182</v>
      </c>
      <c r="D2037" t="inlineStr">
        <is>
          <t>JÄMTLANDS LÄN</t>
        </is>
      </c>
      <c r="E2037" t="inlineStr">
        <is>
          <t>STRÖMSUND</t>
        </is>
      </c>
      <c r="F2037" t="inlineStr">
        <is>
          <t>Holmen skog AB</t>
        </is>
      </c>
      <c r="G2037" t="n">
        <v>1.3</v>
      </c>
      <c r="H2037" t="n">
        <v>0</v>
      </c>
      <c r="I2037" t="n">
        <v>0</v>
      </c>
      <c r="J2037" t="n">
        <v>0</v>
      </c>
      <c r="K2037" t="n">
        <v>0</v>
      </c>
      <c r="L2037" t="n">
        <v>0</v>
      </c>
      <c r="M2037" t="n">
        <v>0</v>
      </c>
      <c r="N2037" t="n">
        <v>0</v>
      </c>
      <c r="O2037" t="n">
        <v>0</v>
      </c>
      <c r="P2037" t="n">
        <v>0</v>
      </c>
      <c r="Q2037" t="n">
        <v>0</v>
      </c>
      <c r="R2037" s="2" t="inlineStr"/>
    </row>
    <row r="2038" ht="15" customHeight="1">
      <c r="A2038" t="inlineStr">
        <is>
          <t>A 35621-2019</t>
        </is>
      </c>
      <c r="B2038" s="1" t="n">
        <v>43664</v>
      </c>
      <c r="C2038" s="1" t="n">
        <v>45182</v>
      </c>
      <c r="D2038" t="inlineStr">
        <is>
          <t>JÄMTLANDS LÄN</t>
        </is>
      </c>
      <c r="E2038" t="inlineStr">
        <is>
          <t>STRÖMSUND</t>
        </is>
      </c>
      <c r="G2038" t="n">
        <v>35.5</v>
      </c>
      <c r="H2038" t="n">
        <v>0</v>
      </c>
      <c r="I2038" t="n">
        <v>0</v>
      </c>
      <c r="J2038" t="n">
        <v>0</v>
      </c>
      <c r="K2038" t="n">
        <v>0</v>
      </c>
      <c r="L2038" t="n">
        <v>0</v>
      </c>
      <c r="M2038" t="n">
        <v>0</v>
      </c>
      <c r="N2038" t="n">
        <v>0</v>
      </c>
      <c r="O2038" t="n">
        <v>0</v>
      </c>
      <c r="P2038" t="n">
        <v>0</v>
      </c>
      <c r="Q2038" t="n">
        <v>0</v>
      </c>
      <c r="R2038" s="2" t="inlineStr"/>
    </row>
    <row r="2039" ht="15" customHeight="1">
      <c r="A2039" t="inlineStr">
        <is>
          <t>A 36451-2019</t>
        </is>
      </c>
      <c r="B2039" s="1" t="n">
        <v>43664</v>
      </c>
      <c r="C2039" s="1" t="n">
        <v>45182</v>
      </c>
      <c r="D2039" t="inlineStr">
        <is>
          <t>JÄMTLANDS LÄN</t>
        </is>
      </c>
      <c r="E2039" t="inlineStr">
        <is>
          <t>BRÄCKE</t>
        </is>
      </c>
      <c r="G2039" t="n">
        <v>4.3</v>
      </c>
      <c r="H2039" t="n">
        <v>0</v>
      </c>
      <c r="I2039" t="n">
        <v>0</v>
      </c>
      <c r="J2039" t="n">
        <v>0</v>
      </c>
      <c r="K2039" t="n">
        <v>0</v>
      </c>
      <c r="L2039" t="n">
        <v>0</v>
      </c>
      <c r="M2039" t="n">
        <v>0</v>
      </c>
      <c r="N2039" t="n">
        <v>0</v>
      </c>
      <c r="O2039" t="n">
        <v>0</v>
      </c>
      <c r="P2039" t="n">
        <v>0</v>
      </c>
      <c r="Q2039" t="n">
        <v>0</v>
      </c>
      <c r="R2039" s="2" t="inlineStr"/>
    </row>
    <row r="2040" ht="15" customHeight="1">
      <c r="A2040" t="inlineStr">
        <is>
          <t>A 35713-2019</t>
        </is>
      </c>
      <c r="B2040" s="1" t="n">
        <v>43664</v>
      </c>
      <c r="C2040" s="1" t="n">
        <v>45182</v>
      </c>
      <c r="D2040" t="inlineStr">
        <is>
          <t>JÄMTLANDS LÄN</t>
        </is>
      </c>
      <c r="E2040" t="inlineStr">
        <is>
          <t>BRÄCKE</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36182-2019</t>
        </is>
      </c>
      <c r="B2041" s="1" t="n">
        <v>43668</v>
      </c>
      <c r="C2041" s="1" t="n">
        <v>45182</v>
      </c>
      <c r="D2041" t="inlineStr">
        <is>
          <t>JÄMTLANDS LÄN</t>
        </is>
      </c>
      <c r="E2041" t="inlineStr">
        <is>
          <t>BRÄCKE</t>
        </is>
      </c>
      <c r="F2041" t="inlineStr">
        <is>
          <t>SCA</t>
        </is>
      </c>
      <c r="G2041" t="n">
        <v>1.2</v>
      </c>
      <c r="H2041" t="n">
        <v>0</v>
      </c>
      <c r="I2041" t="n">
        <v>0</v>
      </c>
      <c r="J2041" t="n">
        <v>0</v>
      </c>
      <c r="K2041" t="n">
        <v>0</v>
      </c>
      <c r="L2041" t="n">
        <v>0</v>
      </c>
      <c r="M2041" t="n">
        <v>0</v>
      </c>
      <c r="N2041" t="n">
        <v>0</v>
      </c>
      <c r="O2041" t="n">
        <v>0</v>
      </c>
      <c r="P2041" t="n">
        <v>0</v>
      </c>
      <c r="Q2041" t="n">
        <v>0</v>
      </c>
      <c r="R2041" s="2" t="inlineStr"/>
    </row>
    <row r="2042" ht="15" customHeight="1">
      <c r="A2042" t="inlineStr">
        <is>
          <t>A 36230-2019</t>
        </is>
      </c>
      <c r="B2042" s="1" t="n">
        <v>43669</v>
      </c>
      <c r="C2042" s="1" t="n">
        <v>45182</v>
      </c>
      <c r="D2042" t="inlineStr">
        <is>
          <t>JÄMTLANDS LÄN</t>
        </is>
      </c>
      <c r="E2042" t="inlineStr">
        <is>
          <t>RAGUNDA</t>
        </is>
      </c>
      <c r="G2042" t="n">
        <v>4.4</v>
      </c>
      <c r="H2042" t="n">
        <v>0</v>
      </c>
      <c r="I2042" t="n">
        <v>0</v>
      </c>
      <c r="J2042" t="n">
        <v>0</v>
      </c>
      <c r="K2042" t="n">
        <v>0</v>
      </c>
      <c r="L2042" t="n">
        <v>0</v>
      </c>
      <c r="M2042" t="n">
        <v>0</v>
      </c>
      <c r="N2042" t="n">
        <v>0</v>
      </c>
      <c r="O2042" t="n">
        <v>0</v>
      </c>
      <c r="P2042" t="n">
        <v>0</v>
      </c>
      <c r="Q2042" t="n">
        <v>0</v>
      </c>
      <c r="R2042" s="2" t="inlineStr"/>
    </row>
    <row r="2043" ht="15" customHeight="1">
      <c r="A2043" t="inlineStr">
        <is>
          <t>A 36652-2019</t>
        </is>
      </c>
      <c r="B2043" s="1" t="n">
        <v>43670</v>
      </c>
      <c r="C2043" s="1" t="n">
        <v>45182</v>
      </c>
      <c r="D2043" t="inlineStr">
        <is>
          <t>JÄMTLANDS LÄN</t>
        </is>
      </c>
      <c r="E2043" t="inlineStr">
        <is>
          <t>ÖSTERSUND</t>
        </is>
      </c>
      <c r="G2043" t="n">
        <v>2.9</v>
      </c>
      <c r="H2043" t="n">
        <v>0</v>
      </c>
      <c r="I2043" t="n">
        <v>0</v>
      </c>
      <c r="J2043" t="n">
        <v>0</v>
      </c>
      <c r="K2043" t="n">
        <v>0</v>
      </c>
      <c r="L2043" t="n">
        <v>0</v>
      </c>
      <c r="M2043" t="n">
        <v>0</v>
      </c>
      <c r="N2043" t="n">
        <v>0</v>
      </c>
      <c r="O2043" t="n">
        <v>0</v>
      </c>
      <c r="P2043" t="n">
        <v>0</v>
      </c>
      <c r="Q2043" t="n">
        <v>0</v>
      </c>
      <c r="R2043" s="2" t="inlineStr"/>
    </row>
    <row r="2044" ht="15" customHeight="1">
      <c r="A2044" t="inlineStr">
        <is>
          <t>A 36702-2019</t>
        </is>
      </c>
      <c r="B2044" s="1" t="n">
        <v>43671</v>
      </c>
      <c r="C2044" s="1" t="n">
        <v>45182</v>
      </c>
      <c r="D2044" t="inlineStr">
        <is>
          <t>JÄMTLANDS LÄN</t>
        </is>
      </c>
      <c r="E2044" t="inlineStr">
        <is>
          <t>BERG</t>
        </is>
      </c>
      <c r="F2044" t="inlineStr">
        <is>
          <t>SCA</t>
        </is>
      </c>
      <c r="G2044" t="n">
        <v>16.6</v>
      </c>
      <c r="H2044" t="n">
        <v>0</v>
      </c>
      <c r="I2044" t="n">
        <v>0</v>
      </c>
      <c r="J2044" t="n">
        <v>0</v>
      </c>
      <c r="K2044" t="n">
        <v>0</v>
      </c>
      <c r="L2044" t="n">
        <v>0</v>
      </c>
      <c r="M2044" t="n">
        <v>0</v>
      </c>
      <c r="N2044" t="n">
        <v>0</v>
      </c>
      <c r="O2044" t="n">
        <v>0</v>
      </c>
      <c r="P2044" t="n">
        <v>0</v>
      </c>
      <c r="Q2044" t="n">
        <v>0</v>
      </c>
      <c r="R2044" s="2" t="inlineStr"/>
    </row>
    <row r="2045" ht="15" customHeight="1">
      <c r="A2045" t="inlineStr">
        <is>
          <t>A 36953-2019</t>
        </is>
      </c>
      <c r="B2045" s="1" t="n">
        <v>43675</v>
      </c>
      <c r="C2045" s="1" t="n">
        <v>45182</v>
      </c>
      <c r="D2045" t="inlineStr">
        <is>
          <t>JÄMTLANDS LÄN</t>
        </is>
      </c>
      <c r="E2045" t="inlineStr">
        <is>
          <t>BRÄCKE</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36975-2019</t>
        </is>
      </c>
      <c r="B2046" s="1" t="n">
        <v>43676</v>
      </c>
      <c r="C2046" s="1" t="n">
        <v>45182</v>
      </c>
      <c r="D2046" t="inlineStr">
        <is>
          <t>JÄMTLANDS LÄN</t>
        </is>
      </c>
      <c r="E2046" t="inlineStr">
        <is>
          <t>ÅRE</t>
        </is>
      </c>
      <c r="F2046" t="inlineStr">
        <is>
          <t>Sveaskog</t>
        </is>
      </c>
      <c r="G2046" t="n">
        <v>3.4</v>
      </c>
      <c r="H2046" t="n">
        <v>0</v>
      </c>
      <c r="I2046" t="n">
        <v>0</v>
      </c>
      <c r="J2046" t="n">
        <v>0</v>
      </c>
      <c r="K2046" t="n">
        <v>0</v>
      </c>
      <c r="L2046" t="n">
        <v>0</v>
      </c>
      <c r="M2046" t="n">
        <v>0</v>
      </c>
      <c r="N2046" t="n">
        <v>0</v>
      </c>
      <c r="O2046" t="n">
        <v>0</v>
      </c>
      <c r="P2046" t="n">
        <v>0</v>
      </c>
      <c r="Q2046" t="n">
        <v>0</v>
      </c>
      <c r="R2046" s="2" t="inlineStr"/>
    </row>
    <row r="2047" ht="15" customHeight="1">
      <c r="A2047" t="inlineStr">
        <is>
          <t>A 37133-2019</t>
        </is>
      </c>
      <c r="B2047" s="1" t="n">
        <v>43676</v>
      </c>
      <c r="C2047" s="1" t="n">
        <v>45182</v>
      </c>
      <c r="D2047" t="inlineStr">
        <is>
          <t>JÄMTLANDS LÄN</t>
        </is>
      </c>
      <c r="E2047" t="inlineStr">
        <is>
          <t>BRÄCKE</t>
        </is>
      </c>
      <c r="F2047" t="inlineStr">
        <is>
          <t>SCA</t>
        </is>
      </c>
      <c r="G2047" t="n">
        <v>1.5</v>
      </c>
      <c r="H2047" t="n">
        <v>0</v>
      </c>
      <c r="I2047" t="n">
        <v>0</v>
      </c>
      <c r="J2047" t="n">
        <v>0</v>
      </c>
      <c r="K2047" t="n">
        <v>0</v>
      </c>
      <c r="L2047" t="n">
        <v>0</v>
      </c>
      <c r="M2047" t="n">
        <v>0</v>
      </c>
      <c r="N2047" t="n">
        <v>0</v>
      </c>
      <c r="O2047" t="n">
        <v>0</v>
      </c>
      <c r="P2047" t="n">
        <v>0</v>
      </c>
      <c r="Q2047" t="n">
        <v>0</v>
      </c>
      <c r="R2047" s="2" t="inlineStr"/>
    </row>
    <row r="2048" ht="15" customHeight="1">
      <c r="A2048" t="inlineStr">
        <is>
          <t>A 37129-2019</t>
        </is>
      </c>
      <c r="B2048" s="1" t="n">
        <v>43676</v>
      </c>
      <c r="C2048" s="1" t="n">
        <v>45182</v>
      </c>
      <c r="D2048" t="inlineStr">
        <is>
          <t>JÄMTLANDS LÄN</t>
        </is>
      </c>
      <c r="E2048" t="inlineStr">
        <is>
          <t>BRÄCKE</t>
        </is>
      </c>
      <c r="F2048" t="inlineStr">
        <is>
          <t>SCA</t>
        </is>
      </c>
      <c r="G2048" t="n">
        <v>1.3</v>
      </c>
      <c r="H2048" t="n">
        <v>0</v>
      </c>
      <c r="I2048" t="n">
        <v>0</v>
      </c>
      <c r="J2048" t="n">
        <v>0</v>
      </c>
      <c r="K2048" t="n">
        <v>0</v>
      </c>
      <c r="L2048" t="n">
        <v>0</v>
      </c>
      <c r="M2048" t="n">
        <v>0</v>
      </c>
      <c r="N2048" t="n">
        <v>0</v>
      </c>
      <c r="O2048" t="n">
        <v>0</v>
      </c>
      <c r="P2048" t="n">
        <v>0</v>
      </c>
      <c r="Q2048" t="n">
        <v>0</v>
      </c>
      <c r="R2048" s="2" t="inlineStr"/>
    </row>
    <row r="2049" ht="15" customHeight="1">
      <c r="A2049" t="inlineStr">
        <is>
          <t>A 37222-2019</t>
        </is>
      </c>
      <c r="B2049" s="1" t="n">
        <v>43676</v>
      </c>
      <c r="C2049" s="1" t="n">
        <v>45182</v>
      </c>
      <c r="D2049" t="inlineStr">
        <is>
          <t>JÄMTLANDS LÄN</t>
        </is>
      </c>
      <c r="E2049" t="inlineStr">
        <is>
          <t>ÖSTERSUND</t>
        </is>
      </c>
      <c r="G2049" t="n">
        <v>2.4</v>
      </c>
      <c r="H2049" t="n">
        <v>0</v>
      </c>
      <c r="I2049" t="n">
        <v>0</v>
      </c>
      <c r="J2049" t="n">
        <v>0</v>
      </c>
      <c r="K2049" t="n">
        <v>0</v>
      </c>
      <c r="L2049" t="n">
        <v>0</v>
      </c>
      <c r="M2049" t="n">
        <v>0</v>
      </c>
      <c r="N2049" t="n">
        <v>0</v>
      </c>
      <c r="O2049" t="n">
        <v>0</v>
      </c>
      <c r="P2049" t="n">
        <v>0</v>
      </c>
      <c r="Q2049" t="n">
        <v>0</v>
      </c>
      <c r="R2049" s="2" t="inlineStr"/>
    </row>
    <row r="2050" ht="15" customHeight="1">
      <c r="A2050" t="inlineStr">
        <is>
          <t>A 37295-2019</t>
        </is>
      </c>
      <c r="B2050" s="1" t="n">
        <v>43677</v>
      </c>
      <c r="C2050" s="1" t="n">
        <v>45182</v>
      </c>
      <c r="D2050" t="inlineStr">
        <is>
          <t>JÄMTLANDS LÄN</t>
        </is>
      </c>
      <c r="E2050" t="inlineStr">
        <is>
          <t>BRÄCKE</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37369-2019</t>
        </is>
      </c>
      <c r="B2051" s="1" t="n">
        <v>43678</v>
      </c>
      <c r="C2051" s="1" t="n">
        <v>45182</v>
      </c>
      <c r="D2051" t="inlineStr">
        <is>
          <t>JÄMTLANDS LÄN</t>
        </is>
      </c>
      <c r="E2051" t="inlineStr">
        <is>
          <t>KROKOM</t>
        </is>
      </c>
      <c r="G2051" t="n">
        <v>1.9</v>
      </c>
      <c r="H2051" t="n">
        <v>0</v>
      </c>
      <c r="I2051" t="n">
        <v>0</v>
      </c>
      <c r="J2051" t="n">
        <v>0</v>
      </c>
      <c r="K2051" t="n">
        <v>0</v>
      </c>
      <c r="L2051" t="n">
        <v>0</v>
      </c>
      <c r="M2051" t="n">
        <v>0</v>
      </c>
      <c r="N2051" t="n">
        <v>0</v>
      </c>
      <c r="O2051" t="n">
        <v>0</v>
      </c>
      <c r="P2051" t="n">
        <v>0</v>
      </c>
      <c r="Q2051" t="n">
        <v>0</v>
      </c>
      <c r="R2051" s="2" t="inlineStr"/>
    </row>
    <row r="2052" ht="15" customHeight="1">
      <c r="A2052" t="inlineStr">
        <is>
          <t>A 37426-2019</t>
        </is>
      </c>
      <c r="B2052" s="1" t="n">
        <v>43678</v>
      </c>
      <c r="C2052" s="1" t="n">
        <v>45182</v>
      </c>
      <c r="D2052" t="inlineStr">
        <is>
          <t>JÄMTLANDS LÄN</t>
        </is>
      </c>
      <c r="E2052" t="inlineStr">
        <is>
          <t>BERG</t>
        </is>
      </c>
      <c r="F2052" t="inlineStr">
        <is>
          <t>SCA</t>
        </is>
      </c>
      <c r="G2052" t="n">
        <v>3</v>
      </c>
      <c r="H2052" t="n">
        <v>0</v>
      </c>
      <c r="I2052" t="n">
        <v>0</v>
      </c>
      <c r="J2052" t="n">
        <v>0</v>
      </c>
      <c r="K2052" t="n">
        <v>0</v>
      </c>
      <c r="L2052" t="n">
        <v>0</v>
      </c>
      <c r="M2052" t="n">
        <v>0</v>
      </c>
      <c r="N2052" t="n">
        <v>0</v>
      </c>
      <c r="O2052" t="n">
        <v>0</v>
      </c>
      <c r="P2052" t="n">
        <v>0</v>
      </c>
      <c r="Q2052" t="n">
        <v>0</v>
      </c>
      <c r="R2052" s="2" t="inlineStr"/>
    </row>
    <row r="2053" ht="15" customHeight="1">
      <c r="A2053" t="inlineStr">
        <is>
          <t>A 37441-2019</t>
        </is>
      </c>
      <c r="B2053" s="1" t="n">
        <v>43678</v>
      </c>
      <c r="C2053" s="1" t="n">
        <v>45182</v>
      </c>
      <c r="D2053" t="inlineStr">
        <is>
          <t>JÄMTLANDS LÄN</t>
        </is>
      </c>
      <c r="E2053" t="inlineStr">
        <is>
          <t>RAGUNDA</t>
        </is>
      </c>
      <c r="F2053" t="inlineStr">
        <is>
          <t>SCA</t>
        </is>
      </c>
      <c r="G2053" t="n">
        <v>0.4</v>
      </c>
      <c r="H2053" t="n">
        <v>0</v>
      </c>
      <c r="I2053" t="n">
        <v>0</v>
      </c>
      <c r="J2053" t="n">
        <v>0</v>
      </c>
      <c r="K2053" t="n">
        <v>0</v>
      </c>
      <c r="L2053" t="n">
        <v>0</v>
      </c>
      <c r="M2053" t="n">
        <v>0</v>
      </c>
      <c r="N2053" t="n">
        <v>0</v>
      </c>
      <c r="O2053" t="n">
        <v>0</v>
      </c>
      <c r="P2053" t="n">
        <v>0</v>
      </c>
      <c r="Q2053" t="n">
        <v>0</v>
      </c>
      <c r="R2053" s="2" t="inlineStr"/>
    </row>
    <row r="2054" ht="15" customHeight="1">
      <c r="A2054" t="inlineStr">
        <is>
          <t>A 37890-2019</t>
        </is>
      </c>
      <c r="B2054" s="1" t="n">
        <v>43682</v>
      </c>
      <c r="C2054" s="1" t="n">
        <v>45182</v>
      </c>
      <c r="D2054" t="inlineStr">
        <is>
          <t>JÄMTLANDS LÄN</t>
        </is>
      </c>
      <c r="E2054" t="inlineStr">
        <is>
          <t>BERG</t>
        </is>
      </c>
      <c r="F2054" t="inlineStr">
        <is>
          <t>SCA</t>
        </is>
      </c>
      <c r="G2054" t="n">
        <v>2.5</v>
      </c>
      <c r="H2054" t="n">
        <v>0</v>
      </c>
      <c r="I2054" t="n">
        <v>0</v>
      </c>
      <c r="J2054" t="n">
        <v>0</v>
      </c>
      <c r="K2054" t="n">
        <v>0</v>
      </c>
      <c r="L2054" t="n">
        <v>0</v>
      </c>
      <c r="M2054" t="n">
        <v>0</v>
      </c>
      <c r="N2054" t="n">
        <v>0</v>
      </c>
      <c r="O2054" t="n">
        <v>0</v>
      </c>
      <c r="P2054" t="n">
        <v>0</v>
      </c>
      <c r="Q2054" t="n">
        <v>0</v>
      </c>
      <c r="R2054" s="2" t="inlineStr"/>
    </row>
    <row r="2055" ht="15" customHeight="1">
      <c r="A2055" t="inlineStr">
        <is>
          <t>A 37756-2019</t>
        </is>
      </c>
      <c r="B2055" s="1" t="n">
        <v>43682</v>
      </c>
      <c r="C2055" s="1" t="n">
        <v>45182</v>
      </c>
      <c r="D2055" t="inlineStr">
        <is>
          <t>JÄMTLANDS LÄN</t>
        </is>
      </c>
      <c r="E2055" t="inlineStr">
        <is>
          <t>KROKOM</t>
        </is>
      </c>
      <c r="G2055" t="n">
        <v>2.1</v>
      </c>
      <c r="H2055" t="n">
        <v>0</v>
      </c>
      <c r="I2055" t="n">
        <v>0</v>
      </c>
      <c r="J2055" t="n">
        <v>0</v>
      </c>
      <c r="K2055" t="n">
        <v>0</v>
      </c>
      <c r="L2055" t="n">
        <v>0</v>
      </c>
      <c r="M2055" t="n">
        <v>0</v>
      </c>
      <c r="N2055" t="n">
        <v>0</v>
      </c>
      <c r="O2055" t="n">
        <v>0</v>
      </c>
      <c r="P2055" t="n">
        <v>0</v>
      </c>
      <c r="Q2055" t="n">
        <v>0</v>
      </c>
      <c r="R2055" s="2" t="inlineStr"/>
    </row>
    <row r="2056" ht="15" customHeight="1">
      <c r="A2056" t="inlineStr">
        <is>
          <t>A 37880-2019</t>
        </is>
      </c>
      <c r="B2056" s="1" t="n">
        <v>43682</v>
      </c>
      <c r="C2056" s="1" t="n">
        <v>45182</v>
      </c>
      <c r="D2056" t="inlineStr">
        <is>
          <t>JÄMTLANDS LÄN</t>
        </is>
      </c>
      <c r="E2056" t="inlineStr">
        <is>
          <t>STRÖMSUND</t>
        </is>
      </c>
      <c r="G2056" t="n">
        <v>3.9</v>
      </c>
      <c r="H2056" t="n">
        <v>0</v>
      </c>
      <c r="I2056" t="n">
        <v>0</v>
      </c>
      <c r="J2056" t="n">
        <v>0</v>
      </c>
      <c r="K2056" t="n">
        <v>0</v>
      </c>
      <c r="L2056" t="n">
        <v>0</v>
      </c>
      <c r="M2056" t="n">
        <v>0</v>
      </c>
      <c r="N2056" t="n">
        <v>0</v>
      </c>
      <c r="O2056" t="n">
        <v>0</v>
      </c>
      <c r="P2056" t="n">
        <v>0</v>
      </c>
      <c r="Q2056" t="n">
        <v>0</v>
      </c>
      <c r="R2056" s="2" t="inlineStr"/>
    </row>
    <row r="2057" ht="15" customHeight="1">
      <c r="A2057" t="inlineStr">
        <is>
          <t>A 37879-2019</t>
        </is>
      </c>
      <c r="B2057" s="1" t="n">
        <v>43682</v>
      </c>
      <c r="C2057" s="1" t="n">
        <v>45182</v>
      </c>
      <c r="D2057" t="inlineStr">
        <is>
          <t>JÄMTLANDS LÄN</t>
        </is>
      </c>
      <c r="E2057" t="inlineStr">
        <is>
          <t>STRÖMSUND</t>
        </is>
      </c>
      <c r="F2057" t="inlineStr">
        <is>
          <t>SCA</t>
        </is>
      </c>
      <c r="G2057" t="n">
        <v>5.3</v>
      </c>
      <c r="H2057" t="n">
        <v>0</v>
      </c>
      <c r="I2057" t="n">
        <v>0</v>
      </c>
      <c r="J2057" t="n">
        <v>0</v>
      </c>
      <c r="K2057" t="n">
        <v>0</v>
      </c>
      <c r="L2057" t="n">
        <v>0</v>
      </c>
      <c r="M2057" t="n">
        <v>0</v>
      </c>
      <c r="N2057" t="n">
        <v>0</v>
      </c>
      <c r="O2057" t="n">
        <v>0</v>
      </c>
      <c r="P2057" t="n">
        <v>0</v>
      </c>
      <c r="Q2057" t="n">
        <v>0</v>
      </c>
      <c r="R2057" s="2" t="inlineStr"/>
    </row>
    <row r="2058" ht="15" customHeight="1">
      <c r="A2058" t="inlineStr">
        <is>
          <t>A 38122-2019</t>
        </is>
      </c>
      <c r="B2058" s="1" t="n">
        <v>43683</v>
      </c>
      <c r="C2058" s="1" t="n">
        <v>45182</v>
      </c>
      <c r="D2058" t="inlineStr">
        <is>
          <t>JÄMTLANDS LÄN</t>
        </is>
      </c>
      <c r="E2058" t="inlineStr">
        <is>
          <t>STRÖMSUND</t>
        </is>
      </c>
      <c r="F2058" t="inlineStr">
        <is>
          <t>SCA</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38208-2019</t>
        </is>
      </c>
      <c r="B2059" s="1" t="n">
        <v>43684</v>
      </c>
      <c r="C2059" s="1" t="n">
        <v>45182</v>
      </c>
      <c r="D2059" t="inlineStr">
        <is>
          <t>JÄMTLANDS LÄN</t>
        </is>
      </c>
      <c r="E2059" t="inlineStr">
        <is>
          <t>KROKOM</t>
        </is>
      </c>
      <c r="G2059" t="n">
        <v>6.4</v>
      </c>
      <c r="H2059" t="n">
        <v>0</v>
      </c>
      <c r="I2059" t="n">
        <v>0</v>
      </c>
      <c r="J2059" t="n">
        <v>0</v>
      </c>
      <c r="K2059" t="n">
        <v>0</v>
      </c>
      <c r="L2059" t="n">
        <v>0</v>
      </c>
      <c r="M2059" t="n">
        <v>0</v>
      </c>
      <c r="N2059" t="n">
        <v>0</v>
      </c>
      <c r="O2059" t="n">
        <v>0</v>
      </c>
      <c r="P2059" t="n">
        <v>0</v>
      </c>
      <c r="Q2059" t="n">
        <v>0</v>
      </c>
      <c r="R2059" s="2" t="inlineStr"/>
    </row>
    <row r="2060" ht="15" customHeight="1">
      <c r="A2060" t="inlineStr">
        <is>
          <t>A 38319-2019</t>
        </is>
      </c>
      <c r="B2060" s="1" t="n">
        <v>43684</v>
      </c>
      <c r="C2060" s="1" t="n">
        <v>45182</v>
      </c>
      <c r="D2060" t="inlineStr">
        <is>
          <t>JÄMTLANDS LÄN</t>
        </is>
      </c>
      <c r="E2060" t="inlineStr">
        <is>
          <t>BERG</t>
        </is>
      </c>
      <c r="F2060" t="inlineStr">
        <is>
          <t>SCA</t>
        </is>
      </c>
      <c r="G2060" t="n">
        <v>2.5</v>
      </c>
      <c r="H2060" t="n">
        <v>0</v>
      </c>
      <c r="I2060" t="n">
        <v>0</v>
      </c>
      <c r="J2060" t="n">
        <v>0</v>
      </c>
      <c r="K2060" t="n">
        <v>0</v>
      </c>
      <c r="L2060" t="n">
        <v>0</v>
      </c>
      <c r="M2060" t="n">
        <v>0</v>
      </c>
      <c r="N2060" t="n">
        <v>0</v>
      </c>
      <c r="O2060" t="n">
        <v>0</v>
      </c>
      <c r="P2060" t="n">
        <v>0</v>
      </c>
      <c r="Q2060" t="n">
        <v>0</v>
      </c>
      <c r="R2060" s="2" t="inlineStr"/>
    </row>
    <row r="2061" ht="15" customHeight="1">
      <c r="A2061" t="inlineStr">
        <is>
          <t>A 38662-2019</t>
        </is>
      </c>
      <c r="B2061" s="1" t="n">
        <v>43684</v>
      </c>
      <c r="C2061" s="1" t="n">
        <v>45182</v>
      </c>
      <c r="D2061" t="inlineStr">
        <is>
          <t>JÄMTLANDS LÄN</t>
        </is>
      </c>
      <c r="E2061" t="inlineStr">
        <is>
          <t>ÖSTERSUND</t>
        </is>
      </c>
      <c r="G2061" t="n">
        <v>2.2</v>
      </c>
      <c r="H2061" t="n">
        <v>0</v>
      </c>
      <c r="I2061" t="n">
        <v>0</v>
      </c>
      <c r="J2061" t="n">
        <v>0</v>
      </c>
      <c r="K2061" t="n">
        <v>0</v>
      </c>
      <c r="L2061" t="n">
        <v>0</v>
      </c>
      <c r="M2061" t="n">
        <v>0</v>
      </c>
      <c r="N2061" t="n">
        <v>0</v>
      </c>
      <c r="O2061" t="n">
        <v>0</v>
      </c>
      <c r="P2061" t="n">
        <v>0</v>
      </c>
      <c r="Q2061" t="n">
        <v>0</v>
      </c>
      <c r="R2061" s="2" t="inlineStr"/>
    </row>
    <row r="2062" ht="15" customHeight="1">
      <c r="A2062" t="inlineStr">
        <is>
          <t>A 38283-2019</t>
        </is>
      </c>
      <c r="B2062" s="1" t="n">
        <v>43684</v>
      </c>
      <c r="C2062" s="1" t="n">
        <v>45182</v>
      </c>
      <c r="D2062" t="inlineStr">
        <is>
          <t>JÄMTLANDS LÄN</t>
        </is>
      </c>
      <c r="E2062" t="inlineStr">
        <is>
          <t>HÄRJEDALEN</t>
        </is>
      </c>
      <c r="F2062" t="inlineStr">
        <is>
          <t>Bergvik skog väst AB</t>
        </is>
      </c>
      <c r="G2062" t="n">
        <v>29.5</v>
      </c>
      <c r="H2062" t="n">
        <v>0</v>
      </c>
      <c r="I2062" t="n">
        <v>0</v>
      </c>
      <c r="J2062" t="n">
        <v>0</v>
      </c>
      <c r="K2062" t="n">
        <v>0</v>
      </c>
      <c r="L2062" t="n">
        <v>0</v>
      </c>
      <c r="M2062" t="n">
        <v>0</v>
      </c>
      <c r="N2062" t="n">
        <v>0</v>
      </c>
      <c r="O2062" t="n">
        <v>0</v>
      </c>
      <c r="P2062" t="n">
        <v>0</v>
      </c>
      <c r="Q2062" t="n">
        <v>0</v>
      </c>
      <c r="R2062" s="2" t="inlineStr"/>
    </row>
    <row r="2063" ht="15" customHeight="1">
      <c r="A2063" t="inlineStr">
        <is>
          <t>A 38312-2019</t>
        </is>
      </c>
      <c r="B2063" s="1" t="n">
        <v>43684</v>
      </c>
      <c r="C2063" s="1" t="n">
        <v>45182</v>
      </c>
      <c r="D2063" t="inlineStr">
        <is>
          <t>JÄMTLANDS LÄN</t>
        </is>
      </c>
      <c r="E2063" t="inlineStr">
        <is>
          <t>STRÖMSUND</t>
        </is>
      </c>
      <c r="F2063" t="inlineStr">
        <is>
          <t>SCA</t>
        </is>
      </c>
      <c r="G2063" t="n">
        <v>4.1</v>
      </c>
      <c r="H2063" t="n">
        <v>0</v>
      </c>
      <c r="I2063" t="n">
        <v>0</v>
      </c>
      <c r="J2063" t="n">
        <v>0</v>
      </c>
      <c r="K2063" t="n">
        <v>0</v>
      </c>
      <c r="L2063" t="n">
        <v>0</v>
      </c>
      <c r="M2063" t="n">
        <v>0</v>
      </c>
      <c r="N2063" t="n">
        <v>0</v>
      </c>
      <c r="O2063" t="n">
        <v>0</v>
      </c>
      <c r="P2063" t="n">
        <v>0</v>
      </c>
      <c r="Q2063" t="n">
        <v>0</v>
      </c>
      <c r="R2063" s="2" t="inlineStr"/>
    </row>
    <row r="2064" ht="15" customHeight="1">
      <c r="A2064" t="inlineStr">
        <is>
          <t>A 38577-2019</t>
        </is>
      </c>
      <c r="B2064" s="1" t="n">
        <v>43685</v>
      </c>
      <c r="C2064" s="1" t="n">
        <v>45182</v>
      </c>
      <c r="D2064" t="inlineStr">
        <is>
          <t>JÄMTLANDS LÄN</t>
        </is>
      </c>
      <c r="E2064" t="inlineStr">
        <is>
          <t>STRÖMSUND</t>
        </is>
      </c>
      <c r="F2064" t="inlineStr">
        <is>
          <t>SCA</t>
        </is>
      </c>
      <c r="G2064" t="n">
        <v>3.9</v>
      </c>
      <c r="H2064" t="n">
        <v>0</v>
      </c>
      <c r="I2064" t="n">
        <v>0</v>
      </c>
      <c r="J2064" t="n">
        <v>0</v>
      </c>
      <c r="K2064" t="n">
        <v>0</v>
      </c>
      <c r="L2064" t="n">
        <v>0</v>
      </c>
      <c r="M2064" t="n">
        <v>0</v>
      </c>
      <c r="N2064" t="n">
        <v>0</v>
      </c>
      <c r="O2064" t="n">
        <v>0</v>
      </c>
      <c r="P2064" t="n">
        <v>0</v>
      </c>
      <c r="Q2064" t="n">
        <v>0</v>
      </c>
      <c r="R2064" s="2" t="inlineStr"/>
    </row>
    <row r="2065" ht="15" customHeight="1">
      <c r="A2065" t="inlineStr">
        <is>
          <t>A 38578-2019</t>
        </is>
      </c>
      <c r="B2065" s="1" t="n">
        <v>43685</v>
      </c>
      <c r="C2065" s="1" t="n">
        <v>45182</v>
      </c>
      <c r="D2065" t="inlineStr">
        <is>
          <t>JÄMTLANDS LÄN</t>
        </is>
      </c>
      <c r="E2065" t="inlineStr">
        <is>
          <t>STRÖMSUND</t>
        </is>
      </c>
      <c r="F2065" t="inlineStr">
        <is>
          <t>SCA</t>
        </is>
      </c>
      <c r="G2065" t="n">
        <v>19</v>
      </c>
      <c r="H2065" t="n">
        <v>0</v>
      </c>
      <c r="I2065" t="n">
        <v>0</v>
      </c>
      <c r="J2065" t="n">
        <v>0</v>
      </c>
      <c r="K2065" t="n">
        <v>0</v>
      </c>
      <c r="L2065" t="n">
        <v>0</v>
      </c>
      <c r="M2065" t="n">
        <v>0</v>
      </c>
      <c r="N2065" t="n">
        <v>0</v>
      </c>
      <c r="O2065" t="n">
        <v>0</v>
      </c>
      <c r="P2065" t="n">
        <v>0</v>
      </c>
      <c r="Q2065" t="n">
        <v>0</v>
      </c>
      <c r="R2065" s="2" t="inlineStr"/>
    </row>
    <row r="2066" ht="15" customHeight="1">
      <c r="A2066" t="inlineStr">
        <is>
          <t>A 38777-2019</t>
        </is>
      </c>
      <c r="B2066" s="1" t="n">
        <v>43686</v>
      </c>
      <c r="C2066" s="1" t="n">
        <v>45182</v>
      </c>
      <c r="D2066" t="inlineStr">
        <is>
          <t>JÄMTLANDS LÄN</t>
        </is>
      </c>
      <c r="E2066" t="inlineStr">
        <is>
          <t>BRÄCKE</t>
        </is>
      </c>
      <c r="F2066" t="inlineStr">
        <is>
          <t>SCA</t>
        </is>
      </c>
      <c r="G2066" t="n">
        <v>1.8</v>
      </c>
      <c r="H2066" t="n">
        <v>0</v>
      </c>
      <c r="I2066" t="n">
        <v>0</v>
      </c>
      <c r="J2066" t="n">
        <v>0</v>
      </c>
      <c r="K2066" t="n">
        <v>0</v>
      </c>
      <c r="L2066" t="n">
        <v>0</v>
      </c>
      <c r="M2066" t="n">
        <v>0</v>
      </c>
      <c r="N2066" t="n">
        <v>0</v>
      </c>
      <c r="O2066" t="n">
        <v>0</v>
      </c>
      <c r="P2066" t="n">
        <v>0</v>
      </c>
      <c r="Q2066" t="n">
        <v>0</v>
      </c>
      <c r="R2066" s="2" t="inlineStr"/>
    </row>
    <row r="2067" ht="15" customHeight="1">
      <c r="A2067" t="inlineStr">
        <is>
          <t>A 39459-2019</t>
        </is>
      </c>
      <c r="B2067" s="1" t="n">
        <v>43686</v>
      </c>
      <c r="C2067" s="1" t="n">
        <v>45182</v>
      </c>
      <c r="D2067" t="inlineStr">
        <is>
          <t>JÄMTLANDS LÄN</t>
        </is>
      </c>
      <c r="E2067" t="inlineStr">
        <is>
          <t>ÖSTERSUND</t>
        </is>
      </c>
      <c r="G2067" t="n">
        <v>0.7</v>
      </c>
      <c r="H2067" t="n">
        <v>0</v>
      </c>
      <c r="I2067" t="n">
        <v>0</v>
      </c>
      <c r="J2067" t="n">
        <v>0</v>
      </c>
      <c r="K2067" t="n">
        <v>0</v>
      </c>
      <c r="L2067" t="n">
        <v>0</v>
      </c>
      <c r="M2067" t="n">
        <v>0</v>
      </c>
      <c r="N2067" t="n">
        <v>0</v>
      </c>
      <c r="O2067" t="n">
        <v>0</v>
      </c>
      <c r="P2067" t="n">
        <v>0</v>
      </c>
      <c r="Q2067" t="n">
        <v>0</v>
      </c>
      <c r="R2067" s="2" t="inlineStr"/>
    </row>
    <row r="2068" ht="15" customHeight="1">
      <c r="A2068" t="inlineStr">
        <is>
          <t>A 38859-2019</t>
        </is>
      </c>
      <c r="B2068" s="1" t="n">
        <v>43689</v>
      </c>
      <c r="C2068" s="1" t="n">
        <v>45182</v>
      </c>
      <c r="D2068" t="inlineStr">
        <is>
          <t>JÄMTLANDS LÄN</t>
        </is>
      </c>
      <c r="E2068" t="inlineStr">
        <is>
          <t>HÄRJEDALEN</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39130-2019</t>
        </is>
      </c>
      <c r="B2069" s="1" t="n">
        <v>43689</v>
      </c>
      <c r="C2069" s="1" t="n">
        <v>45182</v>
      </c>
      <c r="D2069" t="inlineStr">
        <is>
          <t>JÄMTLANDS LÄN</t>
        </is>
      </c>
      <c r="E2069" t="inlineStr">
        <is>
          <t>BERG</t>
        </is>
      </c>
      <c r="F2069" t="inlineStr">
        <is>
          <t>SCA</t>
        </is>
      </c>
      <c r="G2069" t="n">
        <v>3.8</v>
      </c>
      <c r="H2069" t="n">
        <v>0</v>
      </c>
      <c r="I2069" t="n">
        <v>0</v>
      </c>
      <c r="J2069" t="n">
        <v>0</v>
      </c>
      <c r="K2069" t="n">
        <v>0</v>
      </c>
      <c r="L2069" t="n">
        <v>0</v>
      </c>
      <c r="M2069" t="n">
        <v>0</v>
      </c>
      <c r="N2069" t="n">
        <v>0</v>
      </c>
      <c r="O2069" t="n">
        <v>0</v>
      </c>
      <c r="P2069" t="n">
        <v>0</v>
      </c>
      <c r="Q2069" t="n">
        <v>0</v>
      </c>
      <c r="R2069" s="2" t="inlineStr"/>
    </row>
    <row r="2070" ht="15" customHeight="1">
      <c r="A2070" t="inlineStr">
        <is>
          <t>A 39128-2019</t>
        </is>
      </c>
      <c r="B2070" s="1" t="n">
        <v>43689</v>
      </c>
      <c r="C2070" s="1" t="n">
        <v>45182</v>
      </c>
      <c r="D2070" t="inlineStr">
        <is>
          <t>JÄMTLANDS LÄN</t>
        </is>
      </c>
      <c r="E2070" t="inlineStr">
        <is>
          <t>BERG</t>
        </is>
      </c>
      <c r="F2070" t="inlineStr">
        <is>
          <t>SCA</t>
        </is>
      </c>
      <c r="G2070" t="n">
        <v>1.6</v>
      </c>
      <c r="H2070" t="n">
        <v>0</v>
      </c>
      <c r="I2070" t="n">
        <v>0</v>
      </c>
      <c r="J2070" t="n">
        <v>0</v>
      </c>
      <c r="K2070" t="n">
        <v>0</v>
      </c>
      <c r="L2070" t="n">
        <v>0</v>
      </c>
      <c r="M2070" t="n">
        <v>0</v>
      </c>
      <c r="N2070" t="n">
        <v>0</v>
      </c>
      <c r="O2070" t="n">
        <v>0</v>
      </c>
      <c r="P2070" t="n">
        <v>0</v>
      </c>
      <c r="Q2070" t="n">
        <v>0</v>
      </c>
      <c r="R2070" s="2" t="inlineStr"/>
    </row>
    <row r="2071" ht="15" customHeight="1">
      <c r="A2071" t="inlineStr">
        <is>
          <t>A 39111-2019</t>
        </is>
      </c>
      <c r="B2071" s="1" t="n">
        <v>43689</v>
      </c>
      <c r="C2071" s="1" t="n">
        <v>45182</v>
      </c>
      <c r="D2071" t="inlineStr">
        <is>
          <t>JÄMTLANDS LÄN</t>
        </is>
      </c>
      <c r="E2071" t="inlineStr">
        <is>
          <t>BRÄCKE</t>
        </is>
      </c>
      <c r="F2071" t="inlineStr">
        <is>
          <t>SCA</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39129-2019</t>
        </is>
      </c>
      <c r="B2072" s="1" t="n">
        <v>43689</v>
      </c>
      <c r="C2072" s="1" t="n">
        <v>45182</v>
      </c>
      <c r="D2072" t="inlineStr">
        <is>
          <t>JÄMTLANDS LÄN</t>
        </is>
      </c>
      <c r="E2072" t="inlineStr">
        <is>
          <t>STRÖMSUND</t>
        </is>
      </c>
      <c r="F2072" t="inlineStr">
        <is>
          <t>SCA</t>
        </is>
      </c>
      <c r="G2072" t="n">
        <v>67.2</v>
      </c>
      <c r="H2072" t="n">
        <v>0</v>
      </c>
      <c r="I2072" t="n">
        <v>0</v>
      </c>
      <c r="J2072" t="n">
        <v>0</v>
      </c>
      <c r="K2072" t="n">
        <v>0</v>
      </c>
      <c r="L2072" t="n">
        <v>0</v>
      </c>
      <c r="M2072" t="n">
        <v>0</v>
      </c>
      <c r="N2072" t="n">
        <v>0</v>
      </c>
      <c r="O2072" t="n">
        <v>0</v>
      </c>
      <c r="P2072" t="n">
        <v>0</v>
      </c>
      <c r="Q2072" t="n">
        <v>0</v>
      </c>
      <c r="R2072" s="2" t="inlineStr"/>
    </row>
    <row r="2073" ht="15" customHeight="1">
      <c r="A2073" t="inlineStr">
        <is>
          <t>A 38884-2019</t>
        </is>
      </c>
      <c r="B2073" s="1" t="n">
        <v>43689</v>
      </c>
      <c r="C2073" s="1" t="n">
        <v>45182</v>
      </c>
      <c r="D2073" t="inlineStr">
        <is>
          <t>JÄMTLANDS LÄN</t>
        </is>
      </c>
      <c r="E2073" t="inlineStr">
        <is>
          <t>HÄRJEDALEN</t>
        </is>
      </c>
      <c r="G2073" t="n">
        <v>2.5</v>
      </c>
      <c r="H2073" t="n">
        <v>0</v>
      </c>
      <c r="I2073" t="n">
        <v>0</v>
      </c>
      <c r="J2073" t="n">
        <v>0</v>
      </c>
      <c r="K2073" t="n">
        <v>0</v>
      </c>
      <c r="L2073" t="n">
        <v>0</v>
      </c>
      <c r="M2073" t="n">
        <v>0</v>
      </c>
      <c r="N2073" t="n">
        <v>0</v>
      </c>
      <c r="O2073" t="n">
        <v>0</v>
      </c>
      <c r="P2073" t="n">
        <v>0</v>
      </c>
      <c r="Q2073" t="n">
        <v>0</v>
      </c>
      <c r="R2073" s="2" t="inlineStr"/>
    </row>
    <row r="2074" ht="15" customHeight="1">
      <c r="A2074" t="inlineStr">
        <is>
          <t>A 39127-2019</t>
        </is>
      </c>
      <c r="B2074" s="1" t="n">
        <v>43689</v>
      </c>
      <c r="C2074" s="1" t="n">
        <v>45182</v>
      </c>
      <c r="D2074" t="inlineStr">
        <is>
          <t>JÄMTLANDS LÄN</t>
        </is>
      </c>
      <c r="E2074" t="inlineStr">
        <is>
          <t>BERG</t>
        </is>
      </c>
      <c r="F2074" t="inlineStr">
        <is>
          <t>SCA</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39226-2019</t>
        </is>
      </c>
      <c r="B2075" s="1" t="n">
        <v>43690</v>
      </c>
      <c r="C2075" s="1" t="n">
        <v>45182</v>
      </c>
      <c r="D2075" t="inlineStr">
        <is>
          <t>JÄMTLANDS LÄN</t>
        </is>
      </c>
      <c r="E2075" t="inlineStr">
        <is>
          <t>STRÖMSUND</t>
        </is>
      </c>
      <c r="G2075" t="n">
        <v>3.3</v>
      </c>
      <c r="H2075" t="n">
        <v>0</v>
      </c>
      <c r="I2075" t="n">
        <v>0</v>
      </c>
      <c r="J2075" t="n">
        <v>0</v>
      </c>
      <c r="K2075" t="n">
        <v>0</v>
      </c>
      <c r="L2075" t="n">
        <v>0</v>
      </c>
      <c r="M2075" t="n">
        <v>0</v>
      </c>
      <c r="N2075" t="n">
        <v>0</v>
      </c>
      <c r="O2075" t="n">
        <v>0</v>
      </c>
      <c r="P2075" t="n">
        <v>0</v>
      </c>
      <c r="Q2075" t="n">
        <v>0</v>
      </c>
      <c r="R2075" s="2" t="inlineStr"/>
    </row>
    <row r="2076" ht="15" customHeight="1">
      <c r="A2076" t="inlineStr">
        <is>
          <t>A 39282-2019</t>
        </is>
      </c>
      <c r="B2076" s="1" t="n">
        <v>43690</v>
      </c>
      <c r="C2076" s="1" t="n">
        <v>45182</v>
      </c>
      <c r="D2076" t="inlineStr">
        <is>
          <t>JÄMTLANDS LÄN</t>
        </is>
      </c>
      <c r="E2076" t="inlineStr">
        <is>
          <t>STRÖMSUND</t>
        </is>
      </c>
      <c r="F2076" t="inlineStr">
        <is>
          <t>Holmen skog AB</t>
        </is>
      </c>
      <c r="G2076" t="n">
        <v>21.2</v>
      </c>
      <c r="H2076" t="n">
        <v>0</v>
      </c>
      <c r="I2076" t="n">
        <v>0</v>
      </c>
      <c r="J2076" t="n">
        <v>0</v>
      </c>
      <c r="K2076" t="n">
        <v>0</v>
      </c>
      <c r="L2076" t="n">
        <v>0</v>
      </c>
      <c r="M2076" t="n">
        <v>0</v>
      </c>
      <c r="N2076" t="n">
        <v>0</v>
      </c>
      <c r="O2076" t="n">
        <v>0</v>
      </c>
      <c r="P2076" t="n">
        <v>0</v>
      </c>
      <c r="Q2076" t="n">
        <v>0</v>
      </c>
      <c r="R2076" s="2" t="inlineStr"/>
    </row>
    <row r="2077" ht="15" customHeight="1">
      <c r="A2077" t="inlineStr">
        <is>
          <t>A 39353-2019</t>
        </is>
      </c>
      <c r="B2077" s="1" t="n">
        <v>43690</v>
      </c>
      <c r="C2077" s="1" t="n">
        <v>45182</v>
      </c>
      <c r="D2077" t="inlineStr">
        <is>
          <t>JÄMTLANDS LÄN</t>
        </is>
      </c>
      <c r="E2077" t="inlineStr">
        <is>
          <t>KROKOM</t>
        </is>
      </c>
      <c r="G2077" t="n">
        <v>7.8</v>
      </c>
      <c r="H2077" t="n">
        <v>0</v>
      </c>
      <c r="I2077" t="n">
        <v>0</v>
      </c>
      <c r="J2077" t="n">
        <v>0</v>
      </c>
      <c r="K2077" t="n">
        <v>0</v>
      </c>
      <c r="L2077" t="n">
        <v>0</v>
      </c>
      <c r="M2077" t="n">
        <v>0</v>
      </c>
      <c r="N2077" t="n">
        <v>0</v>
      </c>
      <c r="O2077" t="n">
        <v>0</v>
      </c>
      <c r="P2077" t="n">
        <v>0</v>
      </c>
      <c r="Q2077" t="n">
        <v>0</v>
      </c>
      <c r="R2077" s="2" t="inlineStr"/>
    </row>
    <row r="2078" ht="15" customHeight="1">
      <c r="A2078" t="inlineStr">
        <is>
          <t>A 39587-2019</t>
        </is>
      </c>
      <c r="B2078" s="1" t="n">
        <v>43691</v>
      </c>
      <c r="C2078" s="1" t="n">
        <v>45182</v>
      </c>
      <c r="D2078" t="inlineStr">
        <is>
          <t>JÄMTLANDS LÄN</t>
        </is>
      </c>
      <c r="E2078" t="inlineStr">
        <is>
          <t>KROKOM</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39645-2019</t>
        </is>
      </c>
      <c r="B2079" s="1" t="n">
        <v>43691</v>
      </c>
      <c r="C2079" s="1" t="n">
        <v>45182</v>
      </c>
      <c r="D2079" t="inlineStr">
        <is>
          <t>JÄMTLANDS LÄN</t>
        </is>
      </c>
      <c r="E2079" t="inlineStr">
        <is>
          <t>BRÄCKE</t>
        </is>
      </c>
      <c r="G2079" t="n">
        <v>2.7</v>
      </c>
      <c r="H2079" t="n">
        <v>0</v>
      </c>
      <c r="I2079" t="n">
        <v>0</v>
      </c>
      <c r="J2079" t="n">
        <v>0</v>
      </c>
      <c r="K2079" t="n">
        <v>0</v>
      </c>
      <c r="L2079" t="n">
        <v>0</v>
      </c>
      <c r="M2079" t="n">
        <v>0</v>
      </c>
      <c r="N2079" t="n">
        <v>0</v>
      </c>
      <c r="O2079" t="n">
        <v>0</v>
      </c>
      <c r="P2079" t="n">
        <v>0</v>
      </c>
      <c r="Q2079" t="n">
        <v>0</v>
      </c>
      <c r="R2079" s="2" t="inlineStr"/>
    </row>
    <row r="2080" ht="15" customHeight="1">
      <c r="A2080" t="inlineStr">
        <is>
          <t>A 39956-2019</t>
        </is>
      </c>
      <c r="B2080" s="1" t="n">
        <v>43692</v>
      </c>
      <c r="C2080" s="1" t="n">
        <v>45182</v>
      </c>
      <c r="D2080" t="inlineStr">
        <is>
          <t>JÄMTLANDS LÄN</t>
        </is>
      </c>
      <c r="E2080" t="inlineStr">
        <is>
          <t>KROKOM</t>
        </is>
      </c>
      <c r="G2080" t="n">
        <v>4.3</v>
      </c>
      <c r="H2080" t="n">
        <v>0</v>
      </c>
      <c r="I2080" t="n">
        <v>0</v>
      </c>
      <c r="J2080" t="n">
        <v>0</v>
      </c>
      <c r="K2080" t="n">
        <v>0</v>
      </c>
      <c r="L2080" t="n">
        <v>0</v>
      </c>
      <c r="M2080" t="n">
        <v>0</v>
      </c>
      <c r="N2080" t="n">
        <v>0</v>
      </c>
      <c r="O2080" t="n">
        <v>0</v>
      </c>
      <c r="P2080" t="n">
        <v>0</v>
      </c>
      <c r="Q2080" t="n">
        <v>0</v>
      </c>
      <c r="R2080" s="2" t="inlineStr"/>
    </row>
    <row r="2081" ht="15" customHeight="1">
      <c r="A2081" t="inlineStr">
        <is>
          <t>A 39924-2019</t>
        </is>
      </c>
      <c r="B2081" s="1" t="n">
        <v>43692</v>
      </c>
      <c r="C2081" s="1" t="n">
        <v>45182</v>
      </c>
      <c r="D2081" t="inlineStr">
        <is>
          <t>JÄMTLANDS LÄN</t>
        </is>
      </c>
      <c r="E2081" t="inlineStr">
        <is>
          <t>STRÖMSUND</t>
        </is>
      </c>
      <c r="F2081" t="inlineStr">
        <is>
          <t>Holmen skog AB</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39943-2019</t>
        </is>
      </c>
      <c r="B2082" s="1" t="n">
        <v>43692</v>
      </c>
      <c r="C2082" s="1" t="n">
        <v>45182</v>
      </c>
      <c r="D2082" t="inlineStr">
        <is>
          <t>JÄMTLANDS LÄN</t>
        </is>
      </c>
      <c r="E2082" t="inlineStr">
        <is>
          <t>KROKOM</t>
        </is>
      </c>
      <c r="G2082" t="n">
        <v>17.9</v>
      </c>
      <c r="H2082" t="n">
        <v>0</v>
      </c>
      <c r="I2082" t="n">
        <v>0</v>
      </c>
      <c r="J2082" t="n">
        <v>0</v>
      </c>
      <c r="K2082" t="n">
        <v>0</v>
      </c>
      <c r="L2082" t="n">
        <v>0</v>
      </c>
      <c r="M2082" t="n">
        <v>0</v>
      </c>
      <c r="N2082" t="n">
        <v>0</v>
      </c>
      <c r="O2082" t="n">
        <v>0</v>
      </c>
      <c r="P2082" t="n">
        <v>0</v>
      </c>
      <c r="Q2082" t="n">
        <v>0</v>
      </c>
      <c r="R2082" s="2" t="inlineStr"/>
    </row>
    <row r="2083" ht="15" customHeight="1">
      <c r="A2083" t="inlineStr">
        <is>
          <t>A 40929-2019</t>
        </is>
      </c>
      <c r="B2083" s="1" t="n">
        <v>43693</v>
      </c>
      <c r="C2083" s="1" t="n">
        <v>45182</v>
      </c>
      <c r="D2083" t="inlineStr">
        <is>
          <t>JÄMTLANDS LÄN</t>
        </is>
      </c>
      <c r="E2083" t="inlineStr">
        <is>
          <t>KROKOM</t>
        </is>
      </c>
      <c r="G2083" t="n">
        <v>1.3</v>
      </c>
      <c r="H2083" t="n">
        <v>0</v>
      </c>
      <c r="I2083" t="n">
        <v>0</v>
      </c>
      <c r="J2083" t="n">
        <v>0</v>
      </c>
      <c r="K2083" t="n">
        <v>0</v>
      </c>
      <c r="L2083" t="n">
        <v>0</v>
      </c>
      <c r="M2083" t="n">
        <v>0</v>
      </c>
      <c r="N2083" t="n">
        <v>0</v>
      </c>
      <c r="O2083" t="n">
        <v>0</v>
      </c>
      <c r="P2083" t="n">
        <v>0</v>
      </c>
      <c r="Q2083" t="n">
        <v>0</v>
      </c>
      <c r="R2083" s="2" t="inlineStr"/>
    </row>
    <row r="2084" ht="15" customHeight="1">
      <c r="A2084" t="inlineStr">
        <is>
          <t>A 40244-2019</t>
        </is>
      </c>
      <c r="B2084" s="1" t="n">
        <v>43694</v>
      </c>
      <c r="C2084" s="1" t="n">
        <v>45182</v>
      </c>
      <c r="D2084" t="inlineStr">
        <is>
          <t>JÄMTLANDS LÄN</t>
        </is>
      </c>
      <c r="E2084" t="inlineStr">
        <is>
          <t>HÄRJEDALEN</t>
        </is>
      </c>
      <c r="G2084" t="n">
        <v>0.2</v>
      </c>
      <c r="H2084" t="n">
        <v>0</v>
      </c>
      <c r="I2084" t="n">
        <v>0</v>
      </c>
      <c r="J2084" t="n">
        <v>0</v>
      </c>
      <c r="K2084" t="n">
        <v>0</v>
      </c>
      <c r="L2084" t="n">
        <v>0</v>
      </c>
      <c r="M2084" t="n">
        <v>0</v>
      </c>
      <c r="N2084" t="n">
        <v>0</v>
      </c>
      <c r="O2084" t="n">
        <v>0</v>
      </c>
      <c r="P2084" t="n">
        <v>0</v>
      </c>
      <c r="Q2084" t="n">
        <v>0</v>
      </c>
      <c r="R2084" s="2" t="inlineStr"/>
    </row>
    <row r="2085" ht="15" customHeight="1">
      <c r="A2085" t="inlineStr">
        <is>
          <t>A 40508-2019</t>
        </is>
      </c>
      <c r="B2085" s="1" t="n">
        <v>43696</v>
      </c>
      <c r="C2085" s="1" t="n">
        <v>45182</v>
      </c>
      <c r="D2085" t="inlineStr">
        <is>
          <t>JÄMTLANDS LÄN</t>
        </is>
      </c>
      <c r="E2085" t="inlineStr">
        <is>
          <t>STRÖMSUND</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40529-2019</t>
        </is>
      </c>
      <c r="B2086" s="1" t="n">
        <v>43696</v>
      </c>
      <c r="C2086" s="1" t="n">
        <v>45182</v>
      </c>
      <c r="D2086" t="inlineStr">
        <is>
          <t>JÄMTLANDS LÄN</t>
        </is>
      </c>
      <c r="E2086" t="inlineStr">
        <is>
          <t>BERG</t>
        </is>
      </c>
      <c r="F2086" t="inlineStr">
        <is>
          <t>SCA</t>
        </is>
      </c>
      <c r="G2086" t="n">
        <v>0.4</v>
      </c>
      <c r="H2086" t="n">
        <v>0</v>
      </c>
      <c r="I2086" t="n">
        <v>0</v>
      </c>
      <c r="J2086" t="n">
        <v>0</v>
      </c>
      <c r="K2086" t="n">
        <v>0</v>
      </c>
      <c r="L2086" t="n">
        <v>0</v>
      </c>
      <c r="M2086" t="n">
        <v>0</v>
      </c>
      <c r="N2086" t="n">
        <v>0</v>
      </c>
      <c r="O2086" t="n">
        <v>0</v>
      </c>
      <c r="P2086" t="n">
        <v>0</v>
      </c>
      <c r="Q2086" t="n">
        <v>0</v>
      </c>
      <c r="R2086" s="2" t="inlineStr"/>
    </row>
    <row r="2087" ht="15" customHeight="1">
      <c r="A2087" t="inlineStr">
        <is>
          <t>A 40584-2019</t>
        </is>
      </c>
      <c r="B2087" s="1" t="n">
        <v>43696</v>
      </c>
      <c r="C2087" s="1" t="n">
        <v>45182</v>
      </c>
      <c r="D2087" t="inlineStr">
        <is>
          <t>JÄMTLANDS LÄN</t>
        </is>
      </c>
      <c r="E2087" t="inlineStr">
        <is>
          <t>BERG</t>
        </is>
      </c>
      <c r="G2087" t="n">
        <v>7.1</v>
      </c>
      <c r="H2087" t="n">
        <v>0</v>
      </c>
      <c r="I2087" t="n">
        <v>0</v>
      </c>
      <c r="J2087" t="n">
        <v>0</v>
      </c>
      <c r="K2087" t="n">
        <v>0</v>
      </c>
      <c r="L2087" t="n">
        <v>0</v>
      </c>
      <c r="M2087" t="n">
        <v>0</v>
      </c>
      <c r="N2087" t="n">
        <v>0</v>
      </c>
      <c r="O2087" t="n">
        <v>0</v>
      </c>
      <c r="P2087" t="n">
        <v>0</v>
      </c>
      <c r="Q2087" t="n">
        <v>0</v>
      </c>
      <c r="R2087" s="2" t="inlineStr"/>
    </row>
    <row r="2088" ht="15" customHeight="1">
      <c r="A2088" t="inlineStr">
        <is>
          <t>A 40668-2019</t>
        </is>
      </c>
      <c r="B2088" s="1" t="n">
        <v>43696</v>
      </c>
      <c r="C2088" s="1" t="n">
        <v>45182</v>
      </c>
      <c r="D2088" t="inlineStr">
        <is>
          <t>JÄMTLANDS LÄN</t>
        </is>
      </c>
      <c r="E2088" t="inlineStr">
        <is>
          <t>BRÄCKE</t>
        </is>
      </c>
      <c r="F2088" t="inlineStr">
        <is>
          <t>SCA</t>
        </is>
      </c>
      <c r="G2088" t="n">
        <v>4.4</v>
      </c>
      <c r="H2088" t="n">
        <v>0</v>
      </c>
      <c r="I2088" t="n">
        <v>0</v>
      </c>
      <c r="J2088" t="n">
        <v>0</v>
      </c>
      <c r="K2088" t="n">
        <v>0</v>
      </c>
      <c r="L2088" t="n">
        <v>0</v>
      </c>
      <c r="M2088" t="n">
        <v>0</v>
      </c>
      <c r="N2088" t="n">
        <v>0</v>
      </c>
      <c r="O2088" t="n">
        <v>0</v>
      </c>
      <c r="P2088" t="n">
        <v>0</v>
      </c>
      <c r="Q2088" t="n">
        <v>0</v>
      </c>
      <c r="R2088" s="2" t="inlineStr"/>
    </row>
    <row r="2089" ht="15" customHeight="1">
      <c r="A2089" t="inlineStr">
        <is>
          <t>A 40478-2019</t>
        </is>
      </c>
      <c r="B2089" s="1" t="n">
        <v>43696</v>
      </c>
      <c r="C2089" s="1" t="n">
        <v>45182</v>
      </c>
      <c r="D2089" t="inlineStr">
        <is>
          <t>JÄMTLANDS LÄN</t>
        </is>
      </c>
      <c r="E2089" t="inlineStr">
        <is>
          <t>BERG</t>
        </is>
      </c>
      <c r="F2089" t="inlineStr">
        <is>
          <t>SCA</t>
        </is>
      </c>
      <c r="G2089" t="n">
        <v>2.1</v>
      </c>
      <c r="H2089" t="n">
        <v>0</v>
      </c>
      <c r="I2089" t="n">
        <v>0</v>
      </c>
      <c r="J2089" t="n">
        <v>0</v>
      </c>
      <c r="K2089" t="n">
        <v>0</v>
      </c>
      <c r="L2089" t="n">
        <v>0</v>
      </c>
      <c r="M2089" t="n">
        <v>0</v>
      </c>
      <c r="N2089" t="n">
        <v>0</v>
      </c>
      <c r="O2089" t="n">
        <v>0</v>
      </c>
      <c r="P2089" t="n">
        <v>0</v>
      </c>
      <c r="Q2089" t="n">
        <v>0</v>
      </c>
      <c r="R2089" s="2" t="inlineStr"/>
    </row>
    <row r="2090" ht="15" customHeight="1">
      <c r="A2090" t="inlineStr">
        <is>
          <t>A 40509-2019</t>
        </is>
      </c>
      <c r="B2090" s="1" t="n">
        <v>43696</v>
      </c>
      <c r="C2090" s="1" t="n">
        <v>45182</v>
      </c>
      <c r="D2090" t="inlineStr">
        <is>
          <t>JÄMTLANDS LÄN</t>
        </is>
      </c>
      <c r="E2090" t="inlineStr">
        <is>
          <t>STRÖMSUND</t>
        </is>
      </c>
      <c r="G2090" t="n">
        <v>16.4</v>
      </c>
      <c r="H2090" t="n">
        <v>0</v>
      </c>
      <c r="I2090" t="n">
        <v>0</v>
      </c>
      <c r="J2090" t="n">
        <v>0</v>
      </c>
      <c r="K2090" t="n">
        <v>0</v>
      </c>
      <c r="L2090" t="n">
        <v>0</v>
      </c>
      <c r="M2090" t="n">
        <v>0</v>
      </c>
      <c r="N2090" t="n">
        <v>0</v>
      </c>
      <c r="O2090" t="n">
        <v>0</v>
      </c>
      <c r="P2090" t="n">
        <v>0</v>
      </c>
      <c r="Q2090" t="n">
        <v>0</v>
      </c>
      <c r="R2090" s="2" t="inlineStr"/>
    </row>
    <row r="2091" ht="15" customHeight="1">
      <c r="A2091" t="inlineStr">
        <is>
          <t>A 40530-2019</t>
        </is>
      </c>
      <c r="B2091" s="1" t="n">
        <v>43696</v>
      </c>
      <c r="C2091" s="1" t="n">
        <v>45182</v>
      </c>
      <c r="D2091" t="inlineStr">
        <is>
          <t>JÄMTLANDS LÄN</t>
        </is>
      </c>
      <c r="E2091" t="inlineStr">
        <is>
          <t>ÖSTERSUND</t>
        </is>
      </c>
      <c r="F2091" t="inlineStr">
        <is>
          <t>SCA</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40670-2019</t>
        </is>
      </c>
      <c r="B2092" s="1" t="n">
        <v>43696</v>
      </c>
      <c r="C2092" s="1" t="n">
        <v>45182</v>
      </c>
      <c r="D2092" t="inlineStr">
        <is>
          <t>JÄMTLANDS LÄN</t>
        </is>
      </c>
      <c r="E2092" t="inlineStr">
        <is>
          <t>STRÖMSUND</t>
        </is>
      </c>
      <c r="F2092" t="inlineStr">
        <is>
          <t>SCA</t>
        </is>
      </c>
      <c r="G2092" t="n">
        <v>8.9</v>
      </c>
      <c r="H2092" t="n">
        <v>0</v>
      </c>
      <c r="I2092" t="n">
        <v>0</v>
      </c>
      <c r="J2092" t="n">
        <v>0</v>
      </c>
      <c r="K2092" t="n">
        <v>0</v>
      </c>
      <c r="L2092" t="n">
        <v>0</v>
      </c>
      <c r="M2092" t="n">
        <v>0</v>
      </c>
      <c r="N2092" t="n">
        <v>0</v>
      </c>
      <c r="O2092" t="n">
        <v>0</v>
      </c>
      <c r="P2092" t="n">
        <v>0</v>
      </c>
      <c r="Q2092" t="n">
        <v>0</v>
      </c>
      <c r="R2092" s="2" t="inlineStr"/>
    </row>
    <row r="2093" ht="15" customHeight="1">
      <c r="A2093" t="inlineStr">
        <is>
          <t>A 40479-2019</t>
        </is>
      </c>
      <c r="B2093" s="1" t="n">
        <v>43696</v>
      </c>
      <c r="C2093" s="1" t="n">
        <v>45182</v>
      </c>
      <c r="D2093" t="inlineStr">
        <is>
          <t>JÄMTLANDS LÄN</t>
        </is>
      </c>
      <c r="E2093" t="inlineStr">
        <is>
          <t>BERG</t>
        </is>
      </c>
      <c r="F2093" t="inlineStr">
        <is>
          <t>SCA</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40491-2019</t>
        </is>
      </c>
      <c r="B2094" s="1" t="n">
        <v>43696</v>
      </c>
      <c r="C2094" s="1" t="n">
        <v>45182</v>
      </c>
      <c r="D2094" t="inlineStr">
        <is>
          <t>JÄMTLANDS LÄN</t>
        </is>
      </c>
      <c r="E2094" t="inlineStr">
        <is>
          <t>KROKOM</t>
        </is>
      </c>
      <c r="F2094" t="inlineStr">
        <is>
          <t>SCA</t>
        </is>
      </c>
      <c r="G2094" t="n">
        <v>4.1</v>
      </c>
      <c r="H2094" t="n">
        <v>0</v>
      </c>
      <c r="I2094" t="n">
        <v>0</v>
      </c>
      <c r="J2094" t="n">
        <v>0</v>
      </c>
      <c r="K2094" t="n">
        <v>0</v>
      </c>
      <c r="L2094" t="n">
        <v>0</v>
      </c>
      <c r="M2094" t="n">
        <v>0</v>
      </c>
      <c r="N2094" t="n">
        <v>0</v>
      </c>
      <c r="O2094" t="n">
        <v>0</v>
      </c>
      <c r="P2094" t="n">
        <v>0</v>
      </c>
      <c r="Q2094" t="n">
        <v>0</v>
      </c>
      <c r="R2094" s="2" t="inlineStr"/>
    </row>
    <row r="2095" ht="15" customHeight="1">
      <c r="A2095" t="inlineStr">
        <is>
          <t>A 40531-2019</t>
        </is>
      </c>
      <c r="B2095" s="1" t="n">
        <v>43696</v>
      </c>
      <c r="C2095" s="1" t="n">
        <v>45182</v>
      </c>
      <c r="D2095" t="inlineStr">
        <is>
          <t>JÄMTLANDS LÄN</t>
        </is>
      </c>
      <c r="E2095" t="inlineStr">
        <is>
          <t>ÖSTERSUND</t>
        </is>
      </c>
      <c r="F2095" t="inlineStr">
        <is>
          <t>SCA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40661-2019</t>
        </is>
      </c>
      <c r="B2096" s="1" t="n">
        <v>43696</v>
      </c>
      <c r="C2096" s="1" t="n">
        <v>45182</v>
      </c>
      <c r="D2096" t="inlineStr">
        <is>
          <t>JÄMTLANDS LÄN</t>
        </is>
      </c>
      <c r="E2096" t="inlineStr">
        <is>
          <t>STRÖMSUND</t>
        </is>
      </c>
      <c r="G2096" t="n">
        <v>2.9</v>
      </c>
      <c r="H2096" t="n">
        <v>0</v>
      </c>
      <c r="I2096" t="n">
        <v>0</v>
      </c>
      <c r="J2096" t="n">
        <v>0</v>
      </c>
      <c r="K2096" t="n">
        <v>0</v>
      </c>
      <c r="L2096" t="n">
        <v>0</v>
      </c>
      <c r="M2096" t="n">
        <v>0</v>
      </c>
      <c r="N2096" t="n">
        <v>0</v>
      </c>
      <c r="O2096" t="n">
        <v>0</v>
      </c>
      <c r="P2096" t="n">
        <v>0</v>
      </c>
      <c r="Q2096" t="n">
        <v>0</v>
      </c>
      <c r="R2096" s="2" t="inlineStr"/>
    </row>
    <row r="2097" ht="15" customHeight="1">
      <c r="A2097" t="inlineStr">
        <is>
          <t>A 41364-2019</t>
        </is>
      </c>
      <c r="B2097" s="1" t="n">
        <v>43696</v>
      </c>
      <c r="C2097" s="1" t="n">
        <v>45182</v>
      </c>
      <c r="D2097" t="inlineStr">
        <is>
          <t>JÄMTLANDS LÄN</t>
        </is>
      </c>
      <c r="E2097" t="inlineStr">
        <is>
          <t>ÖSTERSUND</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41556-2019</t>
        </is>
      </c>
      <c r="B2098" s="1" t="n">
        <v>43696</v>
      </c>
      <c r="C2098" s="1" t="n">
        <v>45182</v>
      </c>
      <c r="D2098" t="inlineStr">
        <is>
          <t>JÄMTLANDS LÄN</t>
        </is>
      </c>
      <c r="E2098" t="inlineStr">
        <is>
          <t>ÖSTERSUND</t>
        </is>
      </c>
      <c r="F2098" t="inlineStr">
        <is>
          <t>SCA</t>
        </is>
      </c>
      <c r="G2098" t="n">
        <v>0.7</v>
      </c>
      <c r="H2098" t="n">
        <v>0</v>
      </c>
      <c r="I2098" t="n">
        <v>0</v>
      </c>
      <c r="J2098" t="n">
        <v>0</v>
      </c>
      <c r="K2098" t="n">
        <v>0</v>
      </c>
      <c r="L2098" t="n">
        <v>0</v>
      </c>
      <c r="M2098" t="n">
        <v>0</v>
      </c>
      <c r="N2098" t="n">
        <v>0</v>
      </c>
      <c r="O2098" t="n">
        <v>0</v>
      </c>
      <c r="P2098" t="n">
        <v>0</v>
      </c>
      <c r="Q2098" t="n">
        <v>0</v>
      </c>
      <c r="R2098" s="2" t="inlineStr"/>
    </row>
    <row r="2099" ht="15" customHeight="1">
      <c r="A2099" t="inlineStr">
        <is>
          <t>A 41007-2019</t>
        </is>
      </c>
      <c r="B2099" s="1" t="n">
        <v>43697</v>
      </c>
      <c r="C2099" s="1" t="n">
        <v>45182</v>
      </c>
      <c r="D2099" t="inlineStr">
        <is>
          <t>JÄMTLANDS LÄN</t>
        </is>
      </c>
      <c r="E2099" t="inlineStr">
        <is>
          <t>STRÖMSUND</t>
        </is>
      </c>
      <c r="G2099" t="n">
        <v>7.2</v>
      </c>
      <c r="H2099" t="n">
        <v>0</v>
      </c>
      <c r="I2099" t="n">
        <v>0</v>
      </c>
      <c r="J2099" t="n">
        <v>0</v>
      </c>
      <c r="K2099" t="n">
        <v>0</v>
      </c>
      <c r="L2099" t="n">
        <v>0</v>
      </c>
      <c r="M2099" t="n">
        <v>0</v>
      </c>
      <c r="N2099" t="n">
        <v>0</v>
      </c>
      <c r="O2099" t="n">
        <v>0</v>
      </c>
      <c r="P2099" t="n">
        <v>0</v>
      </c>
      <c r="Q2099" t="n">
        <v>0</v>
      </c>
      <c r="R2099" s="2" t="inlineStr"/>
    </row>
    <row r="2100" ht="15" customHeight="1">
      <c r="A2100" t="inlineStr">
        <is>
          <t>A 41029-2019</t>
        </is>
      </c>
      <c r="B2100" s="1" t="n">
        <v>43697</v>
      </c>
      <c r="C2100" s="1" t="n">
        <v>45182</v>
      </c>
      <c r="D2100" t="inlineStr">
        <is>
          <t>JÄMTLANDS LÄN</t>
        </is>
      </c>
      <c r="E2100" t="inlineStr">
        <is>
          <t>BRÄCKE</t>
        </is>
      </c>
      <c r="F2100" t="inlineStr">
        <is>
          <t>SCA</t>
        </is>
      </c>
      <c r="G2100" t="n">
        <v>9.199999999999999</v>
      </c>
      <c r="H2100" t="n">
        <v>0</v>
      </c>
      <c r="I2100" t="n">
        <v>0</v>
      </c>
      <c r="J2100" t="n">
        <v>0</v>
      </c>
      <c r="K2100" t="n">
        <v>0</v>
      </c>
      <c r="L2100" t="n">
        <v>0</v>
      </c>
      <c r="M2100" t="n">
        <v>0</v>
      </c>
      <c r="N2100" t="n">
        <v>0</v>
      </c>
      <c r="O2100" t="n">
        <v>0</v>
      </c>
      <c r="P2100" t="n">
        <v>0</v>
      </c>
      <c r="Q2100" t="n">
        <v>0</v>
      </c>
      <c r="R2100" s="2" t="inlineStr"/>
    </row>
    <row r="2101" ht="15" customHeight="1">
      <c r="A2101" t="inlineStr">
        <is>
          <t>A 41028-2019</t>
        </is>
      </c>
      <c r="B2101" s="1" t="n">
        <v>43697</v>
      </c>
      <c r="C2101" s="1" t="n">
        <v>45182</v>
      </c>
      <c r="D2101" t="inlineStr">
        <is>
          <t>JÄMTLANDS LÄN</t>
        </is>
      </c>
      <c r="E2101" t="inlineStr">
        <is>
          <t>BRÄCKE</t>
        </is>
      </c>
      <c r="F2101" t="inlineStr">
        <is>
          <t>SCA</t>
        </is>
      </c>
      <c r="G2101" t="n">
        <v>16.5</v>
      </c>
      <c r="H2101" t="n">
        <v>0</v>
      </c>
      <c r="I2101" t="n">
        <v>0</v>
      </c>
      <c r="J2101" t="n">
        <v>0</v>
      </c>
      <c r="K2101" t="n">
        <v>0</v>
      </c>
      <c r="L2101" t="n">
        <v>0</v>
      </c>
      <c r="M2101" t="n">
        <v>0</v>
      </c>
      <c r="N2101" t="n">
        <v>0</v>
      </c>
      <c r="O2101" t="n">
        <v>0</v>
      </c>
      <c r="P2101" t="n">
        <v>0</v>
      </c>
      <c r="Q2101" t="n">
        <v>0</v>
      </c>
      <c r="R2101" s="2" t="inlineStr"/>
    </row>
    <row r="2102" ht="15" customHeight="1">
      <c r="A2102" t="inlineStr">
        <is>
          <t>A 41042-2019</t>
        </is>
      </c>
      <c r="B2102" s="1" t="n">
        <v>43697</v>
      </c>
      <c r="C2102" s="1" t="n">
        <v>45182</v>
      </c>
      <c r="D2102" t="inlineStr">
        <is>
          <t>JÄMTLANDS LÄN</t>
        </is>
      </c>
      <c r="E2102" t="inlineStr">
        <is>
          <t>STRÖMSUND</t>
        </is>
      </c>
      <c r="F2102" t="inlineStr">
        <is>
          <t>SCA</t>
        </is>
      </c>
      <c r="G2102" t="n">
        <v>58.2</v>
      </c>
      <c r="H2102" t="n">
        <v>0</v>
      </c>
      <c r="I2102" t="n">
        <v>0</v>
      </c>
      <c r="J2102" t="n">
        <v>0</v>
      </c>
      <c r="K2102" t="n">
        <v>0</v>
      </c>
      <c r="L2102" t="n">
        <v>0</v>
      </c>
      <c r="M2102" t="n">
        <v>0</v>
      </c>
      <c r="N2102" t="n">
        <v>0</v>
      </c>
      <c r="O2102" t="n">
        <v>0</v>
      </c>
      <c r="P2102" t="n">
        <v>0</v>
      </c>
      <c r="Q2102" t="n">
        <v>0</v>
      </c>
      <c r="R2102" s="2" t="inlineStr"/>
    </row>
    <row r="2103" ht="15" customHeight="1">
      <c r="A2103" t="inlineStr">
        <is>
          <t>A 41033-2019</t>
        </is>
      </c>
      <c r="B2103" s="1" t="n">
        <v>43697</v>
      </c>
      <c r="C2103" s="1" t="n">
        <v>45182</v>
      </c>
      <c r="D2103" t="inlineStr">
        <is>
          <t>JÄMTLANDS LÄN</t>
        </is>
      </c>
      <c r="E2103" t="inlineStr">
        <is>
          <t>BRÄCKE</t>
        </is>
      </c>
      <c r="F2103" t="inlineStr">
        <is>
          <t>SCA</t>
        </is>
      </c>
      <c r="G2103" t="n">
        <v>27.1</v>
      </c>
      <c r="H2103" t="n">
        <v>0</v>
      </c>
      <c r="I2103" t="n">
        <v>0</v>
      </c>
      <c r="J2103" t="n">
        <v>0</v>
      </c>
      <c r="K2103" t="n">
        <v>0</v>
      </c>
      <c r="L2103" t="n">
        <v>0</v>
      </c>
      <c r="M2103" t="n">
        <v>0</v>
      </c>
      <c r="N2103" t="n">
        <v>0</v>
      </c>
      <c r="O2103" t="n">
        <v>0</v>
      </c>
      <c r="P2103" t="n">
        <v>0</v>
      </c>
      <c r="Q2103" t="n">
        <v>0</v>
      </c>
      <c r="R2103" s="2" t="inlineStr"/>
    </row>
    <row r="2104" ht="15" customHeight="1">
      <c r="A2104" t="inlineStr">
        <is>
          <t>A 41107-2019</t>
        </is>
      </c>
      <c r="B2104" s="1" t="n">
        <v>43698</v>
      </c>
      <c r="C2104" s="1" t="n">
        <v>45182</v>
      </c>
      <c r="D2104" t="inlineStr">
        <is>
          <t>JÄMTLANDS LÄN</t>
        </is>
      </c>
      <c r="E2104" t="inlineStr">
        <is>
          <t>ÅRE</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41332-2019</t>
        </is>
      </c>
      <c r="B2105" s="1" t="n">
        <v>43698</v>
      </c>
      <c r="C2105" s="1" t="n">
        <v>45182</v>
      </c>
      <c r="D2105" t="inlineStr">
        <is>
          <t>JÄMTLANDS LÄN</t>
        </is>
      </c>
      <c r="E2105" t="inlineStr">
        <is>
          <t>BRÄCKE</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41491-2019</t>
        </is>
      </c>
      <c r="B2106" s="1" t="n">
        <v>43699</v>
      </c>
      <c r="C2106" s="1" t="n">
        <v>45182</v>
      </c>
      <c r="D2106" t="inlineStr">
        <is>
          <t>JÄMTLANDS LÄN</t>
        </is>
      </c>
      <c r="E2106" t="inlineStr">
        <is>
          <t>KROKOM</t>
        </is>
      </c>
      <c r="G2106" t="n">
        <v>9.1</v>
      </c>
      <c r="H2106" t="n">
        <v>0</v>
      </c>
      <c r="I2106" t="n">
        <v>0</v>
      </c>
      <c r="J2106" t="n">
        <v>0</v>
      </c>
      <c r="K2106" t="n">
        <v>0</v>
      </c>
      <c r="L2106" t="n">
        <v>0</v>
      </c>
      <c r="M2106" t="n">
        <v>0</v>
      </c>
      <c r="N2106" t="n">
        <v>0</v>
      </c>
      <c r="O2106" t="n">
        <v>0</v>
      </c>
      <c r="P2106" t="n">
        <v>0</v>
      </c>
      <c r="Q2106" t="n">
        <v>0</v>
      </c>
      <c r="R2106" s="2" t="inlineStr"/>
    </row>
    <row r="2107" ht="15" customHeight="1">
      <c r="A2107" t="inlineStr">
        <is>
          <t>A 42311-2019</t>
        </is>
      </c>
      <c r="B2107" s="1" t="n">
        <v>43699</v>
      </c>
      <c r="C2107" s="1" t="n">
        <v>45182</v>
      </c>
      <c r="D2107" t="inlineStr">
        <is>
          <t>JÄMTLANDS LÄN</t>
        </is>
      </c>
      <c r="E2107" t="inlineStr">
        <is>
          <t>ÅRE</t>
        </is>
      </c>
      <c r="G2107" t="n">
        <v>13.7</v>
      </c>
      <c r="H2107" t="n">
        <v>0</v>
      </c>
      <c r="I2107" t="n">
        <v>0</v>
      </c>
      <c r="J2107" t="n">
        <v>0</v>
      </c>
      <c r="K2107" t="n">
        <v>0</v>
      </c>
      <c r="L2107" t="n">
        <v>0</v>
      </c>
      <c r="M2107" t="n">
        <v>0</v>
      </c>
      <c r="N2107" t="n">
        <v>0</v>
      </c>
      <c r="O2107" t="n">
        <v>0</v>
      </c>
      <c r="P2107" t="n">
        <v>0</v>
      </c>
      <c r="Q2107" t="n">
        <v>0</v>
      </c>
      <c r="R2107" s="2" t="inlineStr"/>
    </row>
    <row r="2108" ht="15" customHeight="1">
      <c r="A2108" t="inlineStr">
        <is>
          <t>A 41588-2019</t>
        </is>
      </c>
      <c r="B2108" s="1" t="n">
        <v>43699</v>
      </c>
      <c r="C2108" s="1" t="n">
        <v>45182</v>
      </c>
      <c r="D2108" t="inlineStr">
        <is>
          <t>JÄMTLANDS LÄN</t>
        </is>
      </c>
      <c r="E2108" t="inlineStr">
        <is>
          <t>ÖSTERSUND</t>
        </is>
      </c>
      <c r="G2108" t="n">
        <v>26.7</v>
      </c>
      <c r="H2108" t="n">
        <v>0</v>
      </c>
      <c r="I2108" t="n">
        <v>0</v>
      </c>
      <c r="J2108" t="n">
        <v>0</v>
      </c>
      <c r="K2108" t="n">
        <v>0</v>
      </c>
      <c r="L2108" t="n">
        <v>0</v>
      </c>
      <c r="M2108" t="n">
        <v>0</v>
      </c>
      <c r="N2108" t="n">
        <v>0</v>
      </c>
      <c r="O2108" t="n">
        <v>0</v>
      </c>
      <c r="P2108" t="n">
        <v>0</v>
      </c>
      <c r="Q2108" t="n">
        <v>0</v>
      </c>
      <c r="R2108" s="2" t="inlineStr"/>
    </row>
    <row r="2109" ht="15" customHeight="1">
      <c r="A2109" t="inlineStr">
        <is>
          <t>A 41781-2019</t>
        </is>
      </c>
      <c r="B2109" s="1" t="n">
        <v>43699</v>
      </c>
      <c r="C2109" s="1" t="n">
        <v>45182</v>
      </c>
      <c r="D2109" t="inlineStr">
        <is>
          <t>JÄMTLANDS LÄN</t>
        </is>
      </c>
      <c r="E2109" t="inlineStr">
        <is>
          <t>BRÄCKE</t>
        </is>
      </c>
      <c r="F2109" t="inlineStr">
        <is>
          <t>SCA</t>
        </is>
      </c>
      <c r="G2109" t="n">
        <v>8.1</v>
      </c>
      <c r="H2109" t="n">
        <v>0</v>
      </c>
      <c r="I2109" t="n">
        <v>0</v>
      </c>
      <c r="J2109" t="n">
        <v>0</v>
      </c>
      <c r="K2109" t="n">
        <v>0</v>
      </c>
      <c r="L2109" t="n">
        <v>0</v>
      </c>
      <c r="M2109" t="n">
        <v>0</v>
      </c>
      <c r="N2109" t="n">
        <v>0</v>
      </c>
      <c r="O2109" t="n">
        <v>0</v>
      </c>
      <c r="P2109" t="n">
        <v>0</v>
      </c>
      <c r="Q2109" t="n">
        <v>0</v>
      </c>
      <c r="R2109" s="2" t="inlineStr"/>
    </row>
    <row r="2110" ht="15" customHeight="1">
      <c r="A2110" t="inlineStr">
        <is>
          <t>A 42237-2019</t>
        </is>
      </c>
      <c r="B2110" s="1" t="n">
        <v>43703</v>
      </c>
      <c r="C2110" s="1" t="n">
        <v>45182</v>
      </c>
      <c r="D2110" t="inlineStr">
        <is>
          <t>JÄMTLANDS LÄN</t>
        </is>
      </c>
      <c r="E2110" t="inlineStr">
        <is>
          <t>KROKOM</t>
        </is>
      </c>
      <c r="G2110" t="n">
        <v>7.1</v>
      </c>
      <c r="H2110" t="n">
        <v>0</v>
      </c>
      <c r="I2110" t="n">
        <v>0</v>
      </c>
      <c r="J2110" t="n">
        <v>0</v>
      </c>
      <c r="K2110" t="n">
        <v>0</v>
      </c>
      <c r="L2110" t="n">
        <v>0</v>
      </c>
      <c r="M2110" t="n">
        <v>0</v>
      </c>
      <c r="N2110" t="n">
        <v>0</v>
      </c>
      <c r="O2110" t="n">
        <v>0</v>
      </c>
      <c r="P2110" t="n">
        <v>0</v>
      </c>
      <c r="Q2110" t="n">
        <v>0</v>
      </c>
      <c r="R2110" s="2" t="inlineStr"/>
    </row>
    <row r="2111" ht="15" customHeight="1">
      <c r="A2111" t="inlineStr">
        <is>
          <t>A 43295-2019</t>
        </is>
      </c>
      <c r="B2111" s="1" t="n">
        <v>43703</v>
      </c>
      <c r="C2111" s="1" t="n">
        <v>45182</v>
      </c>
      <c r="D2111" t="inlineStr">
        <is>
          <t>JÄMTLANDS LÄN</t>
        </is>
      </c>
      <c r="E2111" t="inlineStr">
        <is>
          <t>BERG</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42123-2019</t>
        </is>
      </c>
      <c r="B2112" s="1" t="n">
        <v>43703</v>
      </c>
      <c r="C2112" s="1" t="n">
        <v>45182</v>
      </c>
      <c r="D2112" t="inlineStr">
        <is>
          <t>JÄMTLANDS LÄN</t>
        </is>
      </c>
      <c r="E2112" t="inlineStr">
        <is>
          <t>HÄRJEDALEN</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42258-2019</t>
        </is>
      </c>
      <c r="B2113" s="1" t="n">
        <v>43703</v>
      </c>
      <c r="C2113" s="1" t="n">
        <v>45182</v>
      </c>
      <c r="D2113" t="inlineStr">
        <is>
          <t>JÄMTLANDS LÄN</t>
        </is>
      </c>
      <c r="E2113" t="inlineStr">
        <is>
          <t>KROKOM</t>
        </is>
      </c>
      <c r="G2113" t="n">
        <v>4.9</v>
      </c>
      <c r="H2113" t="n">
        <v>0</v>
      </c>
      <c r="I2113" t="n">
        <v>0</v>
      </c>
      <c r="J2113" t="n">
        <v>0</v>
      </c>
      <c r="K2113" t="n">
        <v>0</v>
      </c>
      <c r="L2113" t="n">
        <v>0</v>
      </c>
      <c r="M2113" t="n">
        <v>0</v>
      </c>
      <c r="N2113" t="n">
        <v>0</v>
      </c>
      <c r="O2113" t="n">
        <v>0</v>
      </c>
      <c r="P2113" t="n">
        <v>0</v>
      </c>
      <c r="Q2113" t="n">
        <v>0</v>
      </c>
      <c r="R2113" s="2" t="inlineStr"/>
    </row>
    <row r="2114" ht="15" customHeight="1">
      <c r="A2114" t="inlineStr">
        <is>
          <t>A 42420-2019</t>
        </is>
      </c>
      <c r="B2114" s="1" t="n">
        <v>43703</v>
      </c>
      <c r="C2114" s="1" t="n">
        <v>45182</v>
      </c>
      <c r="D2114" t="inlineStr">
        <is>
          <t>JÄMTLANDS LÄN</t>
        </is>
      </c>
      <c r="E2114" t="inlineStr">
        <is>
          <t>STRÖMSUND</t>
        </is>
      </c>
      <c r="G2114" t="n">
        <v>8.4</v>
      </c>
      <c r="H2114" t="n">
        <v>0</v>
      </c>
      <c r="I2114" t="n">
        <v>0</v>
      </c>
      <c r="J2114" t="n">
        <v>0</v>
      </c>
      <c r="K2114" t="n">
        <v>0</v>
      </c>
      <c r="L2114" t="n">
        <v>0</v>
      </c>
      <c r="M2114" t="n">
        <v>0</v>
      </c>
      <c r="N2114" t="n">
        <v>0</v>
      </c>
      <c r="O2114" t="n">
        <v>0</v>
      </c>
      <c r="P2114" t="n">
        <v>0</v>
      </c>
      <c r="Q2114" t="n">
        <v>0</v>
      </c>
      <c r="R2114" s="2" t="inlineStr"/>
    </row>
    <row r="2115" ht="15" customHeight="1">
      <c r="A2115" t="inlineStr">
        <is>
          <t>A 43249-2019</t>
        </is>
      </c>
      <c r="B2115" s="1" t="n">
        <v>43703</v>
      </c>
      <c r="C2115" s="1" t="n">
        <v>45182</v>
      </c>
      <c r="D2115" t="inlineStr">
        <is>
          <t>JÄMTLANDS LÄN</t>
        </is>
      </c>
      <c r="E2115" t="inlineStr">
        <is>
          <t>ÖSTERSUND</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43425-2019</t>
        </is>
      </c>
      <c r="B2116" s="1" t="n">
        <v>43703</v>
      </c>
      <c r="C2116" s="1" t="n">
        <v>45182</v>
      </c>
      <c r="D2116" t="inlineStr">
        <is>
          <t>JÄMTLANDS LÄN</t>
        </is>
      </c>
      <c r="E2116" t="inlineStr">
        <is>
          <t>ÖSTERSUND</t>
        </is>
      </c>
      <c r="G2116" t="n">
        <v>2.4</v>
      </c>
      <c r="H2116" t="n">
        <v>0</v>
      </c>
      <c r="I2116" t="n">
        <v>0</v>
      </c>
      <c r="J2116" t="n">
        <v>0</v>
      </c>
      <c r="K2116" t="n">
        <v>0</v>
      </c>
      <c r="L2116" t="n">
        <v>0</v>
      </c>
      <c r="M2116" t="n">
        <v>0</v>
      </c>
      <c r="N2116" t="n">
        <v>0</v>
      </c>
      <c r="O2116" t="n">
        <v>0</v>
      </c>
      <c r="P2116" t="n">
        <v>0</v>
      </c>
      <c r="Q2116" t="n">
        <v>0</v>
      </c>
      <c r="R2116" s="2" t="inlineStr"/>
    </row>
    <row r="2117" ht="15" customHeight="1">
      <c r="A2117" t="inlineStr">
        <is>
          <t>A 42537-2019</t>
        </is>
      </c>
      <c r="B2117" s="1" t="n">
        <v>43704</v>
      </c>
      <c r="C2117" s="1" t="n">
        <v>45182</v>
      </c>
      <c r="D2117" t="inlineStr">
        <is>
          <t>JÄMTLANDS LÄN</t>
        </is>
      </c>
      <c r="E2117" t="inlineStr">
        <is>
          <t>KROKOM</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42547-2019</t>
        </is>
      </c>
      <c r="B2118" s="1" t="n">
        <v>43704</v>
      </c>
      <c r="C2118" s="1" t="n">
        <v>45182</v>
      </c>
      <c r="D2118" t="inlineStr">
        <is>
          <t>JÄMTLANDS LÄN</t>
        </is>
      </c>
      <c r="E2118" t="inlineStr">
        <is>
          <t>KROKOM</t>
        </is>
      </c>
      <c r="F2118" t="inlineStr">
        <is>
          <t>Övriga Aktiebolag</t>
        </is>
      </c>
      <c r="G2118" t="n">
        <v>27.5</v>
      </c>
      <c r="H2118" t="n">
        <v>0</v>
      </c>
      <c r="I2118" t="n">
        <v>0</v>
      </c>
      <c r="J2118" t="n">
        <v>0</v>
      </c>
      <c r="K2118" t="n">
        <v>0</v>
      </c>
      <c r="L2118" t="n">
        <v>0</v>
      </c>
      <c r="M2118" t="n">
        <v>0</v>
      </c>
      <c r="N2118" t="n">
        <v>0</v>
      </c>
      <c r="O2118" t="n">
        <v>0</v>
      </c>
      <c r="P2118" t="n">
        <v>0</v>
      </c>
      <c r="Q2118" t="n">
        <v>0</v>
      </c>
      <c r="R2118" s="2" t="inlineStr"/>
    </row>
    <row r="2119" ht="15" customHeight="1">
      <c r="A2119" t="inlineStr">
        <is>
          <t>A 42785-2019</t>
        </is>
      </c>
      <c r="B2119" s="1" t="n">
        <v>43704</v>
      </c>
      <c r="C2119" s="1" t="n">
        <v>45182</v>
      </c>
      <c r="D2119" t="inlineStr">
        <is>
          <t>JÄMTLANDS LÄN</t>
        </is>
      </c>
      <c r="E2119" t="inlineStr">
        <is>
          <t>RAGUNDA</t>
        </is>
      </c>
      <c r="F2119" t="inlineStr">
        <is>
          <t>SCA</t>
        </is>
      </c>
      <c r="G2119" t="n">
        <v>1</v>
      </c>
      <c r="H2119" t="n">
        <v>0</v>
      </c>
      <c r="I2119" t="n">
        <v>0</v>
      </c>
      <c r="J2119" t="n">
        <v>0</v>
      </c>
      <c r="K2119" t="n">
        <v>0</v>
      </c>
      <c r="L2119" t="n">
        <v>0</v>
      </c>
      <c r="M2119" t="n">
        <v>0</v>
      </c>
      <c r="N2119" t="n">
        <v>0</v>
      </c>
      <c r="O2119" t="n">
        <v>0</v>
      </c>
      <c r="P2119" t="n">
        <v>0</v>
      </c>
      <c r="Q2119" t="n">
        <v>0</v>
      </c>
      <c r="R2119" s="2" t="inlineStr"/>
    </row>
    <row r="2120" ht="15" customHeight="1">
      <c r="A2120" t="inlineStr">
        <is>
          <t>A 42602-2019</t>
        </is>
      </c>
      <c r="B2120" s="1" t="n">
        <v>43704</v>
      </c>
      <c r="C2120" s="1" t="n">
        <v>45182</v>
      </c>
      <c r="D2120" t="inlineStr">
        <is>
          <t>JÄMTLANDS LÄN</t>
        </is>
      </c>
      <c r="E2120" t="inlineStr">
        <is>
          <t>KROKOM</t>
        </is>
      </c>
      <c r="G2120" t="n">
        <v>3.9</v>
      </c>
      <c r="H2120" t="n">
        <v>0</v>
      </c>
      <c r="I2120" t="n">
        <v>0</v>
      </c>
      <c r="J2120" t="n">
        <v>0</v>
      </c>
      <c r="K2120" t="n">
        <v>0</v>
      </c>
      <c r="L2120" t="n">
        <v>0</v>
      </c>
      <c r="M2120" t="n">
        <v>0</v>
      </c>
      <c r="N2120" t="n">
        <v>0</v>
      </c>
      <c r="O2120" t="n">
        <v>0</v>
      </c>
      <c r="P2120" t="n">
        <v>0</v>
      </c>
      <c r="Q2120" t="n">
        <v>0</v>
      </c>
      <c r="R2120" s="2" t="inlineStr"/>
    </row>
    <row r="2121" ht="15" customHeight="1">
      <c r="A2121" t="inlineStr">
        <is>
          <t>A 42788-2019</t>
        </is>
      </c>
      <c r="B2121" s="1" t="n">
        <v>43704</v>
      </c>
      <c r="C2121" s="1" t="n">
        <v>45182</v>
      </c>
      <c r="D2121" t="inlineStr">
        <is>
          <t>JÄMTLANDS LÄN</t>
        </is>
      </c>
      <c r="E2121" t="inlineStr">
        <is>
          <t>RAGUNDA</t>
        </is>
      </c>
      <c r="F2121" t="inlineStr">
        <is>
          <t>SCA</t>
        </is>
      </c>
      <c r="G2121" t="n">
        <v>20.3</v>
      </c>
      <c r="H2121" t="n">
        <v>0</v>
      </c>
      <c r="I2121" t="n">
        <v>0</v>
      </c>
      <c r="J2121" t="n">
        <v>0</v>
      </c>
      <c r="K2121" t="n">
        <v>0</v>
      </c>
      <c r="L2121" t="n">
        <v>0</v>
      </c>
      <c r="M2121" t="n">
        <v>0</v>
      </c>
      <c r="N2121" t="n">
        <v>0</v>
      </c>
      <c r="O2121" t="n">
        <v>0</v>
      </c>
      <c r="P2121" t="n">
        <v>0</v>
      </c>
      <c r="Q2121" t="n">
        <v>0</v>
      </c>
      <c r="R2121" s="2" t="inlineStr"/>
    </row>
    <row r="2122" ht="15" customHeight="1">
      <c r="A2122" t="inlineStr">
        <is>
          <t>A 42498-2019</t>
        </is>
      </c>
      <c r="B2122" s="1" t="n">
        <v>43704</v>
      </c>
      <c r="C2122" s="1" t="n">
        <v>45182</v>
      </c>
      <c r="D2122" t="inlineStr">
        <is>
          <t>JÄMTLANDS LÄN</t>
        </is>
      </c>
      <c r="E2122" t="inlineStr">
        <is>
          <t>KROKOM</t>
        </is>
      </c>
      <c r="F2122" t="inlineStr">
        <is>
          <t>Övriga Aktiebolag</t>
        </is>
      </c>
      <c r="G2122" t="n">
        <v>3.9</v>
      </c>
      <c r="H2122" t="n">
        <v>0</v>
      </c>
      <c r="I2122" t="n">
        <v>0</v>
      </c>
      <c r="J2122" t="n">
        <v>0</v>
      </c>
      <c r="K2122" t="n">
        <v>0</v>
      </c>
      <c r="L2122" t="n">
        <v>0</v>
      </c>
      <c r="M2122" t="n">
        <v>0</v>
      </c>
      <c r="N2122" t="n">
        <v>0</v>
      </c>
      <c r="O2122" t="n">
        <v>0</v>
      </c>
      <c r="P2122" t="n">
        <v>0</v>
      </c>
      <c r="Q2122" t="n">
        <v>0</v>
      </c>
      <c r="R2122" s="2" t="inlineStr"/>
    </row>
    <row r="2123" ht="15" customHeight="1">
      <c r="A2123" t="inlineStr">
        <is>
          <t>A 42512-2019</t>
        </is>
      </c>
      <c r="B2123" s="1" t="n">
        <v>43704</v>
      </c>
      <c r="C2123" s="1" t="n">
        <v>45182</v>
      </c>
      <c r="D2123" t="inlineStr">
        <is>
          <t>JÄMTLANDS LÄN</t>
        </is>
      </c>
      <c r="E2123" t="inlineStr">
        <is>
          <t>KROKOM</t>
        </is>
      </c>
      <c r="F2123" t="inlineStr">
        <is>
          <t>Övriga Aktiebolag</t>
        </is>
      </c>
      <c r="G2123" t="n">
        <v>3.1</v>
      </c>
      <c r="H2123" t="n">
        <v>0</v>
      </c>
      <c r="I2123" t="n">
        <v>0</v>
      </c>
      <c r="J2123" t="n">
        <v>0</v>
      </c>
      <c r="K2123" t="n">
        <v>0</v>
      </c>
      <c r="L2123" t="n">
        <v>0</v>
      </c>
      <c r="M2123" t="n">
        <v>0</v>
      </c>
      <c r="N2123" t="n">
        <v>0</v>
      </c>
      <c r="O2123" t="n">
        <v>0</v>
      </c>
      <c r="P2123" t="n">
        <v>0</v>
      </c>
      <c r="Q2123" t="n">
        <v>0</v>
      </c>
      <c r="R2123" s="2" t="inlineStr"/>
    </row>
    <row r="2124" ht="15" customHeight="1">
      <c r="A2124" t="inlineStr">
        <is>
          <t>A 42635-2019</t>
        </is>
      </c>
      <c r="B2124" s="1" t="n">
        <v>43704</v>
      </c>
      <c r="C2124" s="1" t="n">
        <v>45182</v>
      </c>
      <c r="D2124" t="inlineStr">
        <is>
          <t>JÄMTLANDS LÄN</t>
        </is>
      </c>
      <c r="E2124" t="inlineStr">
        <is>
          <t>KROKOM</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42786-2019</t>
        </is>
      </c>
      <c r="B2125" s="1" t="n">
        <v>43704</v>
      </c>
      <c r="C2125" s="1" t="n">
        <v>45182</v>
      </c>
      <c r="D2125" t="inlineStr">
        <is>
          <t>JÄMTLANDS LÄN</t>
        </is>
      </c>
      <c r="E2125" t="inlineStr">
        <is>
          <t>RAGUNDA</t>
        </is>
      </c>
      <c r="F2125" t="inlineStr">
        <is>
          <t>SCA</t>
        </is>
      </c>
      <c r="G2125" t="n">
        <v>9.699999999999999</v>
      </c>
      <c r="H2125" t="n">
        <v>0</v>
      </c>
      <c r="I2125" t="n">
        <v>0</v>
      </c>
      <c r="J2125" t="n">
        <v>0</v>
      </c>
      <c r="K2125" t="n">
        <v>0</v>
      </c>
      <c r="L2125" t="n">
        <v>0</v>
      </c>
      <c r="M2125" t="n">
        <v>0</v>
      </c>
      <c r="N2125" t="n">
        <v>0</v>
      </c>
      <c r="O2125" t="n">
        <v>0</v>
      </c>
      <c r="P2125" t="n">
        <v>0</v>
      </c>
      <c r="Q2125" t="n">
        <v>0</v>
      </c>
      <c r="R2125" s="2" t="inlineStr"/>
    </row>
    <row r="2126" ht="15" customHeight="1">
      <c r="A2126" t="inlineStr">
        <is>
          <t>A 43142-2019</t>
        </is>
      </c>
      <c r="B2126" s="1" t="n">
        <v>43705</v>
      </c>
      <c r="C2126" s="1" t="n">
        <v>45182</v>
      </c>
      <c r="D2126" t="inlineStr">
        <is>
          <t>JÄMTLANDS LÄN</t>
        </is>
      </c>
      <c r="E2126" t="inlineStr">
        <is>
          <t>HÄRJEDALEN</t>
        </is>
      </c>
      <c r="G2126" t="n">
        <v>3.2</v>
      </c>
      <c r="H2126" t="n">
        <v>0</v>
      </c>
      <c r="I2126" t="n">
        <v>0</v>
      </c>
      <c r="J2126" t="n">
        <v>0</v>
      </c>
      <c r="K2126" t="n">
        <v>0</v>
      </c>
      <c r="L2126" t="n">
        <v>0</v>
      </c>
      <c r="M2126" t="n">
        <v>0</v>
      </c>
      <c r="N2126" t="n">
        <v>0</v>
      </c>
      <c r="O2126" t="n">
        <v>0</v>
      </c>
      <c r="P2126" t="n">
        <v>0</v>
      </c>
      <c r="Q2126" t="n">
        <v>0</v>
      </c>
      <c r="R2126" s="2" t="inlineStr"/>
    </row>
    <row r="2127" ht="15" customHeight="1">
      <c r="A2127" t="inlineStr">
        <is>
          <t>A 43210-2019</t>
        </is>
      </c>
      <c r="B2127" s="1" t="n">
        <v>43705</v>
      </c>
      <c r="C2127" s="1" t="n">
        <v>45182</v>
      </c>
      <c r="D2127" t="inlineStr">
        <is>
          <t>JÄMTLANDS LÄN</t>
        </is>
      </c>
      <c r="E2127" t="inlineStr">
        <is>
          <t>BERG</t>
        </is>
      </c>
      <c r="F2127" t="inlineStr">
        <is>
          <t>SCA</t>
        </is>
      </c>
      <c r="G2127" t="n">
        <v>11.7</v>
      </c>
      <c r="H2127" t="n">
        <v>0</v>
      </c>
      <c r="I2127" t="n">
        <v>0</v>
      </c>
      <c r="J2127" t="n">
        <v>0</v>
      </c>
      <c r="K2127" t="n">
        <v>0</v>
      </c>
      <c r="L2127" t="n">
        <v>0</v>
      </c>
      <c r="M2127" t="n">
        <v>0</v>
      </c>
      <c r="N2127" t="n">
        <v>0</v>
      </c>
      <c r="O2127" t="n">
        <v>0</v>
      </c>
      <c r="P2127" t="n">
        <v>0</v>
      </c>
      <c r="Q2127" t="n">
        <v>0</v>
      </c>
      <c r="R2127" s="2" t="inlineStr"/>
    </row>
    <row r="2128" ht="15" customHeight="1">
      <c r="A2128" t="inlineStr">
        <is>
          <t>A 43180-2019</t>
        </is>
      </c>
      <c r="B2128" s="1" t="n">
        <v>43705</v>
      </c>
      <c r="C2128" s="1" t="n">
        <v>45182</v>
      </c>
      <c r="D2128" t="inlineStr">
        <is>
          <t>JÄMTLANDS LÄN</t>
        </is>
      </c>
      <c r="E2128" t="inlineStr">
        <is>
          <t>STRÖMSUND</t>
        </is>
      </c>
      <c r="F2128" t="inlineStr">
        <is>
          <t>SCA</t>
        </is>
      </c>
      <c r="G2128" t="n">
        <v>3</v>
      </c>
      <c r="H2128" t="n">
        <v>0</v>
      </c>
      <c r="I2128" t="n">
        <v>0</v>
      </c>
      <c r="J2128" t="n">
        <v>0</v>
      </c>
      <c r="K2128" t="n">
        <v>0</v>
      </c>
      <c r="L2128" t="n">
        <v>0</v>
      </c>
      <c r="M2128" t="n">
        <v>0</v>
      </c>
      <c r="N2128" t="n">
        <v>0</v>
      </c>
      <c r="O2128" t="n">
        <v>0</v>
      </c>
      <c r="P2128" t="n">
        <v>0</v>
      </c>
      <c r="Q2128" t="n">
        <v>0</v>
      </c>
      <c r="R2128" s="2" t="inlineStr"/>
    </row>
    <row r="2129" ht="15" customHeight="1">
      <c r="A2129" t="inlineStr">
        <is>
          <t>A 42875-2019</t>
        </is>
      </c>
      <c r="B2129" s="1" t="n">
        <v>43705</v>
      </c>
      <c r="C2129" s="1" t="n">
        <v>45182</v>
      </c>
      <c r="D2129" t="inlineStr">
        <is>
          <t>JÄMTLANDS LÄN</t>
        </is>
      </c>
      <c r="E2129" t="inlineStr">
        <is>
          <t>BRÄCKE</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43103-2019</t>
        </is>
      </c>
      <c r="B2130" s="1" t="n">
        <v>43705</v>
      </c>
      <c r="C2130" s="1" t="n">
        <v>45182</v>
      </c>
      <c r="D2130" t="inlineStr">
        <is>
          <t>JÄMTLANDS LÄN</t>
        </is>
      </c>
      <c r="E2130" t="inlineStr">
        <is>
          <t>HÄRJEDALEN</t>
        </is>
      </c>
      <c r="G2130" t="n">
        <v>38.6</v>
      </c>
      <c r="H2130" t="n">
        <v>0</v>
      </c>
      <c r="I2130" t="n">
        <v>0</v>
      </c>
      <c r="J2130" t="n">
        <v>0</v>
      </c>
      <c r="K2130" t="n">
        <v>0</v>
      </c>
      <c r="L2130" t="n">
        <v>0</v>
      </c>
      <c r="M2130" t="n">
        <v>0</v>
      </c>
      <c r="N2130" t="n">
        <v>0</v>
      </c>
      <c r="O2130" t="n">
        <v>0</v>
      </c>
      <c r="P2130" t="n">
        <v>0</v>
      </c>
      <c r="Q2130" t="n">
        <v>0</v>
      </c>
      <c r="R2130" s="2" t="inlineStr"/>
    </row>
    <row r="2131" ht="15" customHeight="1">
      <c r="A2131" t="inlineStr">
        <is>
          <t>A 43206-2019</t>
        </is>
      </c>
      <c r="B2131" s="1" t="n">
        <v>43705</v>
      </c>
      <c r="C2131" s="1" t="n">
        <v>45182</v>
      </c>
      <c r="D2131" t="inlineStr">
        <is>
          <t>JÄMTLANDS LÄN</t>
        </is>
      </c>
      <c r="E2131" t="inlineStr">
        <is>
          <t>BRÄCKE</t>
        </is>
      </c>
      <c r="F2131" t="inlineStr">
        <is>
          <t>SCA</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43208-2019</t>
        </is>
      </c>
      <c r="B2132" s="1" t="n">
        <v>43705</v>
      </c>
      <c r="C2132" s="1" t="n">
        <v>45182</v>
      </c>
      <c r="D2132" t="inlineStr">
        <is>
          <t>JÄMTLANDS LÄN</t>
        </is>
      </c>
      <c r="E2132" t="inlineStr">
        <is>
          <t>BRÄCKE</t>
        </is>
      </c>
      <c r="F2132" t="inlineStr">
        <is>
          <t>SCA</t>
        </is>
      </c>
      <c r="G2132" t="n">
        <v>3.4</v>
      </c>
      <c r="H2132" t="n">
        <v>0</v>
      </c>
      <c r="I2132" t="n">
        <v>0</v>
      </c>
      <c r="J2132" t="n">
        <v>0</v>
      </c>
      <c r="K2132" t="n">
        <v>0</v>
      </c>
      <c r="L2132" t="n">
        <v>0</v>
      </c>
      <c r="M2132" t="n">
        <v>0</v>
      </c>
      <c r="N2132" t="n">
        <v>0</v>
      </c>
      <c r="O2132" t="n">
        <v>0</v>
      </c>
      <c r="P2132" t="n">
        <v>0</v>
      </c>
      <c r="Q2132" t="n">
        <v>0</v>
      </c>
      <c r="R2132" s="2" t="inlineStr"/>
    </row>
    <row r="2133" ht="15" customHeight="1">
      <c r="A2133" t="inlineStr">
        <is>
          <t>A 43412-2019</t>
        </is>
      </c>
      <c r="B2133" s="1" t="n">
        <v>43706</v>
      </c>
      <c r="C2133" s="1" t="n">
        <v>45182</v>
      </c>
      <c r="D2133" t="inlineStr">
        <is>
          <t>JÄMTLANDS LÄN</t>
        </is>
      </c>
      <c r="E2133" t="inlineStr">
        <is>
          <t>RAGUNDA</t>
        </is>
      </c>
      <c r="G2133" t="n">
        <v>1.4</v>
      </c>
      <c r="H2133" t="n">
        <v>0</v>
      </c>
      <c r="I2133" t="n">
        <v>0</v>
      </c>
      <c r="J2133" t="n">
        <v>0</v>
      </c>
      <c r="K2133" t="n">
        <v>0</v>
      </c>
      <c r="L2133" t="n">
        <v>0</v>
      </c>
      <c r="M2133" t="n">
        <v>0</v>
      </c>
      <c r="N2133" t="n">
        <v>0</v>
      </c>
      <c r="O2133" t="n">
        <v>0</v>
      </c>
      <c r="P2133" t="n">
        <v>0</v>
      </c>
      <c r="Q2133" t="n">
        <v>0</v>
      </c>
      <c r="R2133" s="2" t="inlineStr"/>
    </row>
    <row r="2134" ht="15" customHeight="1">
      <c r="A2134" t="inlineStr">
        <is>
          <t>A 43387-2019</t>
        </is>
      </c>
      <c r="B2134" s="1" t="n">
        <v>43706</v>
      </c>
      <c r="C2134" s="1" t="n">
        <v>45182</v>
      </c>
      <c r="D2134" t="inlineStr">
        <is>
          <t>JÄMTLANDS LÄN</t>
        </is>
      </c>
      <c r="E2134" t="inlineStr">
        <is>
          <t>RAGUNDA</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43649-2019</t>
        </is>
      </c>
      <c r="B2135" s="1" t="n">
        <v>43707</v>
      </c>
      <c r="C2135" s="1" t="n">
        <v>45182</v>
      </c>
      <c r="D2135" t="inlineStr">
        <is>
          <t>JÄMTLANDS LÄN</t>
        </is>
      </c>
      <c r="E2135" t="inlineStr">
        <is>
          <t>HÄRJEDALEN</t>
        </is>
      </c>
      <c r="F2135" t="inlineStr">
        <is>
          <t>Sveaskog</t>
        </is>
      </c>
      <c r="G2135" t="n">
        <v>6.7</v>
      </c>
      <c r="H2135" t="n">
        <v>0</v>
      </c>
      <c r="I2135" t="n">
        <v>0</v>
      </c>
      <c r="J2135" t="n">
        <v>0</v>
      </c>
      <c r="K2135" t="n">
        <v>0</v>
      </c>
      <c r="L2135" t="n">
        <v>0</v>
      </c>
      <c r="M2135" t="n">
        <v>0</v>
      </c>
      <c r="N2135" t="n">
        <v>0</v>
      </c>
      <c r="O2135" t="n">
        <v>0</v>
      </c>
      <c r="P2135" t="n">
        <v>0</v>
      </c>
      <c r="Q2135" t="n">
        <v>0</v>
      </c>
      <c r="R2135" s="2" t="inlineStr"/>
    </row>
    <row r="2136" ht="15" customHeight="1">
      <c r="A2136" t="inlineStr">
        <is>
          <t>A 43678-2019</t>
        </is>
      </c>
      <c r="B2136" s="1" t="n">
        <v>43707</v>
      </c>
      <c r="C2136" s="1" t="n">
        <v>45182</v>
      </c>
      <c r="D2136" t="inlineStr">
        <is>
          <t>JÄMTLANDS LÄN</t>
        </is>
      </c>
      <c r="E2136" t="inlineStr">
        <is>
          <t>ÅRE</t>
        </is>
      </c>
      <c r="G2136" t="n">
        <v>7.9</v>
      </c>
      <c r="H2136" t="n">
        <v>0</v>
      </c>
      <c r="I2136" t="n">
        <v>0</v>
      </c>
      <c r="J2136" t="n">
        <v>0</v>
      </c>
      <c r="K2136" t="n">
        <v>0</v>
      </c>
      <c r="L2136" t="n">
        <v>0</v>
      </c>
      <c r="M2136" t="n">
        <v>0</v>
      </c>
      <c r="N2136" t="n">
        <v>0</v>
      </c>
      <c r="O2136" t="n">
        <v>0</v>
      </c>
      <c r="P2136" t="n">
        <v>0</v>
      </c>
      <c r="Q2136" t="n">
        <v>0</v>
      </c>
      <c r="R2136" s="2" t="inlineStr"/>
    </row>
    <row r="2137" ht="15" customHeight="1">
      <c r="A2137" t="inlineStr">
        <is>
          <t>A 43721-2019</t>
        </is>
      </c>
      <c r="B2137" s="1" t="n">
        <v>43707</v>
      </c>
      <c r="C2137" s="1" t="n">
        <v>45182</v>
      </c>
      <c r="D2137" t="inlineStr">
        <is>
          <t>JÄMTLANDS LÄN</t>
        </is>
      </c>
      <c r="E2137" t="inlineStr">
        <is>
          <t>KROKOM</t>
        </is>
      </c>
      <c r="G2137" t="n">
        <v>7.1</v>
      </c>
      <c r="H2137" t="n">
        <v>0</v>
      </c>
      <c r="I2137" t="n">
        <v>0</v>
      </c>
      <c r="J2137" t="n">
        <v>0</v>
      </c>
      <c r="K2137" t="n">
        <v>0</v>
      </c>
      <c r="L2137" t="n">
        <v>0</v>
      </c>
      <c r="M2137" t="n">
        <v>0</v>
      </c>
      <c r="N2137" t="n">
        <v>0</v>
      </c>
      <c r="O2137" t="n">
        <v>0</v>
      </c>
      <c r="P2137" t="n">
        <v>0</v>
      </c>
      <c r="Q2137" t="n">
        <v>0</v>
      </c>
      <c r="R2137" s="2" t="inlineStr"/>
    </row>
    <row r="2138" ht="15" customHeight="1">
      <c r="A2138" t="inlineStr">
        <is>
          <t>A 43793-2019</t>
        </is>
      </c>
      <c r="B2138" s="1" t="n">
        <v>43707</v>
      </c>
      <c r="C2138" s="1" t="n">
        <v>45182</v>
      </c>
      <c r="D2138" t="inlineStr">
        <is>
          <t>JÄMTLANDS LÄN</t>
        </is>
      </c>
      <c r="E2138" t="inlineStr">
        <is>
          <t>STRÖMSUND</t>
        </is>
      </c>
      <c r="F2138" t="inlineStr">
        <is>
          <t>Sveaskog</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45171-2019</t>
        </is>
      </c>
      <c r="B2139" s="1" t="n">
        <v>43707</v>
      </c>
      <c r="C2139" s="1" t="n">
        <v>45182</v>
      </c>
      <c r="D2139" t="inlineStr">
        <is>
          <t>JÄMTLANDS LÄN</t>
        </is>
      </c>
      <c r="E2139" t="inlineStr">
        <is>
          <t>STRÖMSUND</t>
        </is>
      </c>
      <c r="F2139" t="inlineStr">
        <is>
          <t>SCA</t>
        </is>
      </c>
      <c r="G2139" t="n">
        <v>3.4</v>
      </c>
      <c r="H2139" t="n">
        <v>0</v>
      </c>
      <c r="I2139" t="n">
        <v>0</v>
      </c>
      <c r="J2139" t="n">
        <v>0</v>
      </c>
      <c r="K2139" t="n">
        <v>0</v>
      </c>
      <c r="L2139" t="n">
        <v>0</v>
      </c>
      <c r="M2139" t="n">
        <v>0</v>
      </c>
      <c r="N2139" t="n">
        <v>0</v>
      </c>
      <c r="O2139" t="n">
        <v>0</v>
      </c>
      <c r="P2139" t="n">
        <v>0</v>
      </c>
      <c r="Q2139" t="n">
        <v>0</v>
      </c>
      <c r="R2139" s="2" t="inlineStr"/>
    </row>
    <row r="2140" ht="15" customHeight="1">
      <c r="A2140" t="inlineStr">
        <is>
          <t>A 43707-2019</t>
        </is>
      </c>
      <c r="B2140" s="1" t="n">
        <v>43707</v>
      </c>
      <c r="C2140" s="1" t="n">
        <v>45182</v>
      </c>
      <c r="D2140" t="inlineStr">
        <is>
          <t>JÄMTLANDS LÄN</t>
        </is>
      </c>
      <c r="E2140" t="inlineStr">
        <is>
          <t>STRÖMSUND</t>
        </is>
      </c>
      <c r="F2140" t="inlineStr">
        <is>
          <t>Sveaskog</t>
        </is>
      </c>
      <c r="G2140" t="n">
        <v>0.4</v>
      </c>
      <c r="H2140" t="n">
        <v>0</v>
      </c>
      <c r="I2140" t="n">
        <v>0</v>
      </c>
      <c r="J2140" t="n">
        <v>0</v>
      </c>
      <c r="K2140" t="n">
        <v>0</v>
      </c>
      <c r="L2140" t="n">
        <v>0</v>
      </c>
      <c r="M2140" t="n">
        <v>0</v>
      </c>
      <c r="N2140" t="n">
        <v>0</v>
      </c>
      <c r="O2140" t="n">
        <v>0</v>
      </c>
      <c r="P2140" t="n">
        <v>0</v>
      </c>
      <c r="Q2140" t="n">
        <v>0</v>
      </c>
      <c r="R2140" s="2" t="inlineStr"/>
    </row>
    <row r="2141" ht="15" customHeight="1">
      <c r="A2141" t="inlineStr">
        <is>
          <t>A 43896-2019</t>
        </is>
      </c>
      <c r="B2141" s="1" t="n">
        <v>43707</v>
      </c>
      <c r="C2141" s="1" t="n">
        <v>45182</v>
      </c>
      <c r="D2141" t="inlineStr">
        <is>
          <t>JÄMTLANDS LÄN</t>
        </is>
      </c>
      <c r="E2141" t="inlineStr">
        <is>
          <t>HÄRJEDALEN</t>
        </is>
      </c>
      <c r="F2141" t="inlineStr">
        <is>
          <t>Sveaskog</t>
        </is>
      </c>
      <c r="G2141" t="n">
        <v>4.2</v>
      </c>
      <c r="H2141" t="n">
        <v>0</v>
      </c>
      <c r="I2141" t="n">
        <v>0</v>
      </c>
      <c r="J2141" t="n">
        <v>0</v>
      </c>
      <c r="K2141" t="n">
        <v>0</v>
      </c>
      <c r="L2141" t="n">
        <v>0</v>
      </c>
      <c r="M2141" t="n">
        <v>0</v>
      </c>
      <c r="N2141" t="n">
        <v>0</v>
      </c>
      <c r="O2141" t="n">
        <v>0</v>
      </c>
      <c r="P2141" t="n">
        <v>0</v>
      </c>
      <c r="Q2141" t="n">
        <v>0</v>
      </c>
      <c r="R2141" s="2" t="inlineStr"/>
    </row>
    <row r="2142" ht="15" customHeight="1">
      <c r="A2142" t="inlineStr">
        <is>
          <t>A 43942-2019</t>
        </is>
      </c>
      <c r="B2142" s="1" t="n">
        <v>43707</v>
      </c>
      <c r="C2142" s="1" t="n">
        <v>45182</v>
      </c>
      <c r="D2142" t="inlineStr">
        <is>
          <t>JÄMTLANDS LÄN</t>
        </is>
      </c>
      <c r="E2142" t="inlineStr">
        <is>
          <t>BERG</t>
        </is>
      </c>
      <c r="F2142" t="inlineStr">
        <is>
          <t>SCA</t>
        </is>
      </c>
      <c r="G2142" t="n">
        <v>0.9</v>
      </c>
      <c r="H2142" t="n">
        <v>0</v>
      </c>
      <c r="I2142" t="n">
        <v>0</v>
      </c>
      <c r="J2142" t="n">
        <v>0</v>
      </c>
      <c r="K2142" t="n">
        <v>0</v>
      </c>
      <c r="L2142" t="n">
        <v>0</v>
      </c>
      <c r="M2142" t="n">
        <v>0</v>
      </c>
      <c r="N2142" t="n">
        <v>0</v>
      </c>
      <c r="O2142" t="n">
        <v>0</v>
      </c>
      <c r="P2142" t="n">
        <v>0</v>
      </c>
      <c r="Q2142" t="n">
        <v>0</v>
      </c>
      <c r="R2142" s="2" t="inlineStr"/>
    </row>
    <row r="2143" ht="15" customHeight="1">
      <c r="A2143" t="inlineStr">
        <is>
          <t>A 43683-2019</t>
        </is>
      </c>
      <c r="B2143" s="1" t="n">
        <v>43707</v>
      </c>
      <c r="C2143" s="1" t="n">
        <v>45182</v>
      </c>
      <c r="D2143" t="inlineStr">
        <is>
          <t>JÄMTLANDS LÄN</t>
        </is>
      </c>
      <c r="E2143" t="inlineStr">
        <is>
          <t>ÅRE</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43708-2019</t>
        </is>
      </c>
      <c r="B2144" s="1" t="n">
        <v>43707</v>
      </c>
      <c r="C2144" s="1" t="n">
        <v>45182</v>
      </c>
      <c r="D2144" t="inlineStr">
        <is>
          <t>JÄMTLANDS LÄN</t>
        </is>
      </c>
      <c r="E2144" t="inlineStr">
        <is>
          <t>KROKOM</t>
        </is>
      </c>
      <c r="G2144" t="n">
        <v>3.1</v>
      </c>
      <c r="H2144" t="n">
        <v>0</v>
      </c>
      <c r="I2144" t="n">
        <v>0</v>
      </c>
      <c r="J2144" t="n">
        <v>0</v>
      </c>
      <c r="K2144" t="n">
        <v>0</v>
      </c>
      <c r="L2144" t="n">
        <v>0</v>
      </c>
      <c r="M2144" t="n">
        <v>0</v>
      </c>
      <c r="N2144" t="n">
        <v>0</v>
      </c>
      <c r="O2144" t="n">
        <v>0</v>
      </c>
      <c r="P2144" t="n">
        <v>0</v>
      </c>
      <c r="Q2144" t="n">
        <v>0</v>
      </c>
      <c r="R2144" s="2" t="inlineStr"/>
    </row>
    <row r="2145" ht="15" customHeight="1">
      <c r="A2145" t="inlineStr">
        <is>
          <t>A 43943-2019</t>
        </is>
      </c>
      <c r="B2145" s="1" t="n">
        <v>43707</v>
      </c>
      <c r="C2145" s="1" t="n">
        <v>45182</v>
      </c>
      <c r="D2145" t="inlineStr">
        <is>
          <t>JÄMTLANDS LÄN</t>
        </is>
      </c>
      <c r="E2145" t="inlineStr">
        <is>
          <t>STRÖMSUND</t>
        </is>
      </c>
      <c r="F2145" t="inlineStr">
        <is>
          <t>SCA</t>
        </is>
      </c>
      <c r="G2145" t="n">
        <v>11.9</v>
      </c>
      <c r="H2145" t="n">
        <v>0</v>
      </c>
      <c r="I2145" t="n">
        <v>0</v>
      </c>
      <c r="J2145" t="n">
        <v>0</v>
      </c>
      <c r="K2145" t="n">
        <v>0</v>
      </c>
      <c r="L2145" t="n">
        <v>0</v>
      </c>
      <c r="M2145" t="n">
        <v>0</v>
      </c>
      <c r="N2145" t="n">
        <v>0</v>
      </c>
      <c r="O2145" t="n">
        <v>0</v>
      </c>
      <c r="P2145" t="n">
        <v>0</v>
      </c>
      <c r="Q2145" t="n">
        <v>0</v>
      </c>
      <c r="R2145" s="2" t="inlineStr"/>
    </row>
    <row r="2146" ht="15" customHeight="1">
      <c r="A2146" t="inlineStr">
        <is>
          <t>A 44010-2019</t>
        </is>
      </c>
      <c r="B2146" s="1" t="n">
        <v>43709</v>
      </c>
      <c r="C2146" s="1" t="n">
        <v>45182</v>
      </c>
      <c r="D2146" t="inlineStr">
        <is>
          <t>JÄMTLANDS LÄN</t>
        </is>
      </c>
      <c r="E2146" t="inlineStr">
        <is>
          <t>STRÖMSUND</t>
        </is>
      </c>
      <c r="F2146" t="inlineStr">
        <is>
          <t>SCA</t>
        </is>
      </c>
      <c r="G2146" t="n">
        <v>5.5</v>
      </c>
      <c r="H2146" t="n">
        <v>0</v>
      </c>
      <c r="I2146" t="n">
        <v>0</v>
      </c>
      <c r="J2146" t="n">
        <v>0</v>
      </c>
      <c r="K2146" t="n">
        <v>0</v>
      </c>
      <c r="L2146" t="n">
        <v>0</v>
      </c>
      <c r="M2146" t="n">
        <v>0</v>
      </c>
      <c r="N2146" t="n">
        <v>0</v>
      </c>
      <c r="O2146" t="n">
        <v>0</v>
      </c>
      <c r="P2146" t="n">
        <v>0</v>
      </c>
      <c r="Q2146" t="n">
        <v>0</v>
      </c>
      <c r="R2146" s="2" t="inlineStr"/>
    </row>
    <row r="2147" ht="15" customHeight="1">
      <c r="A2147" t="inlineStr">
        <is>
          <t>A 44015-2019</t>
        </is>
      </c>
      <c r="B2147" s="1" t="n">
        <v>43709</v>
      </c>
      <c r="C2147" s="1" t="n">
        <v>45182</v>
      </c>
      <c r="D2147" t="inlineStr">
        <is>
          <t>JÄMTLANDS LÄN</t>
        </is>
      </c>
      <c r="E2147" t="inlineStr">
        <is>
          <t>STRÖMSUND</t>
        </is>
      </c>
      <c r="F2147" t="inlineStr">
        <is>
          <t>SCA</t>
        </is>
      </c>
      <c r="G2147" t="n">
        <v>7.7</v>
      </c>
      <c r="H2147" t="n">
        <v>0</v>
      </c>
      <c r="I2147" t="n">
        <v>0</v>
      </c>
      <c r="J2147" t="n">
        <v>0</v>
      </c>
      <c r="K2147" t="n">
        <v>0</v>
      </c>
      <c r="L2147" t="n">
        <v>0</v>
      </c>
      <c r="M2147" t="n">
        <v>0</v>
      </c>
      <c r="N2147" t="n">
        <v>0</v>
      </c>
      <c r="O2147" t="n">
        <v>0</v>
      </c>
      <c r="P2147" t="n">
        <v>0</v>
      </c>
      <c r="Q2147" t="n">
        <v>0</v>
      </c>
      <c r="R2147" s="2" t="inlineStr"/>
    </row>
    <row r="2148" ht="15" customHeight="1">
      <c r="A2148" t="inlineStr">
        <is>
          <t>A 44329-2019</t>
        </is>
      </c>
      <c r="B2148" s="1" t="n">
        <v>43710</v>
      </c>
      <c r="C2148" s="1" t="n">
        <v>45182</v>
      </c>
      <c r="D2148" t="inlineStr">
        <is>
          <t>JÄMTLANDS LÄN</t>
        </is>
      </c>
      <c r="E2148" t="inlineStr">
        <is>
          <t>ÅRE</t>
        </is>
      </c>
      <c r="G2148" t="n">
        <v>2.1</v>
      </c>
      <c r="H2148" t="n">
        <v>0</v>
      </c>
      <c r="I2148" t="n">
        <v>0</v>
      </c>
      <c r="J2148" t="n">
        <v>0</v>
      </c>
      <c r="K2148" t="n">
        <v>0</v>
      </c>
      <c r="L2148" t="n">
        <v>0</v>
      </c>
      <c r="M2148" t="n">
        <v>0</v>
      </c>
      <c r="N2148" t="n">
        <v>0</v>
      </c>
      <c r="O2148" t="n">
        <v>0</v>
      </c>
      <c r="P2148" t="n">
        <v>0</v>
      </c>
      <c r="Q2148" t="n">
        <v>0</v>
      </c>
      <c r="R2148" s="2" t="inlineStr"/>
    </row>
    <row r="2149" ht="15" customHeight="1">
      <c r="A2149" t="inlineStr">
        <is>
          <t>A 44190-2019</t>
        </is>
      </c>
      <c r="B2149" s="1" t="n">
        <v>43710</v>
      </c>
      <c r="C2149" s="1" t="n">
        <v>45182</v>
      </c>
      <c r="D2149" t="inlineStr">
        <is>
          <t>JÄMTLANDS LÄN</t>
        </is>
      </c>
      <c r="E2149" t="inlineStr">
        <is>
          <t>KROKOM</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44128-2019</t>
        </is>
      </c>
      <c r="B2150" s="1" t="n">
        <v>43710</v>
      </c>
      <c r="C2150" s="1" t="n">
        <v>45182</v>
      </c>
      <c r="D2150" t="inlineStr">
        <is>
          <t>JÄMTLANDS LÄN</t>
        </is>
      </c>
      <c r="E2150" t="inlineStr">
        <is>
          <t>KROKOM</t>
        </is>
      </c>
      <c r="G2150" t="n">
        <v>8.1</v>
      </c>
      <c r="H2150" t="n">
        <v>0</v>
      </c>
      <c r="I2150" t="n">
        <v>0</v>
      </c>
      <c r="J2150" t="n">
        <v>0</v>
      </c>
      <c r="K2150" t="n">
        <v>0</v>
      </c>
      <c r="L2150" t="n">
        <v>0</v>
      </c>
      <c r="M2150" t="n">
        <v>0</v>
      </c>
      <c r="N2150" t="n">
        <v>0</v>
      </c>
      <c r="O2150" t="n">
        <v>0</v>
      </c>
      <c r="P2150" t="n">
        <v>0</v>
      </c>
      <c r="Q2150" t="n">
        <v>0</v>
      </c>
      <c r="R2150" s="2" t="inlineStr"/>
    </row>
    <row r="2151" ht="15" customHeight="1">
      <c r="A2151" t="inlineStr">
        <is>
          <t>A 44535-2019</t>
        </is>
      </c>
      <c r="B2151" s="1" t="n">
        <v>43711</v>
      </c>
      <c r="C2151" s="1" t="n">
        <v>45182</v>
      </c>
      <c r="D2151" t="inlineStr">
        <is>
          <t>JÄMTLANDS LÄN</t>
        </is>
      </c>
      <c r="E2151" t="inlineStr">
        <is>
          <t>STRÖMSUND</t>
        </is>
      </c>
      <c r="G2151" t="n">
        <v>23.8</v>
      </c>
      <c r="H2151" t="n">
        <v>0</v>
      </c>
      <c r="I2151" t="n">
        <v>0</v>
      </c>
      <c r="J2151" t="n">
        <v>0</v>
      </c>
      <c r="K2151" t="n">
        <v>0</v>
      </c>
      <c r="L2151" t="n">
        <v>0</v>
      </c>
      <c r="M2151" t="n">
        <v>0</v>
      </c>
      <c r="N2151" t="n">
        <v>0</v>
      </c>
      <c r="O2151" t="n">
        <v>0</v>
      </c>
      <c r="P2151" t="n">
        <v>0</v>
      </c>
      <c r="Q2151" t="n">
        <v>0</v>
      </c>
      <c r="R2151" s="2" t="inlineStr"/>
    </row>
    <row r="2152" ht="15" customHeight="1">
      <c r="A2152" t="inlineStr">
        <is>
          <t>A 45737-2019</t>
        </is>
      </c>
      <c r="B2152" s="1" t="n">
        <v>43711</v>
      </c>
      <c r="C2152" s="1" t="n">
        <v>45182</v>
      </c>
      <c r="D2152" t="inlineStr">
        <is>
          <t>JÄMTLANDS LÄN</t>
        </is>
      </c>
      <c r="E2152" t="inlineStr">
        <is>
          <t>STRÖMSUND</t>
        </is>
      </c>
      <c r="F2152" t="inlineStr">
        <is>
          <t>Holmen skog AB</t>
        </is>
      </c>
      <c r="G2152" t="n">
        <v>9.5</v>
      </c>
      <c r="H2152" t="n">
        <v>0</v>
      </c>
      <c r="I2152" t="n">
        <v>0</v>
      </c>
      <c r="J2152" t="n">
        <v>0</v>
      </c>
      <c r="K2152" t="n">
        <v>0</v>
      </c>
      <c r="L2152" t="n">
        <v>0</v>
      </c>
      <c r="M2152" t="n">
        <v>0</v>
      </c>
      <c r="N2152" t="n">
        <v>0</v>
      </c>
      <c r="O2152" t="n">
        <v>0</v>
      </c>
      <c r="P2152" t="n">
        <v>0</v>
      </c>
      <c r="Q2152" t="n">
        <v>0</v>
      </c>
      <c r="R2152" s="2" t="inlineStr"/>
    </row>
    <row r="2153" ht="15" customHeight="1">
      <c r="A2153" t="inlineStr">
        <is>
          <t>A 45773-2019</t>
        </is>
      </c>
      <c r="B2153" s="1" t="n">
        <v>43711</v>
      </c>
      <c r="C2153" s="1" t="n">
        <v>45182</v>
      </c>
      <c r="D2153" t="inlineStr">
        <is>
          <t>JÄMTLANDS LÄN</t>
        </is>
      </c>
      <c r="E2153" t="inlineStr">
        <is>
          <t>STRÖMSUND</t>
        </is>
      </c>
      <c r="G2153" t="n">
        <v>3.2</v>
      </c>
      <c r="H2153" t="n">
        <v>0</v>
      </c>
      <c r="I2153" t="n">
        <v>0</v>
      </c>
      <c r="J2153" t="n">
        <v>0</v>
      </c>
      <c r="K2153" t="n">
        <v>0</v>
      </c>
      <c r="L2153" t="n">
        <v>0</v>
      </c>
      <c r="M2153" t="n">
        <v>0</v>
      </c>
      <c r="N2153" t="n">
        <v>0</v>
      </c>
      <c r="O2153" t="n">
        <v>0</v>
      </c>
      <c r="P2153" t="n">
        <v>0</v>
      </c>
      <c r="Q2153" t="n">
        <v>0</v>
      </c>
      <c r="R2153" s="2" t="inlineStr"/>
    </row>
    <row r="2154" ht="15" customHeight="1">
      <c r="A2154" t="inlineStr">
        <is>
          <t>A 44605-2019</t>
        </is>
      </c>
      <c r="B2154" s="1" t="n">
        <v>43711</v>
      </c>
      <c r="C2154" s="1" t="n">
        <v>45182</v>
      </c>
      <c r="D2154" t="inlineStr">
        <is>
          <t>JÄMTLANDS LÄN</t>
        </is>
      </c>
      <c r="E2154" t="inlineStr">
        <is>
          <t>STRÖMSUND</t>
        </is>
      </c>
      <c r="F2154" t="inlineStr">
        <is>
          <t>SCA</t>
        </is>
      </c>
      <c r="G2154" t="n">
        <v>3.9</v>
      </c>
      <c r="H2154" t="n">
        <v>0</v>
      </c>
      <c r="I2154" t="n">
        <v>0</v>
      </c>
      <c r="J2154" t="n">
        <v>0</v>
      </c>
      <c r="K2154" t="n">
        <v>0</v>
      </c>
      <c r="L2154" t="n">
        <v>0</v>
      </c>
      <c r="M2154" t="n">
        <v>0</v>
      </c>
      <c r="N2154" t="n">
        <v>0</v>
      </c>
      <c r="O2154" t="n">
        <v>0</v>
      </c>
      <c r="P2154" t="n">
        <v>0</v>
      </c>
      <c r="Q2154" t="n">
        <v>0</v>
      </c>
      <c r="R2154" s="2" t="inlineStr"/>
    </row>
    <row r="2155" ht="15" customHeight="1">
      <c r="A2155" t="inlineStr">
        <is>
          <t>A 44604-2019</t>
        </is>
      </c>
      <c r="B2155" s="1" t="n">
        <v>43711</v>
      </c>
      <c r="C2155" s="1" t="n">
        <v>45182</v>
      </c>
      <c r="D2155" t="inlineStr">
        <is>
          <t>JÄMTLANDS LÄN</t>
        </is>
      </c>
      <c r="E2155" t="inlineStr">
        <is>
          <t>STRÖMSUND</t>
        </is>
      </c>
      <c r="F2155" t="inlineStr">
        <is>
          <t>SCA</t>
        </is>
      </c>
      <c r="G2155" t="n">
        <v>2.3</v>
      </c>
      <c r="H2155" t="n">
        <v>0</v>
      </c>
      <c r="I2155" t="n">
        <v>0</v>
      </c>
      <c r="J2155" t="n">
        <v>0</v>
      </c>
      <c r="K2155" t="n">
        <v>0</v>
      </c>
      <c r="L2155" t="n">
        <v>0</v>
      </c>
      <c r="M2155" t="n">
        <v>0</v>
      </c>
      <c r="N2155" t="n">
        <v>0</v>
      </c>
      <c r="O2155" t="n">
        <v>0</v>
      </c>
      <c r="P2155" t="n">
        <v>0</v>
      </c>
      <c r="Q2155" t="n">
        <v>0</v>
      </c>
      <c r="R2155" s="2" t="inlineStr"/>
    </row>
    <row r="2156" ht="15" customHeight="1">
      <c r="A2156" t="inlineStr">
        <is>
          <t>A 45776-2019</t>
        </is>
      </c>
      <c r="B2156" s="1" t="n">
        <v>43711</v>
      </c>
      <c r="C2156" s="1" t="n">
        <v>45182</v>
      </c>
      <c r="D2156" t="inlineStr">
        <is>
          <t>JÄMTLANDS LÄN</t>
        </is>
      </c>
      <c r="E2156" t="inlineStr">
        <is>
          <t>STRÖMSUND</t>
        </is>
      </c>
      <c r="G2156" t="n">
        <v>3.6</v>
      </c>
      <c r="H2156" t="n">
        <v>0</v>
      </c>
      <c r="I2156" t="n">
        <v>0</v>
      </c>
      <c r="J2156" t="n">
        <v>0</v>
      </c>
      <c r="K2156" t="n">
        <v>0</v>
      </c>
      <c r="L2156" t="n">
        <v>0</v>
      </c>
      <c r="M2156" t="n">
        <v>0</v>
      </c>
      <c r="N2156" t="n">
        <v>0</v>
      </c>
      <c r="O2156" t="n">
        <v>0</v>
      </c>
      <c r="P2156" t="n">
        <v>0</v>
      </c>
      <c r="Q2156" t="n">
        <v>0</v>
      </c>
      <c r="R2156" s="2" t="inlineStr"/>
    </row>
    <row r="2157" ht="15" customHeight="1">
      <c r="A2157" t="inlineStr">
        <is>
          <t>A 44774-2019</t>
        </is>
      </c>
      <c r="B2157" s="1" t="n">
        <v>43712</v>
      </c>
      <c r="C2157" s="1" t="n">
        <v>45182</v>
      </c>
      <c r="D2157" t="inlineStr">
        <is>
          <t>JÄMTLANDS LÄN</t>
        </is>
      </c>
      <c r="E2157" t="inlineStr">
        <is>
          <t>STRÖMSUND</t>
        </is>
      </c>
      <c r="G2157" t="n">
        <v>4.6</v>
      </c>
      <c r="H2157" t="n">
        <v>0</v>
      </c>
      <c r="I2157" t="n">
        <v>0</v>
      </c>
      <c r="J2157" t="n">
        <v>0</v>
      </c>
      <c r="K2157" t="n">
        <v>0</v>
      </c>
      <c r="L2157" t="n">
        <v>0</v>
      </c>
      <c r="M2157" t="n">
        <v>0</v>
      </c>
      <c r="N2157" t="n">
        <v>0</v>
      </c>
      <c r="O2157" t="n">
        <v>0</v>
      </c>
      <c r="P2157" t="n">
        <v>0</v>
      </c>
      <c r="Q2157" t="n">
        <v>0</v>
      </c>
      <c r="R2157" s="2" t="inlineStr"/>
    </row>
    <row r="2158" ht="15" customHeight="1">
      <c r="A2158" t="inlineStr">
        <is>
          <t>A 44810-2019</t>
        </is>
      </c>
      <c r="B2158" s="1" t="n">
        <v>43712</v>
      </c>
      <c r="C2158" s="1" t="n">
        <v>45182</v>
      </c>
      <c r="D2158" t="inlineStr">
        <is>
          <t>JÄMTLANDS LÄN</t>
        </is>
      </c>
      <c r="E2158" t="inlineStr">
        <is>
          <t>BERG</t>
        </is>
      </c>
      <c r="G2158" t="n">
        <v>3.3</v>
      </c>
      <c r="H2158" t="n">
        <v>0</v>
      </c>
      <c r="I2158" t="n">
        <v>0</v>
      </c>
      <c r="J2158" t="n">
        <v>0</v>
      </c>
      <c r="K2158" t="n">
        <v>0</v>
      </c>
      <c r="L2158" t="n">
        <v>0</v>
      </c>
      <c r="M2158" t="n">
        <v>0</v>
      </c>
      <c r="N2158" t="n">
        <v>0</v>
      </c>
      <c r="O2158" t="n">
        <v>0</v>
      </c>
      <c r="P2158" t="n">
        <v>0</v>
      </c>
      <c r="Q2158" t="n">
        <v>0</v>
      </c>
      <c r="R2158" s="2" t="inlineStr"/>
    </row>
    <row r="2159" ht="15" customHeight="1">
      <c r="A2159" t="inlineStr">
        <is>
          <t>A 44882-2019</t>
        </is>
      </c>
      <c r="B2159" s="1" t="n">
        <v>43712</v>
      </c>
      <c r="C2159" s="1" t="n">
        <v>45182</v>
      </c>
      <c r="D2159" t="inlineStr">
        <is>
          <t>JÄMTLANDS LÄN</t>
        </is>
      </c>
      <c r="E2159" t="inlineStr">
        <is>
          <t>STRÖMSUND</t>
        </is>
      </c>
      <c r="F2159" t="inlineStr">
        <is>
          <t>SCA</t>
        </is>
      </c>
      <c r="G2159" t="n">
        <v>3.5</v>
      </c>
      <c r="H2159" t="n">
        <v>0</v>
      </c>
      <c r="I2159" t="n">
        <v>0</v>
      </c>
      <c r="J2159" t="n">
        <v>0</v>
      </c>
      <c r="K2159" t="n">
        <v>0</v>
      </c>
      <c r="L2159" t="n">
        <v>0</v>
      </c>
      <c r="M2159" t="n">
        <v>0</v>
      </c>
      <c r="N2159" t="n">
        <v>0</v>
      </c>
      <c r="O2159" t="n">
        <v>0</v>
      </c>
      <c r="P2159" t="n">
        <v>0</v>
      </c>
      <c r="Q2159" t="n">
        <v>0</v>
      </c>
      <c r="R2159" s="2" t="inlineStr"/>
    </row>
    <row r="2160" ht="15" customHeight="1">
      <c r="A2160" t="inlineStr">
        <is>
          <t>A 44631-2019</t>
        </is>
      </c>
      <c r="B2160" s="1" t="n">
        <v>43712</v>
      </c>
      <c r="C2160" s="1" t="n">
        <v>45182</v>
      </c>
      <c r="D2160" t="inlineStr">
        <is>
          <t>JÄMTLANDS LÄN</t>
        </is>
      </c>
      <c r="E2160" t="inlineStr">
        <is>
          <t>BERG</t>
        </is>
      </c>
      <c r="G2160" t="n">
        <v>5.7</v>
      </c>
      <c r="H2160" t="n">
        <v>0</v>
      </c>
      <c r="I2160" t="n">
        <v>0</v>
      </c>
      <c r="J2160" t="n">
        <v>0</v>
      </c>
      <c r="K2160" t="n">
        <v>0</v>
      </c>
      <c r="L2160" t="n">
        <v>0</v>
      </c>
      <c r="M2160" t="n">
        <v>0</v>
      </c>
      <c r="N2160" t="n">
        <v>0</v>
      </c>
      <c r="O2160" t="n">
        <v>0</v>
      </c>
      <c r="P2160" t="n">
        <v>0</v>
      </c>
      <c r="Q2160" t="n">
        <v>0</v>
      </c>
      <c r="R2160" s="2" t="inlineStr"/>
    </row>
    <row r="2161" ht="15" customHeight="1">
      <c r="A2161" t="inlineStr">
        <is>
          <t>A 44653-2019</t>
        </is>
      </c>
      <c r="B2161" s="1" t="n">
        <v>43712</v>
      </c>
      <c r="C2161" s="1" t="n">
        <v>45182</v>
      </c>
      <c r="D2161" t="inlineStr">
        <is>
          <t>JÄMTLANDS LÄN</t>
        </is>
      </c>
      <c r="E2161" t="inlineStr">
        <is>
          <t>KROKOM</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44809-2019</t>
        </is>
      </c>
      <c r="B2162" s="1" t="n">
        <v>43712</v>
      </c>
      <c r="C2162" s="1" t="n">
        <v>45182</v>
      </c>
      <c r="D2162" t="inlineStr">
        <is>
          <t>JÄMTLANDS LÄN</t>
        </is>
      </c>
      <c r="E2162" t="inlineStr">
        <is>
          <t>STRÖMSUND</t>
        </is>
      </c>
      <c r="F2162" t="inlineStr">
        <is>
          <t>Kommuner</t>
        </is>
      </c>
      <c r="G2162" t="n">
        <v>13.4</v>
      </c>
      <c r="H2162" t="n">
        <v>0</v>
      </c>
      <c r="I2162" t="n">
        <v>0</v>
      </c>
      <c r="J2162" t="n">
        <v>0</v>
      </c>
      <c r="K2162" t="n">
        <v>0</v>
      </c>
      <c r="L2162" t="n">
        <v>0</v>
      </c>
      <c r="M2162" t="n">
        <v>0</v>
      </c>
      <c r="N2162" t="n">
        <v>0</v>
      </c>
      <c r="O2162" t="n">
        <v>0</v>
      </c>
      <c r="P2162" t="n">
        <v>0</v>
      </c>
      <c r="Q2162" t="n">
        <v>0</v>
      </c>
      <c r="R2162" s="2" t="inlineStr"/>
    </row>
    <row r="2163" ht="15" customHeight="1">
      <c r="A2163" t="inlineStr">
        <is>
          <t>A 45075-2019</t>
        </is>
      </c>
      <c r="B2163" s="1" t="n">
        <v>43713</v>
      </c>
      <c r="C2163" s="1" t="n">
        <v>45182</v>
      </c>
      <c r="D2163" t="inlineStr">
        <is>
          <t>JÄMTLANDS LÄN</t>
        </is>
      </c>
      <c r="E2163" t="inlineStr">
        <is>
          <t>RAGUNDA</t>
        </is>
      </c>
      <c r="G2163" t="n">
        <v>1</v>
      </c>
      <c r="H2163" t="n">
        <v>0</v>
      </c>
      <c r="I2163" t="n">
        <v>0</v>
      </c>
      <c r="J2163" t="n">
        <v>0</v>
      </c>
      <c r="K2163" t="n">
        <v>0</v>
      </c>
      <c r="L2163" t="n">
        <v>0</v>
      </c>
      <c r="M2163" t="n">
        <v>0</v>
      </c>
      <c r="N2163" t="n">
        <v>0</v>
      </c>
      <c r="O2163" t="n">
        <v>0</v>
      </c>
      <c r="P2163" t="n">
        <v>0</v>
      </c>
      <c r="Q2163" t="n">
        <v>0</v>
      </c>
      <c r="R2163" s="2" t="inlineStr"/>
    </row>
    <row r="2164" ht="15" customHeight="1">
      <c r="A2164" t="inlineStr">
        <is>
          <t>A 45054-2019</t>
        </is>
      </c>
      <c r="B2164" s="1" t="n">
        <v>43713</v>
      </c>
      <c r="C2164" s="1" t="n">
        <v>45182</v>
      </c>
      <c r="D2164" t="inlineStr">
        <is>
          <t>JÄMTLANDS LÄN</t>
        </is>
      </c>
      <c r="E2164" t="inlineStr">
        <is>
          <t>BRÄCKE</t>
        </is>
      </c>
      <c r="G2164" t="n">
        <v>0.5</v>
      </c>
      <c r="H2164" t="n">
        <v>0</v>
      </c>
      <c r="I2164" t="n">
        <v>0</v>
      </c>
      <c r="J2164" t="n">
        <v>0</v>
      </c>
      <c r="K2164" t="n">
        <v>0</v>
      </c>
      <c r="L2164" t="n">
        <v>0</v>
      </c>
      <c r="M2164" t="n">
        <v>0</v>
      </c>
      <c r="N2164" t="n">
        <v>0</v>
      </c>
      <c r="O2164" t="n">
        <v>0</v>
      </c>
      <c r="P2164" t="n">
        <v>0</v>
      </c>
      <c r="Q2164" t="n">
        <v>0</v>
      </c>
      <c r="R2164" s="2" t="inlineStr"/>
    </row>
    <row r="2165" ht="15" customHeight="1">
      <c r="A2165" t="inlineStr">
        <is>
          <t>A 45167-2019</t>
        </is>
      </c>
      <c r="B2165" s="1" t="n">
        <v>43713</v>
      </c>
      <c r="C2165" s="1" t="n">
        <v>45182</v>
      </c>
      <c r="D2165" t="inlineStr">
        <is>
          <t>JÄMTLANDS LÄN</t>
        </is>
      </c>
      <c r="E2165" t="inlineStr">
        <is>
          <t>HÄRJEDALEN</t>
        </is>
      </c>
      <c r="F2165" t="inlineStr">
        <is>
          <t>Holmen skog AB</t>
        </is>
      </c>
      <c r="G2165" t="n">
        <v>15.9</v>
      </c>
      <c r="H2165" t="n">
        <v>0</v>
      </c>
      <c r="I2165" t="n">
        <v>0</v>
      </c>
      <c r="J2165" t="n">
        <v>0</v>
      </c>
      <c r="K2165" t="n">
        <v>0</v>
      </c>
      <c r="L2165" t="n">
        <v>0</v>
      </c>
      <c r="M2165" t="n">
        <v>0</v>
      </c>
      <c r="N2165" t="n">
        <v>0</v>
      </c>
      <c r="O2165" t="n">
        <v>0</v>
      </c>
      <c r="P2165" t="n">
        <v>0</v>
      </c>
      <c r="Q2165" t="n">
        <v>0</v>
      </c>
      <c r="R2165" s="2" t="inlineStr"/>
    </row>
    <row r="2166" ht="15" customHeight="1">
      <c r="A2166" t="inlineStr">
        <is>
          <t>A 44956-2019</t>
        </is>
      </c>
      <c r="B2166" s="1" t="n">
        <v>43713</v>
      </c>
      <c r="C2166" s="1" t="n">
        <v>45182</v>
      </c>
      <c r="D2166" t="inlineStr">
        <is>
          <t>JÄMTLANDS LÄN</t>
        </is>
      </c>
      <c r="E2166" t="inlineStr">
        <is>
          <t>STRÖMSUND</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45061-2019</t>
        </is>
      </c>
      <c r="B2167" s="1" t="n">
        <v>43713</v>
      </c>
      <c r="C2167" s="1" t="n">
        <v>45182</v>
      </c>
      <c r="D2167" t="inlineStr">
        <is>
          <t>JÄMTLANDS LÄN</t>
        </is>
      </c>
      <c r="E2167" t="inlineStr">
        <is>
          <t>RAGUNDA</t>
        </is>
      </c>
      <c r="G2167" t="n">
        <v>3.3</v>
      </c>
      <c r="H2167" t="n">
        <v>0</v>
      </c>
      <c r="I2167" t="n">
        <v>0</v>
      </c>
      <c r="J2167" t="n">
        <v>0</v>
      </c>
      <c r="K2167" t="n">
        <v>0</v>
      </c>
      <c r="L2167" t="n">
        <v>0</v>
      </c>
      <c r="M2167" t="n">
        <v>0</v>
      </c>
      <c r="N2167" t="n">
        <v>0</v>
      </c>
      <c r="O2167" t="n">
        <v>0</v>
      </c>
      <c r="P2167" t="n">
        <v>0</v>
      </c>
      <c r="Q2167" t="n">
        <v>0</v>
      </c>
      <c r="R2167" s="2" t="inlineStr"/>
    </row>
    <row r="2168" ht="15" customHeight="1">
      <c r="A2168" t="inlineStr">
        <is>
          <t>A 45165-2019</t>
        </is>
      </c>
      <c r="B2168" s="1" t="n">
        <v>43713</v>
      </c>
      <c r="C2168" s="1" t="n">
        <v>45182</v>
      </c>
      <c r="D2168" t="inlineStr">
        <is>
          <t>JÄMTLANDS LÄN</t>
        </is>
      </c>
      <c r="E2168" t="inlineStr">
        <is>
          <t>STRÖMSUND</t>
        </is>
      </c>
      <c r="F2168" t="inlineStr">
        <is>
          <t>Holmen skog AB</t>
        </is>
      </c>
      <c r="G2168" t="n">
        <v>25.4</v>
      </c>
      <c r="H2168" t="n">
        <v>0</v>
      </c>
      <c r="I2168" t="n">
        <v>0</v>
      </c>
      <c r="J2168" t="n">
        <v>0</v>
      </c>
      <c r="K2168" t="n">
        <v>0</v>
      </c>
      <c r="L2168" t="n">
        <v>0</v>
      </c>
      <c r="M2168" t="n">
        <v>0</v>
      </c>
      <c r="N2168" t="n">
        <v>0</v>
      </c>
      <c r="O2168" t="n">
        <v>0</v>
      </c>
      <c r="P2168" t="n">
        <v>0</v>
      </c>
      <c r="Q2168" t="n">
        <v>0</v>
      </c>
      <c r="R2168" s="2" t="inlineStr"/>
    </row>
    <row r="2169" ht="15" customHeight="1">
      <c r="A2169" t="inlineStr">
        <is>
          <t>A 45362-2019</t>
        </is>
      </c>
      <c r="B2169" s="1" t="n">
        <v>43714</v>
      </c>
      <c r="C2169" s="1" t="n">
        <v>45182</v>
      </c>
      <c r="D2169" t="inlineStr">
        <is>
          <t>JÄMTLANDS LÄN</t>
        </is>
      </c>
      <c r="E2169" t="inlineStr">
        <is>
          <t>STRÖMSUND</t>
        </is>
      </c>
      <c r="G2169" t="n">
        <v>4.2</v>
      </c>
      <c r="H2169" t="n">
        <v>0</v>
      </c>
      <c r="I2169" t="n">
        <v>0</v>
      </c>
      <c r="J2169" t="n">
        <v>0</v>
      </c>
      <c r="K2169" t="n">
        <v>0</v>
      </c>
      <c r="L2169" t="n">
        <v>0</v>
      </c>
      <c r="M2169" t="n">
        <v>0</v>
      </c>
      <c r="N2169" t="n">
        <v>0</v>
      </c>
      <c r="O2169" t="n">
        <v>0</v>
      </c>
      <c r="P2169" t="n">
        <v>0</v>
      </c>
      <c r="Q2169" t="n">
        <v>0</v>
      </c>
      <c r="R2169" s="2" t="inlineStr"/>
    </row>
    <row r="2170" ht="15" customHeight="1">
      <c r="A2170" t="inlineStr">
        <is>
          <t>A 45540-2019</t>
        </is>
      </c>
      <c r="B2170" s="1" t="n">
        <v>43714</v>
      </c>
      <c r="C2170" s="1" t="n">
        <v>45182</v>
      </c>
      <c r="D2170" t="inlineStr">
        <is>
          <t>JÄMTLANDS LÄN</t>
        </is>
      </c>
      <c r="E2170" t="inlineStr">
        <is>
          <t>BRÄCKE</t>
        </is>
      </c>
      <c r="F2170" t="inlineStr">
        <is>
          <t>SCA</t>
        </is>
      </c>
      <c r="G2170" t="n">
        <v>28.9</v>
      </c>
      <c r="H2170" t="n">
        <v>0</v>
      </c>
      <c r="I2170" t="n">
        <v>0</v>
      </c>
      <c r="J2170" t="n">
        <v>0</v>
      </c>
      <c r="K2170" t="n">
        <v>0</v>
      </c>
      <c r="L2170" t="n">
        <v>0</v>
      </c>
      <c r="M2170" t="n">
        <v>0</v>
      </c>
      <c r="N2170" t="n">
        <v>0</v>
      </c>
      <c r="O2170" t="n">
        <v>0</v>
      </c>
      <c r="P2170" t="n">
        <v>0</v>
      </c>
      <c r="Q2170" t="n">
        <v>0</v>
      </c>
      <c r="R2170" s="2" t="inlineStr"/>
    </row>
    <row r="2171" ht="15" customHeight="1">
      <c r="A2171" t="inlineStr">
        <is>
          <t>A 45539-2019</t>
        </is>
      </c>
      <c r="B2171" s="1" t="n">
        <v>43714</v>
      </c>
      <c r="C2171" s="1" t="n">
        <v>45182</v>
      </c>
      <c r="D2171" t="inlineStr">
        <is>
          <t>JÄMTLANDS LÄN</t>
        </is>
      </c>
      <c r="E2171" t="inlineStr">
        <is>
          <t>BRÄCKE</t>
        </is>
      </c>
      <c r="F2171" t="inlineStr">
        <is>
          <t>SCA</t>
        </is>
      </c>
      <c r="G2171" t="n">
        <v>4.6</v>
      </c>
      <c r="H2171" t="n">
        <v>0</v>
      </c>
      <c r="I2171" t="n">
        <v>0</v>
      </c>
      <c r="J2171" t="n">
        <v>0</v>
      </c>
      <c r="K2171" t="n">
        <v>0</v>
      </c>
      <c r="L2171" t="n">
        <v>0</v>
      </c>
      <c r="M2171" t="n">
        <v>0</v>
      </c>
      <c r="N2171" t="n">
        <v>0</v>
      </c>
      <c r="O2171" t="n">
        <v>0</v>
      </c>
      <c r="P2171" t="n">
        <v>0</v>
      </c>
      <c r="Q2171" t="n">
        <v>0</v>
      </c>
      <c r="R2171" s="2" t="inlineStr"/>
    </row>
    <row r="2172" ht="15" customHeight="1">
      <c r="A2172" t="inlineStr">
        <is>
          <t>A 45781-2019</t>
        </is>
      </c>
      <c r="B2172" s="1" t="n">
        <v>43717</v>
      </c>
      <c r="C2172" s="1" t="n">
        <v>45182</v>
      </c>
      <c r="D2172" t="inlineStr">
        <is>
          <t>JÄMTLANDS LÄN</t>
        </is>
      </c>
      <c r="E2172" t="inlineStr">
        <is>
          <t>HÄRJEDALEN</t>
        </is>
      </c>
      <c r="F2172" t="inlineStr">
        <is>
          <t>Holmen skog AB</t>
        </is>
      </c>
      <c r="G2172" t="n">
        <v>13.8</v>
      </c>
      <c r="H2172" t="n">
        <v>0</v>
      </c>
      <c r="I2172" t="n">
        <v>0</v>
      </c>
      <c r="J2172" t="n">
        <v>0</v>
      </c>
      <c r="K2172" t="n">
        <v>0</v>
      </c>
      <c r="L2172" t="n">
        <v>0</v>
      </c>
      <c r="M2172" t="n">
        <v>0</v>
      </c>
      <c r="N2172" t="n">
        <v>0</v>
      </c>
      <c r="O2172" t="n">
        <v>0</v>
      </c>
      <c r="P2172" t="n">
        <v>0</v>
      </c>
      <c r="Q2172" t="n">
        <v>0</v>
      </c>
      <c r="R2172" s="2" t="inlineStr"/>
    </row>
    <row r="2173" ht="15" customHeight="1">
      <c r="A2173" t="inlineStr">
        <is>
          <t>A 45798-2019</t>
        </is>
      </c>
      <c r="B2173" s="1" t="n">
        <v>43717</v>
      </c>
      <c r="C2173" s="1" t="n">
        <v>45182</v>
      </c>
      <c r="D2173" t="inlineStr">
        <is>
          <t>JÄMTLANDS LÄN</t>
        </is>
      </c>
      <c r="E2173" t="inlineStr">
        <is>
          <t>ÅRE</t>
        </is>
      </c>
      <c r="G2173" t="n">
        <v>14.6</v>
      </c>
      <c r="H2173" t="n">
        <v>0</v>
      </c>
      <c r="I2173" t="n">
        <v>0</v>
      </c>
      <c r="J2173" t="n">
        <v>0</v>
      </c>
      <c r="K2173" t="n">
        <v>0</v>
      </c>
      <c r="L2173" t="n">
        <v>0</v>
      </c>
      <c r="M2173" t="n">
        <v>0</v>
      </c>
      <c r="N2173" t="n">
        <v>0</v>
      </c>
      <c r="O2173" t="n">
        <v>0</v>
      </c>
      <c r="P2173" t="n">
        <v>0</v>
      </c>
      <c r="Q2173" t="n">
        <v>0</v>
      </c>
      <c r="R2173" s="2" t="inlineStr"/>
    </row>
    <row r="2174" ht="15" customHeight="1">
      <c r="A2174" t="inlineStr">
        <is>
          <t>A 45858-2019</t>
        </is>
      </c>
      <c r="B2174" s="1" t="n">
        <v>43717</v>
      </c>
      <c r="C2174" s="1" t="n">
        <v>45182</v>
      </c>
      <c r="D2174" t="inlineStr">
        <is>
          <t>JÄMTLANDS LÄN</t>
        </is>
      </c>
      <c r="E2174" t="inlineStr">
        <is>
          <t>HÄRJEDALEN</t>
        </is>
      </c>
      <c r="F2174" t="inlineStr">
        <is>
          <t>Holmen skog AB</t>
        </is>
      </c>
      <c r="G2174" t="n">
        <v>3.9</v>
      </c>
      <c r="H2174" t="n">
        <v>0</v>
      </c>
      <c r="I2174" t="n">
        <v>0</v>
      </c>
      <c r="J2174" t="n">
        <v>0</v>
      </c>
      <c r="K2174" t="n">
        <v>0</v>
      </c>
      <c r="L2174" t="n">
        <v>0</v>
      </c>
      <c r="M2174" t="n">
        <v>0</v>
      </c>
      <c r="N2174" t="n">
        <v>0</v>
      </c>
      <c r="O2174" t="n">
        <v>0</v>
      </c>
      <c r="P2174" t="n">
        <v>0</v>
      </c>
      <c r="Q2174" t="n">
        <v>0</v>
      </c>
      <c r="R2174" s="2" t="inlineStr"/>
    </row>
    <row r="2175" ht="15" customHeight="1">
      <c r="A2175" t="inlineStr">
        <is>
          <t>A 45623-2019</t>
        </is>
      </c>
      <c r="B2175" s="1" t="n">
        <v>43717</v>
      </c>
      <c r="C2175" s="1" t="n">
        <v>45182</v>
      </c>
      <c r="D2175" t="inlineStr">
        <is>
          <t>JÄMTLANDS LÄN</t>
        </is>
      </c>
      <c r="E2175" t="inlineStr">
        <is>
          <t>BERG</t>
        </is>
      </c>
      <c r="G2175" t="n">
        <v>7.5</v>
      </c>
      <c r="H2175" t="n">
        <v>0</v>
      </c>
      <c r="I2175" t="n">
        <v>0</v>
      </c>
      <c r="J2175" t="n">
        <v>0</v>
      </c>
      <c r="K2175" t="n">
        <v>0</v>
      </c>
      <c r="L2175" t="n">
        <v>0</v>
      </c>
      <c r="M2175" t="n">
        <v>0</v>
      </c>
      <c r="N2175" t="n">
        <v>0</v>
      </c>
      <c r="O2175" t="n">
        <v>0</v>
      </c>
      <c r="P2175" t="n">
        <v>0</v>
      </c>
      <c r="Q2175" t="n">
        <v>0</v>
      </c>
      <c r="R2175" s="2" t="inlineStr"/>
    </row>
    <row r="2176" ht="15" customHeight="1">
      <c r="A2176" t="inlineStr">
        <is>
          <t>A 46288-2019</t>
        </is>
      </c>
      <c r="B2176" s="1" t="n">
        <v>43717</v>
      </c>
      <c r="C2176" s="1" t="n">
        <v>45182</v>
      </c>
      <c r="D2176" t="inlineStr">
        <is>
          <t>JÄMTLANDS LÄN</t>
        </is>
      </c>
      <c r="E2176" t="inlineStr">
        <is>
          <t>KROKOM</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45794-2019</t>
        </is>
      </c>
      <c r="B2177" s="1" t="n">
        <v>43717</v>
      </c>
      <c r="C2177" s="1" t="n">
        <v>45182</v>
      </c>
      <c r="D2177" t="inlineStr">
        <is>
          <t>JÄMTLANDS LÄN</t>
        </is>
      </c>
      <c r="E2177" t="inlineStr">
        <is>
          <t>ÅRE</t>
        </is>
      </c>
      <c r="G2177" t="n">
        <v>37.7</v>
      </c>
      <c r="H2177" t="n">
        <v>0</v>
      </c>
      <c r="I2177" t="n">
        <v>0</v>
      </c>
      <c r="J2177" t="n">
        <v>0</v>
      </c>
      <c r="K2177" t="n">
        <v>0</v>
      </c>
      <c r="L2177" t="n">
        <v>0</v>
      </c>
      <c r="M2177" t="n">
        <v>0</v>
      </c>
      <c r="N2177" t="n">
        <v>0</v>
      </c>
      <c r="O2177" t="n">
        <v>0</v>
      </c>
      <c r="P2177" t="n">
        <v>0</v>
      </c>
      <c r="Q2177" t="n">
        <v>0</v>
      </c>
      <c r="R2177" s="2" t="inlineStr"/>
    </row>
    <row r="2178" ht="15" customHeight="1">
      <c r="A2178" t="inlineStr">
        <is>
          <t>A 45835-2019</t>
        </is>
      </c>
      <c r="B2178" s="1" t="n">
        <v>43717</v>
      </c>
      <c r="C2178" s="1" t="n">
        <v>45182</v>
      </c>
      <c r="D2178" t="inlineStr">
        <is>
          <t>JÄMTLANDS LÄN</t>
        </is>
      </c>
      <c r="E2178" t="inlineStr">
        <is>
          <t>STRÖMSUND</t>
        </is>
      </c>
      <c r="F2178" t="inlineStr">
        <is>
          <t>Holmen skog AB</t>
        </is>
      </c>
      <c r="G2178" t="n">
        <v>5.9</v>
      </c>
      <c r="H2178" t="n">
        <v>0</v>
      </c>
      <c r="I2178" t="n">
        <v>0</v>
      </c>
      <c r="J2178" t="n">
        <v>0</v>
      </c>
      <c r="K2178" t="n">
        <v>0</v>
      </c>
      <c r="L2178" t="n">
        <v>0</v>
      </c>
      <c r="M2178" t="n">
        <v>0</v>
      </c>
      <c r="N2178" t="n">
        <v>0</v>
      </c>
      <c r="O2178" t="n">
        <v>0</v>
      </c>
      <c r="P2178" t="n">
        <v>0</v>
      </c>
      <c r="Q2178" t="n">
        <v>0</v>
      </c>
      <c r="R2178" s="2" t="inlineStr"/>
    </row>
    <row r="2179" ht="15" customHeight="1">
      <c r="A2179" t="inlineStr">
        <is>
          <t>A 45918-2019</t>
        </is>
      </c>
      <c r="B2179" s="1" t="n">
        <v>43717</v>
      </c>
      <c r="C2179" s="1" t="n">
        <v>45182</v>
      </c>
      <c r="D2179" t="inlineStr">
        <is>
          <t>JÄMTLANDS LÄN</t>
        </is>
      </c>
      <c r="E2179" t="inlineStr">
        <is>
          <t>STRÖMSUND</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45649-2019</t>
        </is>
      </c>
      <c r="B2180" s="1" t="n">
        <v>43717</v>
      </c>
      <c r="C2180" s="1" t="n">
        <v>45182</v>
      </c>
      <c r="D2180" t="inlineStr">
        <is>
          <t>JÄMTLANDS LÄN</t>
        </is>
      </c>
      <c r="E2180" t="inlineStr">
        <is>
          <t>STRÖMSUND</t>
        </is>
      </c>
      <c r="F2180" t="inlineStr">
        <is>
          <t>Holmen skog AB</t>
        </is>
      </c>
      <c r="G2180" t="n">
        <v>24.2</v>
      </c>
      <c r="H2180" t="n">
        <v>0</v>
      </c>
      <c r="I2180" t="n">
        <v>0</v>
      </c>
      <c r="J2180" t="n">
        <v>0</v>
      </c>
      <c r="K2180" t="n">
        <v>0</v>
      </c>
      <c r="L2180" t="n">
        <v>0</v>
      </c>
      <c r="M2180" t="n">
        <v>0</v>
      </c>
      <c r="N2180" t="n">
        <v>0</v>
      </c>
      <c r="O2180" t="n">
        <v>0</v>
      </c>
      <c r="P2180" t="n">
        <v>0</v>
      </c>
      <c r="Q2180" t="n">
        <v>0</v>
      </c>
      <c r="R2180" s="2" t="inlineStr"/>
    </row>
    <row r="2181" ht="15" customHeight="1">
      <c r="A2181" t="inlineStr">
        <is>
          <t>A 45917-2019</t>
        </is>
      </c>
      <c r="B2181" s="1" t="n">
        <v>43717</v>
      </c>
      <c r="C2181" s="1" t="n">
        <v>45182</v>
      </c>
      <c r="D2181" t="inlineStr">
        <is>
          <t>JÄMTLANDS LÄN</t>
        </is>
      </c>
      <c r="E2181" t="inlineStr">
        <is>
          <t>STRÖMSUND</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45963-2019</t>
        </is>
      </c>
      <c r="B2182" s="1" t="n">
        <v>43718</v>
      </c>
      <c r="C2182" s="1" t="n">
        <v>45182</v>
      </c>
      <c r="D2182" t="inlineStr">
        <is>
          <t>JÄMTLANDS LÄN</t>
        </is>
      </c>
      <c r="E2182" t="inlineStr">
        <is>
          <t>STRÖMSUND</t>
        </is>
      </c>
      <c r="F2182" t="inlineStr">
        <is>
          <t>Holmen skog AB</t>
        </is>
      </c>
      <c r="G2182" t="n">
        <v>11.8</v>
      </c>
      <c r="H2182" t="n">
        <v>0</v>
      </c>
      <c r="I2182" t="n">
        <v>0</v>
      </c>
      <c r="J2182" t="n">
        <v>0</v>
      </c>
      <c r="K2182" t="n">
        <v>0</v>
      </c>
      <c r="L2182" t="n">
        <v>0</v>
      </c>
      <c r="M2182" t="n">
        <v>0</v>
      </c>
      <c r="N2182" t="n">
        <v>0</v>
      </c>
      <c r="O2182" t="n">
        <v>0</v>
      </c>
      <c r="P2182" t="n">
        <v>0</v>
      </c>
      <c r="Q2182" t="n">
        <v>0</v>
      </c>
      <c r="R2182" s="2" t="inlineStr"/>
    </row>
    <row r="2183" ht="15" customHeight="1">
      <c r="A2183" t="inlineStr">
        <is>
          <t>A 46163-2019</t>
        </is>
      </c>
      <c r="B2183" s="1" t="n">
        <v>43718</v>
      </c>
      <c r="C2183" s="1" t="n">
        <v>45182</v>
      </c>
      <c r="D2183" t="inlineStr">
        <is>
          <t>JÄMTLANDS LÄN</t>
        </is>
      </c>
      <c r="E2183" t="inlineStr">
        <is>
          <t>HÄRJEDALEN</t>
        </is>
      </c>
      <c r="G2183" t="n">
        <v>28.9</v>
      </c>
      <c r="H2183" t="n">
        <v>0</v>
      </c>
      <c r="I2183" t="n">
        <v>0</v>
      </c>
      <c r="J2183" t="n">
        <v>0</v>
      </c>
      <c r="K2183" t="n">
        <v>0</v>
      </c>
      <c r="L2183" t="n">
        <v>0</v>
      </c>
      <c r="M2183" t="n">
        <v>0</v>
      </c>
      <c r="N2183" t="n">
        <v>0</v>
      </c>
      <c r="O2183" t="n">
        <v>0</v>
      </c>
      <c r="P2183" t="n">
        <v>0</v>
      </c>
      <c r="Q2183" t="n">
        <v>0</v>
      </c>
      <c r="R2183" s="2" t="inlineStr"/>
    </row>
    <row r="2184" ht="15" customHeight="1">
      <c r="A2184" t="inlineStr">
        <is>
          <t>A 46156-2019</t>
        </is>
      </c>
      <c r="B2184" s="1" t="n">
        <v>43718</v>
      </c>
      <c r="C2184" s="1" t="n">
        <v>45182</v>
      </c>
      <c r="D2184" t="inlineStr">
        <is>
          <t>JÄMTLANDS LÄN</t>
        </is>
      </c>
      <c r="E2184" t="inlineStr">
        <is>
          <t>HÄRJEDALEN</t>
        </is>
      </c>
      <c r="G2184" t="n">
        <v>3.9</v>
      </c>
      <c r="H2184" t="n">
        <v>0</v>
      </c>
      <c r="I2184" t="n">
        <v>0</v>
      </c>
      <c r="J2184" t="n">
        <v>0</v>
      </c>
      <c r="K2184" t="n">
        <v>0</v>
      </c>
      <c r="L2184" t="n">
        <v>0</v>
      </c>
      <c r="M2184" t="n">
        <v>0</v>
      </c>
      <c r="N2184" t="n">
        <v>0</v>
      </c>
      <c r="O2184" t="n">
        <v>0</v>
      </c>
      <c r="P2184" t="n">
        <v>0</v>
      </c>
      <c r="Q2184" t="n">
        <v>0</v>
      </c>
      <c r="R2184" s="2" t="inlineStr"/>
    </row>
    <row r="2185" ht="15" customHeight="1">
      <c r="A2185" t="inlineStr">
        <is>
          <t>A 46133-2019</t>
        </is>
      </c>
      <c r="B2185" s="1" t="n">
        <v>43718</v>
      </c>
      <c r="C2185" s="1" t="n">
        <v>45182</v>
      </c>
      <c r="D2185" t="inlineStr">
        <is>
          <t>JÄMTLANDS LÄN</t>
        </is>
      </c>
      <c r="E2185" t="inlineStr">
        <is>
          <t>HÄRJEDALEN</t>
        </is>
      </c>
      <c r="G2185" t="n">
        <v>17.6</v>
      </c>
      <c r="H2185" t="n">
        <v>0</v>
      </c>
      <c r="I2185" t="n">
        <v>0</v>
      </c>
      <c r="J2185" t="n">
        <v>0</v>
      </c>
      <c r="K2185" t="n">
        <v>0</v>
      </c>
      <c r="L2185" t="n">
        <v>0</v>
      </c>
      <c r="M2185" t="n">
        <v>0</v>
      </c>
      <c r="N2185" t="n">
        <v>0</v>
      </c>
      <c r="O2185" t="n">
        <v>0</v>
      </c>
      <c r="P2185" t="n">
        <v>0</v>
      </c>
      <c r="Q2185" t="n">
        <v>0</v>
      </c>
      <c r="R2185" s="2" t="inlineStr"/>
    </row>
    <row r="2186" ht="15" customHeight="1">
      <c r="A2186" t="inlineStr">
        <is>
          <t>A 46346-2019</t>
        </is>
      </c>
      <c r="B2186" s="1" t="n">
        <v>43718</v>
      </c>
      <c r="C2186" s="1" t="n">
        <v>45182</v>
      </c>
      <c r="D2186" t="inlineStr">
        <is>
          <t>JÄMTLANDS LÄN</t>
        </is>
      </c>
      <c r="E2186" t="inlineStr">
        <is>
          <t>ÖSTERSUND</t>
        </is>
      </c>
      <c r="F2186" t="inlineStr">
        <is>
          <t>SCA</t>
        </is>
      </c>
      <c r="G2186" t="n">
        <v>6.5</v>
      </c>
      <c r="H2186" t="n">
        <v>0</v>
      </c>
      <c r="I2186" t="n">
        <v>0</v>
      </c>
      <c r="J2186" t="n">
        <v>0</v>
      </c>
      <c r="K2186" t="n">
        <v>0</v>
      </c>
      <c r="L2186" t="n">
        <v>0</v>
      </c>
      <c r="M2186" t="n">
        <v>0</v>
      </c>
      <c r="N2186" t="n">
        <v>0</v>
      </c>
      <c r="O2186" t="n">
        <v>0</v>
      </c>
      <c r="P2186" t="n">
        <v>0</v>
      </c>
      <c r="Q2186" t="n">
        <v>0</v>
      </c>
      <c r="R2186" s="2" t="inlineStr"/>
    </row>
    <row r="2187" ht="15" customHeight="1">
      <c r="A2187" t="inlineStr">
        <is>
          <t>A 47004-2019</t>
        </is>
      </c>
      <c r="B2187" s="1" t="n">
        <v>43720</v>
      </c>
      <c r="C2187" s="1" t="n">
        <v>45182</v>
      </c>
      <c r="D2187" t="inlineStr">
        <is>
          <t>JÄMTLANDS LÄN</t>
        </is>
      </c>
      <c r="E2187" t="inlineStr">
        <is>
          <t>HÄRJEDALEN</t>
        </is>
      </c>
      <c r="F2187" t="inlineStr">
        <is>
          <t>Bergvik skog väst AB</t>
        </is>
      </c>
      <c r="G2187" t="n">
        <v>13.7</v>
      </c>
      <c r="H2187" t="n">
        <v>0</v>
      </c>
      <c r="I2187" t="n">
        <v>0</v>
      </c>
      <c r="J2187" t="n">
        <v>0</v>
      </c>
      <c r="K2187" t="n">
        <v>0</v>
      </c>
      <c r="L2187" t="n">
        <v>0</v>
      </c>
      <c r="M2187" t="n">
        <v>0</v>
      </c>
      <c r="N2187" t="n">
        <v>0</v>
      </c>
      <c r="O2187" t="n">
        <v>0</v>
      </c>
      <c r="P2187" t="n">
        <v>0</v>
      </c>
      <c r="Q2187" t="n">
        <v>0</v>
      </c>
      <c r="R2187" s="2" t="inlineStr"/>
    </row>
    <row r="2188" ht="15" customHeight="1">
      <c r="A2188" t="inlineStr">
        <is>
          <t>A 46844-2019</t>
        </is>
      </c>
      <c r="B2188" s="1" t="n">
        <v>43720</v>
      </c>
      <c r="C2188" s="1" t="n">
        <v>45182</v>
      </c>
      <c r="D2188" t="inlineStr">
        <is>
          <t>JÄMTLANDS LÄN</t>
        </is>
      </c>
      <c r="E2188" t="inlineStr">
        <is>
          <t>BRÄCKE</t>
        </is>
      </c>
      <c r="G2188" t="n">
        <v>4.3</v>
      </c>
      <c r="H2188" t="n">
        <v>0</v>
      </c>
      <c r="I2188" t="n">
        <v>0</v>
      </c>
      <c r="J2188" t="n">
        <v>0</v>
      </c>
      <c r="K2188" t="n">
        <v>0</v>
      </c>
      <c r="L2188" t="n">
        <v>0</v>
      </c>
      <c r="M2188" t="n">
        <v>0</v>
      </c>
      <c r="N2188" t="n">
        <v>0</v>
      </c>
      <c r="O2188" t="n">
        <v>0</v>
      </c>
      <c r="P2188" t="n">
        <v>0</v>
      </c>
      <c r="Q2188" t="n">
        <v>0</v>
      </c>
      <c r="R2188" s="2" t="inlineStr"/>
    </row>
    <row r="2189" ht="15" customHeight="1">
      <c r="A2189" t="inlineStr">
        <is>
          <t>A 47074-2019</t>
        </is>
      </c>
      <c r="B2189" s="1" t="n">
        <v>43720</v>
      </c>
      <c r="C2189" s="1" t="n">
        <v>45182</v>
      </c>
      <c r="D2189" t="inlineStr">
        <is>
          <t>JÄMTLANDS LÄN</t>
        </is>
      </c>
      <c r="E2189" t="inlineStr">
        <is>
          <t>BRÄCKE</t>
        </is>
      </c>
      <c r="F2189" t="inlineStr">
        <is>
          <t>SCA</t>
        </is>
      </c>
      <c r="G2189" t="n">
        <v>4.1</v>
      </c>
      <c r="H2189" t="n">
        <v>0</v>
      </c>
      <c r="I2189" t="n">
        <v>0</v>
      </c>
      <c r="J2189" t="n">
        <v>0</v>
      </c>
      <c r="K2189" t="n">
        <v>0</v>
      </c>
      <c r="L2189" t="n">
        <v>0</v>
      </c>
      <c r="M2189" t="n">
        <v>0</v>
      </c>
      <c r="N2189" t="n">
        <v>0</v>
      </c>
      <c r="O2189" t="n">
        <v>0</v>
      </c>
      <c r="P2189" t="n">
        <v>0</v>
      </c>
      <c r="Q2189" t="n">
        <v>0</v>
      </c>
      <c r="R2189" s="2" t="inlineStr"/>
    </row>
    <row r="2190" ht="15" customHeight="1">
      <c r="A2190" t="inlineStr">
        <is>
          <t>A 47082-2019</t>
        </is>
      </c>
      <c r="B2190" s="1" t="n">
        <v>43720</v>
      </c>
      <c r="C2190" s="1" t="n">
        <v>45182</v>
      </c>
      <c r="D2190" t="inlineStr">
        <is>
          <t>JÄMTLANDS LÄN</t>
        </is>
      </c>
      <c r="E2190" t="inlineStr">
        <is>
          <t>STRÖMSUND</t>
        </is>
      </c>
      <c r="F2190" t="inlineStr">
        <is>
          <t>SCA</t>
        </is>
      </c>
      <c r="G2190" t="n">
        <v>11.6</v>
      </c>
      <c r="H2190" t="n">
        <v>0</v>
      </c>
      <c r="I2190" t="n">
        <v>0</v>
      </c>
      <c r="J2190" t="n">
        <v>0</v>
      </c>
      <c r="K2190" t="n">
        <v>0</v>
      </c>
      <c r="L2190" t="n">
        <v>0</v>
      </c>
      <c r="M2190" t="n">
        <v>0</v>
      </c>
      <c r="N2190" t="n">
        <v>0</v>
      </c>
      <c r="O2190" t="n">
        <v>0</v>
      </c>
      <c r="P2190" t="n">
        <v>0</v>
      </c>
      <c r="Q2190" t="n">
        <v>0</v>
      </c>
      <c r="R2190" s="2" t="inlineStr"/>
    </row>
    <row r="2191" ht="15" customHeight="1">
      <c r="A2191" t="inlineStr">
        <is>
          <t>A 47259-2019</t>
        </is>
      </c>
      <c r="B2191" s="1" t="n">
        <v>43721</v>
      </c>
      <c r="C2191" s="1" t="n">
        <v>45182</v>
      </c>
      <c r="D2191" t="inlineStr">
        <is>
          <t>JÄMTLANDS LÄN</t>
        </is>
      </c>
      <c r="E2191" t="inlineStr">
        <is>
          <t>ÅRE</t>
        </is>
      </c>
      <c r="G2191" t="n">
        <v>12.7</v>
      </c>
      <c r="H2191" t="n">
        <v>0</v>
      </c>
      <c r="I2191" t="n">
        <v>0</v>
      </c>
      <c r="J2191" t="n">
        <v>0</v>
      </c>
      <c r="K2191" t="n">
        <v>0</v>
      </c>
      <c r="L2191" t="n">
        <v>0</v>
      </c>
      <c r="M2191" t="n">
        <v>0</v>
      </c>
      <c r="N2191" t="n">
        <v>0</v>
      </c>
      <c r="O2191" t="n">
        <v>0</v>
      </c>
      <c r="P2191" t="n">
        <v>0</v>
      </c>
      <c r="Q2191" t="n">
        <v>0</v>
      </c>
      <c r="R2191" s="2" t="inlineStr"/>
    </row>
    <row r="2192" ht="15" customHeight="1">
      <c r="A2192" t="inlineStr">
        <is>
          <t>A 47406-2019</t>
        </is>
      </c>
      <c r="B2192" s="1" t="n">
        <v>43722</v>
      </c>
      <c r="C2192" s="1" t="n">
        <v>45182</v>
      </c>
      <c r="D2192" t="inlineStr">
        <is>
          <t>JÄMTLANDS LÄN</t>
        </is>
      </c>
      <c r="E2192" t="inlineStr">
        <is>
          <t>KROKOM</t>
        </is>
      </c>
      <c r="G2192" t="n">
        <v>7.4</v>
      </c>
      <c r="H2192" t="n">
        <v>0</v>
      </c>
      <c r="I2192" t="n">
        <v>0</v>
      </c>
      <c r="J2192" t="n">
        <v>0</v>
      </c>
      <c r="K2192" t="n">
        <v>0</v>
      </c>
      <c r="L2192" t="n">
        <v>0</v>
      </c>
      <c r="M2192" t="n">
        <v>0</v>
      </c>
      <c r="N2192" t="n">
        <v>0</v>
      </c>
      <c r="O2192" t="n">
        <v>0</v>
      </c>
      <c r="P2192" t="n">
        <v>0</v>
      </c>
      <c r="Q2192" t="n">
        <v>0</v>
      </c>
      <c r="R2192" s="2" t="inlineStr"/>
    </row>
    <row r="2193" ht="15" customHeight="1">
      <c r="A2193" t="inlineStr">
        <is>
          <t>A 47410-2019</t>
        </is>
      </c>
      <c r="B2193" s="1" t="n">
        <v>43723</v>
      </c>
      <c r="C2193" s="1" t="n">
        <v>45182</v>
      </c>
      <c r="D2193" t="inlineStr">
        <is>
          <t>JÄMTLANDS LÄN</t>
        </is>
      </c>
      <c r="E2193" t="inlineStr">
        <is>
          <t>STRÖMSUND</t>
        </is>
      </c>
      <c r="G2193" t="n">
        <v>5.4</v>
      </c>
      <c r="H2193" t="n">
        <v>0</v>
      </c>
      <c r="I2193" t="n">
        <v>0</v>
      </c>
      <c r="J2193" t="n">
        <v>0</v>
      </c>
      <c r="K2193" t="n">
        <v>0</v>
      </c>
      <c r="L2193" t="n">
        <v>0</v>
      </c>
      <c r="M2193" t="n">
        <v>0</v>
      </c>
      <c r="N2193" t="n">
        <v>0</v>
      </c>
      <c r="O2193" t="n">
        <v>0</v>
      </c>
      <c r="P2193" t="n">
        <v>0</v>
      </c>
      <c r="Q2193" t="n">
        <v>0</v>
      </c>
      <c r="R2193" s="2" t="inlineStr"/>
    </row>
    <row r="2194" ht="15" customHeight="1">
      <c r="A2194" t="inlineStr">
        <is>
          <t>A 47811-2019</t>
        </is>
      </c>
      <c r="B2194" s="1" t="n">
        <v>43724</v>
      </c>
      <c r="C2194" s="1" t="n">
        <v>45182</v>
      </c>
      <c r="D2194" t="inlineStr">
        <is>
          <t>JÄMTLANDS LÄN</t>
        </is>
      </c>
      <c r="E2194" t="inlineStr">
        <is>
          <t>STRÖMSUND</t>
        </is>
      </c>
      <c r="F2194" t="inlineStr">
        <is>
          <t>SCA</t>
        </is>
      </c>
      <c r="G2194" t="n">
        <v>14.6</v>
      </c>
      <c r="H2194" t="n">
        <v>0</v>
      </c>
      <c r="I2194" t="n">
        <v>0</v>
      </c>
      <c r="J2194" t="n">
        <v>0</v>
      </c>
      <c r="K2194" t="n">
        <v>0</v>
      </c>
      <c r="L2194" t="n">
        <v>0</v>
      </c>
      <c r="M2194" t="n">
        <v>0</v>
      </c>
      <c r="N2194" t="n">
        <v>0</v>
      </c>
      <c r="O2194" t="n">
        <v>0</v>
      </c>
      <c r="P2194" t="n">
        <v>0</v>
      </c>
      <c r="Q2194" t="n">
        <v>0</v>
      </c>
      <c r="R2194" s="2" t="inlineStr"/>
    </row>
    <row r="2195" ht="15" customHeight="1">
      <c r="A2195" t="inlineStr">
        <is>
          <t>A 47531-2019</t>
        </is>
      </c>
      <c r="B2195" s="1" t="n">
        <v>43724</v>
      </c>
      <c r="C2195" s="1" t="n">
        <v>45182</v>
      </c>
      <c r="D2195" t="inlineStr">
        <is>
          <t>JÄMTLANDS LÄN</t>
        </is>
      </c>
      <c r="E2195" t="inlineStr">
        <is>
          <t>STRÖMSUND</t>
        </is>
      </c>
      <c r="G2195" t="n">
        <v>30.4</v>
      </c>
      <c r="H2195" t="n">
        <v>0</v>
      </c>
      <c r="I2195" t="n">
        <v>0</v>
      </c>
      <c r="J2195" t="n">
        <v>0</v>
      </c>
      <c r="K2195" t="n">
        <v>0</v>
      </c>
      <c r="L2195" t="n">
        <v>0</v>
      </c>
      <c r="M2195" t="n">
        <v>0</v>
      </c>
      <c r="N2195" t="n">
        <v>0</v>
      </c>
      <c r="O2195" t="n">
        <v>0</v>
      </c>
      <c r="P2195" t="n">
        <v>0</v>
      </c>
      <c r="Q2195" t="n">
        <v>0</v>
      </c>
      <c r="R2195" s="2" t="inlineStr"/>
    </row>
    <row r="2196" ht="15" customHeight="1">
      <c r="A2196" t="inlineStr">
        <is>
          <t>A 47810-2019</t>
        </is>
      </c>
      <c r="B2196" s="1" t="n">
        <v>43724</v>
      </c>
      <c r="C2196" s="1" t="n">
        <v>45182</v>
      </c>
      <c r="D2196" t="inlineStr">
        <is>
          <t>JÄMTLANDS LÄN</t>
        </is>
      </c>
      <c r="E2196" t="inlineStr">
        <is>
          <t>ÖSTERSUND</t>
        </is>
      </c>
      <c r="F2196" t="inlineStr">
        <is>
          <t>SCA</t>
        </is>
      </c>
      <c r="G2196" t="n">
        <v>0.5</v>
      </c>
      <c r="H2196" t="n">
        <v>0</v>
      </c>
      <c r="I2196" t="n">
        <v>0</v>
      </c>
      <c r="J2196" t="n">
        <v>0</v>
      </c>
      <c r="K2196" t="n">
        <v>0</v>
      </c>
      <c r="L2196" t="n">
        <v>0</v>
      </c>
      <c r="M2196" t="n">
        <v>0</v>
      </c>
      <c r="N2196" t="n">
        <v>0</v>
      </c>
      <c r="O2196" t="n">
        <v>0</v>
      </c>
      <c r="P2196" t="n">
        <v>0</v>
      </c>
      <c r="Q2196" t="n">
        <v>0</v>
      </c>
      <c r="R2196" s="2" t="inlineStr"/>
    </row>
    <row r="2197" ht="15" customHeight="1">
      <c r="A2197" t="inlineStr">
        <is>
          <t>A 48115-2019</t>
        </is>
      </c>
      <c r="B2197" s="1" t="n">
        <v>43725</v>
      </c>
      <c r="C2197" s="1" t="n">
        <v>45182</v>
      </c>
      <c r="D2197" t="inlineStr">
        <is>
          <t>JÄMTLANDS LÄN</t>
        </is>
      </c>
      <c r="E2197" t="inlineStr">
        <is>
          <t>ÖSTERSUND</t>
        </is>
      </c>
      <c r="F2197" t="inlineStr">
        <is>
          <t>SCA</t>
        </is>
      </c>
      <c r="G2197" t="n">
        <v>3</v>
      </c>
      <c r="H2197" t="n">
        <v>0</v>
      </c>
      <c r="I2197" t="n">
        <v>0</v>
      </c>
      <c r="J2197" t="n">
        <v>0</v>
      </c>
      <c r="K2197" t="n">
        <v>0</v>
      </c>
      <c r="L2197" t="n">
        <v>0</v>
      </c>
      <c r="M2197" t="n">
        <v>0</v>
      </c>
      <c r="N2197" t="n">
        <v>0</v>
      </c>
      <c r="O2197" t="n">
        <v>0</v>
      </c>
      <c r="P2197" t="n">
        <v>0</v>
      </c>
      <c r="Q2197" t="n">
        <v>0</v>
      </c>
      <c r="R2197" s="2" t="inlineStr"/>
    </row>
    <row r="2198" ht="15" customHeight="1">
      <c r="A2198" t="inlineStr">
        <is>
          <t>A 48052-2019</t>
        </is>
      </c>
      <c r="B2198" s="1" t="n">
        <v>43725</v>
      </c>
      <c r="C2198" s="1" t="n">
        <v>45182</v>
      </c>
      <c r="D2198" t="inlineStr">
        <is>
          <t>JÄMTLANDS LÄN</t>
        </is>
      </c>
      <c r="E2198" t="inlineStr">
        <is>
          <t>STRÖMSUND</t>
        </is>
      </c>
      <c r="G2198" t="n">
        <v>4.8</v>
      </c>
      <c r="H2198" t="n">
        <v>0</v>
      </c>
      <c r="I2198" t="n">
        <v>0</v>
      </c>
      <c r="J2198" t="n">
        <v>0</v>
      </c>
      <c r="K2198" t="n">
        <v>0</v>
      </c>
      <c r="L2198" t="n">
        <v>0</v>
      </c>
      <c r="M2198" t="n">
        <v>0</v>
      </c>
      <c r="N2198" t="n">
        <v>0</v>
      </c>
      <c r="O2198" t="n">
        <v>0</v>
      </c>
      <c r="P2198" t="n">
        <v>0</v>
      </c>
      <c r="Q2198" t="n">
        <v>0</v>
      </c>
      <c r="R2198" s="2" t="inlineStr"/>
    </row>
    <row r="2199" ht="15" customHeight="1">
      <c r="A2199" t="inlineStr">
        <is>
          <t>A 48291-2019</t>
        </is>
      </c>
      <c r="B2199" s="1" t="n">
        <v>43726</v>
      </c>
      <c r="C2199" s="1" t="n">
        <v>45182</v>
      </c>
      <c r="D2199" t="inlineStr">
        <is>
          <t>JÄMTLANDS LÄN</t>
        </is>
      </c>
      <c r="E2199" t="inlineStr">
        <is>
          <t>ÅRE</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48311-2019</t>
        </is>
      </c>
      <c r="B2200" s="1" t="n">
        <v>43726</v>
      </c>
      <c r="C2200" s="1" t="n">
        <v>45182</v>
      </c>
      <c r="D2200" t="inlineStr">
        <is>
          <t>JÄMTLANDS LÄN</t>
        </is>
      </c>
      <c r="E2200" t="inlineStr">
        <is>
          <t>KROKOM</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48578-2019</t>
        </is>
      </c>
      <c r="B2201" s="1" t="n">
        <v>43727</v>
      </c>
      <c r="C2201" s="1" t="n">
        <v>45182</v>
      </c>
      <c r="D2201" t="inlineStr">
        <is>
          <t>JÄMTLANDS LÄN</t>
        </is>
      </c>
      <c r="E2201" t="inlineStr">
        <is>
          <t>STRÖMSUND</t>
        </is>
      </c>
      <c r="G2201" t="n">
        <v>20.8</v>
      </c>
      <c r="H2201" t="n">
        <v>0</v>
      </c>
      <c r="I2201" t="n">
        <v>0</v>
      </c>
      <c r="J2201" t="n">
        <v>0</v>
      </c>
      <c r="K2201" t="n">
        <v>0</v>
      </c>
      <c r="L2201" t="n">
        <v>0</v>
      </c>
      <c r="M2201" t="n">
        <v>0</v>
      </c>
      <c r="N2201" t="n">
        <v>0</v>
      </c>
      <c r="O2201" t="n">
        <v>0</v>
      </c>
      <c r="P2201" t="n">
        <v>0</v>
      </c>
      <c r="Q2201" t="n">
        <v>0</v>
      </c>
      <c r="R2201" s="2" t="inlineStr"/>
    </row>
    <row r="2202" ht="15" customHeight="1">
      <c r="A2202" t="inlineStr">
        <is>
          <t>A 48680-2019</t>
        </is>
      </c>
      <c r="B2202" s="1" t="n">
        <v>43727</v>
      </c>
      <c r="C2202" s="1" t="n">
        <v>45182</v>
      </c>
      <c r="D2202" t="inlineStr">
        <is>
          <t>JÄMTLANDS LÄN</t>
        </is>
      </c>
      <c r="E2202" t="inlineStr">
        <is>
          <t>ÖSTERSUND</t>
        </is>
      </c>
      <c r="G2202" t="n">
        <v>3</v>
      </c>
      <c r="H2202" t="n">
        <v>0</v>
      </c>
      <c r="I2202" t="n">
        <v>0</v>
      </c>
      <c r="J2202" t="n">
        <v>0</v>
      </c>
      <c r="K2202" t="n">
        <v>0</v>
      </c>
      <c r="L2202" t="n">
        <v>0</v>
      </c>
      <c r="M2202" t="n">
        <v>0</v>
      </c>
      <c r="N2202" t="n">
        <v>0</v>
      </c>
      <c r="O2202" t="n">
        <v>0</v>
      </c>
      <c r="P2202" t="n">
        <v>0</v>
      </c>
      <c r="Q2202" t="n">
        <v>0</v>
      </c>
      <c r="R2202" s="2" t="inlineStr"/>
    </row>
    <row r="2203" ht="15" customHeight="1">
      <c r="A2203" t="inlineStr">
        <is>
          <t>A 48620-2019</t>
        </is>
      </c>
      <c r="B2203" s="1" t="n">
        <v>43727</v>
      </c>
      <c r="C2203" s="1" t="n">
        <v>45182</v>
      </c>
      <c r="D2203" t="inlineStr">
        <is>
          <t>JÄMTLANDS LÄN</t>
        </is>
      </c>
      <c r="E2203" t="inlineStr">
        <is>
          <t>STRÖMSUND</t>
        </is>
      </c>
      <c r="G2203" t="n">
        <v>2.4</v>
      </c>
      <c r="H2203" t="n">
        <v>0</v>
      </c>
      <c r="I2203" t="n">
        <v>0</v>
      </c>
      <c r="J2203" t="n">
        <v>0</v>
      </c>
      <c r="K2203" t="n">
        <v>0</v>
      </c>
      <c r="L2203" t="n">
        <v>0</v>
      </c>
      <c r="M2203" t="n">
        <v>0</v>
      </c>
      <c r="N2203" t="n">
        <v>0</v>
      </c>
      <c r="O2203" t="n">
        <v>0</v>
      </c>
      <c r="P2203" t="n">
        <v>0</v>
      </c>
      <c r="Q2203" t="n">
        <v>0</v>
      </c>
      <c r="R2203" s="2" t="inlineStr"/>
    </row>
    <row r="2204" ht="15" customHeight="1">
      <c r="A2204" t="inlineStr">
        <is>
          <t>A 48565-2019</t>
        </is>
      </c>
      <c r="B2204" s="1" t="n">
        <v>43727</v>
      </c>
      <c r="C2204" s="1" t="n">
        <v>45182</v>
      </c>
      <c r="D2204" t="inlineStr">
        <is>
          <t>JÄMTLANDS LÄN</t>
        </is>
      </c>
      <c r="E2204" t="inlineStr">
        <is>
          <t>STRÖMSUND</t>
        </is>
      </c>
      <c r="G2204" t="n">
        <v>2.8</v>
      </c>
      <c r="H2204" t="n">
        <v>0</v>
      </c>
      <c r="I2204" t="n">
        <v>0</v>
      </c>
      <c r="J2204" t="n">
        <v>0</v>
      </c>
      <c r="K2204" t="n">
        <v>0</v>
      </c>
      <c r="L2204" t="n">
        <v>0</v>
      </c>
      <c r="M2204" t="n">
        <v>0</v>
      </c>
      <c r="N2204" t="n">
        <v>0</v>
      </c>
      <c r="O2204" t="n">
        <v>0</v>
      </c>
      <c r="P2204" t="n">
        <v>0</v>
      </c>
      <c r="Q2204" t="n">
        <v>0</v>
      </c>
      <c r="R2204" s="2" t="inlineStr"/>
    </row>
    <row r="2205" ht="15" customHeight="1">
      <c r="A2205" t="inlineStr">
        <is>
          <t>A 48573-2019</t>
        </is>
      </c>
      <c r="B2205" s="1" t="n">
        <v>43727</v>
      </c>
      <c r="C2205" s="1" t="n">
        <v>45182</v>
      </c>
      <c r="D2205" t="inlineStr">
        <is>
          <t>JÄMTLANDS LÄN</t>
        </is>
      </c>
      <c r="E2205" t="inlineStr">
        <is>
          <t>STRÖMSUND</t>
        </is>
      </c>
      <c r="G2205" t="n">
        <v>7.5</v>
      </c>
      <c r="H2205" t="n">
        <v>0</v>
      </c>
      <c r="I2205" t="n">
        <v>0</v>
      </c>
      <c r="J2205" t="n">
        <v>0</v>
      </c>
      <c r="K2205" t="n">
        <v>0</v>
      </c>
      <c r="L2205" t="n">
        <v>0</v>
      </c>
      <c r="M2205" t="n">
        <v>0</v>
      </c>
      <c r="N2205" t="n">
        <v>0</v>
      </c>
      <c r="O2205" t="n">
        <v>0</v>
      </c>
      <c r="P2205" t="n">
        <v>0</v>
      </c>
      <c r="Q2205" t="n">
        <v>0</v>
      </c>
      <c r="R2205" s="2" t="inlineStr"/>
    </row>
    <row r="2206" ht="15" customHeight="1">
      <c r="A2206" t="inlineStr">
        <is>
          <t>A 48613-2019</t>
        </is>
      </c>
      <c r="B2206" s="1" t="n">
        <v>43727</v>
      </c>
      <c r="C2206" s="1" t="n">
        <v>45182</v>
      </c>
      <c r="D2206" t="inlineStr">
        <is>
          <t>JÄMTLANDS LÄN</t>
        </is>
      </c>
      <c r="E2206" t="inlineStr">
        <is>
          <t>KROKOM</t>
        </is>
      </c>
      <c r="G2206" t="n">
        <v>0.1</v>
      </c>
      <c r="H2206" t="n">
        <v>0</v>
      </c>
      <c r="I2206" t="n">
        <v>0</v>
      </c>
      <c r="J2206" t="n">
        <v>0</v>
      </c>
      <c r="K2206" t="n">
        <v>0</v>
      </c>
      <c r="L2206" t="n">
        <v>0</v>
      </c>
      <c r="M2206" t="n">
        <v>0</v>
      </c>
      <c r="N2206" t="n">
        <v>0</v>
      </c>
      <c r="O2206" t="n">
        <v>0</v>
      </c>
      <c r="P2206" t="n">
        <v>0</v>
      </c>
      <c r="Q2206" t="n">
        <v>0</v>
      </c>
      <c r="R2206" s="2" t="inlineStr"/>
    </row>
    <row r="2207" ht="15" customHeight="1">
      <c r="A2207" t="inlineStr">
        <is>
          <t>A 48965-2019</t>
        </is>
      </c>
      <c r="B2207" s="1" t="n">
        <v>43728</v>
      </c>
      <c r="C2207" s="1" t="n">
        <v>45182</v>
      </c>
      <c r="D2207" t="inlineStr">
        <is>
          <t>JÄMTLANDS LÄN</t>
        </is>
      </c>
      <c r="E2207" t="inlineStr">
        <is>
          <t>STRÖMSUND</t>
        </is>
      </c>
      <c r="F2207" t="inlineStr">
        <is>
          <t>SCA</t>
        </is>
      </c>
      <c r="G2207" t="n">
        <v>2.2</v>
      </c>
      <c r="H2207" t="n">
        <v>0</v>
      </c>
      <c r="I2207" t="n">
        <v>0</v>
      </c>
      <c r="J2207" t="n">
        <v>0</v>
      </c>
      <c r="K2207" t="n">
        <v>0</v>
      </c>
      <c r="L2207" t="n">
        <v>0</v>
      </c>
      <c r="M2207" t="n">
        <v>0</v>
      </c>
      <c r="N2207" t="n">
        <v>0</v>
      </c>
      <c r="O2207" t="n">
        <v>0</v>
      </c>
      <c r="P2207" t="n">
        <v>0</v>
      </c>
      <c r="Q2207" t="n">
        <v>0</v>
      </c>
      <c r="R2207" s="2" t="inlineStr"/>
    </row>
    <row r="2208" ht="15" customHeight="1">
      <c r="A2208" t="inlineStr">
        <is>
          <t>A 48951-2019</t>
        </is>
      </c>
      <c r="B2208" s="1" t="n">
        <v>43728</v>
      </c>
      <c r="C2208" s="1" t="n">
        <v>45182</v>
      </c>
      <c r="D2208" t="inlineStr">
        <is>
          <t>JÄMTLANDS LÄN</t>
        </is>
      </c>
      <c r="E2208" t="inlineStr">
        <is>
          <t>STRÖMSUND</t>
        </is>
      </c>
      <c r="F2208" t="inlineStr">
        <is>
          <t>SCA</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48961-2019</t>
        </is>
      </c>
      <c r="B2209" s="1" t="n">
        <v>43728</v>
      </c>
      <c r="C2209" s="1" t="n">
        <v>45182</v>
      </c>
      <c r="D2209" t="inlineStr">
        <is>
          <t>JÄMTLANDS LÄN</t>
        </is>
      </c>
      <c r="E2209" t="inlineStr">
        <is>
          <t>RAGUNDA</t>
        </is>
      </c>
      <c r="F2209" t="inlineStr">
        <is>
          <t>SCA</t>
        </is>
      </c>
      <c r="G2209" t="n">
        <v>1.5</v>
      </c>
      <c r="H2209" t="n">
        <v>0</v>
      </c>
      <c r="I2209" t="n">
        <v>0</v>
      </c>
      <c r="J2209" t="n">
        <v>0</v>
      </c>
      <c r="K2209" t="n">
        <v>0</v>
      </c>
      <c r="L2209" t="n">
        <v>0</v>
      </c>
      <c r="M2209" t="n">
        <v>0</v>
      </c>
      <c r="N2209" t="n">
        <v>0</v>
      </c>
      <c r="O2209" t="n">
        <v>0</v>
      </c>
      <c r="P2209" t="n">
        <v>0</v>
      </c>
      <c r="Q2209" t="n">
        <v>0</v>
      </c>
      <c r="R2209" s="2" t="inlineStr"/>
    </row>
    <row r="2210" ht="15" customHeight="1">
      <c r="A2210" t="inlineStr">
        <is>
          <t>A 50115-2019</t>
        </is>
      </c>
      <c r="B2210" s="1" t="n">
        <v>43731</v>
      </c>
      <c r="C2210" s="1" t="n">
        <v>45182</v>
      </c>
      <c r="D2210" t="inlineStr">
        <is>
          <t>JÄMTLANDS LÄN</t>
        </is>
      </c>
      <c r="E2210" t="inlineStr">
        <is>
          <t>KROKOM</t>
        </is>
      </c>
      <c r="G2210" t="n">
        <v>0.9</v>
      </c>
      <c r="H2210" t="n">
        <v>0</v>
      </c>
      <c r="I2210" t="n">
        <v>0</v>
      </c>
      <c r="J2210" t="n">
        <v>0</v>
      </c>
      <c r="K2210" t="n">
        <v>0</v>
      </c>
      <c r="L2210" t="n">
        <v>0</v>
      </c>
      <c r="M2210" t="n">
        <v>0</v>
      </c>
      <c r="N2210" t="n">
        <v>0</v>
      </c>
      <c r="O2210" t="n">
        <v>0</v>
      </c>
      <c r="P2210" t="n">
        <v>0</v>
      </c>
      <c r="Q2210" t="n">
        <v>0</v>
      </c>
      <c r="R2210" s="2" t="inlineStr"/>
    </row>
    <row r="2211" ht="15" customHeight="1">
      <c r="A2211" t="inlineStr">
        <is>
          <t>A 50084-2019</t>
        </is>
      </c>
      <c r="B2211" s="1" t="n">
        <v>43731</v>
      </c>
      <c r="C2211" s="1" t="n">
        <v>45182</v>
      </c>
      <c r="D2211" t="inlineStr">
        <is>
          <t>JÄMTLANDS LÄN</t>
        </is>
      </c>
      <c r="E2211" t="inlineStr">
        <is>
          <t>KROKOM</t>
        </is>
      </c>
      <c r="G2211" t="n">
        <v>12.5</v>
      </c>
      <c r="H2211" t="n">
        <v>0</v>
      </c>
      <c r="I2211" t="n">
        <v>0</v>
      </c>
      <c r="J2211" t="n">
        <v>0</v>
      </c>
      <c r="K2211" t="n">
        <v>0</v>
      </c>
      <c r="L2211" t="n">
        <v>0</v>
      </c>
      <c r="M2211" t="n">
        <v>0</v>
      </c>
      <c r="N2211" t="n">
        <v>0</v>
      </c>
      <c r="O2211" t="n">
        <v>0</v>
      </c>
      <c r="P2211" t="n">
        <v>0</v>
      </c>
      <c r="Q2211" t="n">
        <v>0</v>
      </c>
      <c r="R2211" s="2" t="inlineStr"/>
    </row>
    <row r="2212" ht="15" customHeight="1">
      <c r="A2212" t="inlineStr">
        <is>
          <t>A 49291-2019</t>
        </is>
      </c>
      <c r="B2212" s="1" t="n">
        <v>43731</v>
      </c>
      <c r="C2212" s="1" t="n">
        <v>45182</v>
      </c>
      <c r="D2212" t="inlineStr">
        <is>
          <t>JÄMTLANDS LÄN</t>
        </is>
      </c>
      <c r="E2212" t="inlineStr">
        <is>
          <t>STRÖMSUND</t>
        </is>
      </c>
      <c r="G2212" t="n">
        <v>20.7</v>
      </c>
      <c r="H2212" t="n">
        <v>0</v>
      </c>
      <c r="I2212" t="n">
        <v>0</v>
      </c>
      <c r="J2212" t="n">
        <v>0</v>
      </c>
      <c r="K2212" t="n">
        <v>0</v>
      </c>
      <c r="L2212" t="n">
        <v>0</v>
      </c>
      <c r="M2212" t="n">
        <v>0</v>
      </c>
      <c r="N2212" t="n">
        <v>0</v>
      </c>
      <c r="O2212" t="n">
        <v>0</v>
      </c>
      <c r="P2212" t="n">
        <v>0</v>
      </c>
      <c r="Q2212" t="n">
        <v>0</v>
      </c>
      <c r="R2212" s="2" t="inlineStr"/>
    </row>
    <row r="2213" ht="15" customHeight="1">
      <c r="A2213" t="inlineStr">
        <is>
          <t>A 49316-2019</t>
        </is>
      </c>
      <c r="B2213" s="1" t="n">
        <v>43731</v>
      </c>
      <c r="C2213" s="1" t="n">
        <v>45182</v>
      </c>
      <c r="D2213" t="inlineStr">
        <is>
          <t>JÄMTLANDS LÄN</t>
        </is>
      </c>
      <c r="E2213" t="inlineStr">
        <is>
          <t>STRÖMSUND</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49336-2019</t>
        </is>
      </c>
      <c r="B2214" s="1" t="n">
        <v>43731</v>
      </c>
      <c r="C2214" s="1" t="n">
        <v>45182</v>
      </c>
      <c r="D2214" t="inlineStr">
        <is>
          <t>JÄMTLANDS LÄN</t>
        </is>
      </c>
      <c r="E2214" t="inlineStr">
        <is>
          <t>HÄRJEDALEN</t>
        </is>
      </c>
      <c r="F2214" t="inlineStr">
        <is>
          <t>Sveaskog</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49367-2019</t>
        </is>
      </c>
      <c r="B2215" s="1" t="n">
        <v>43731</v>
      </c>
      <c r="C2215" s="1" t="n">
        <v>45182</v>
      </c>
      <c r="D2215" t="inlineStr">
        <is>
          <t>JÄMTLANDS LÄN</t>
        </is>
      </c>
      <c r="E2215" t="inlineStr">
        <is>
          <t>BRÄCKE</t>
        </is>
      </c>
      <c r="F2215" t="inlineStr">
        <is>
          <t>SCA</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50104-2019</t>
        </is>
      </c>
      <c r="B2216" s="1" t="n">
        <v>43731</v>
      </c>
      <c r="C2216" s="1" t="n">
        <v>45182</v>
      </c>
      <c r="D2216" t="inlineStr">
        <is>
          <t>JÄMTLANDS LÄN</t>
        </is>
      </c>
      <c r="E2216" t="inlineStr">
        <is>
          <t>KROKOM</t>
        </is>
      </c>
      <c r="G2216" t="n">
        <v>4.2</v>
      </c>
      <c r="H2216" t="n">
        <v>0</v>
      </c>
      <c r="I2216" t="n">
        <v>0</v>
      </c>
      <c r="J2216" t="n">
        <v>0</v>
      </c>
      <c r="K2216" t="n">
        <v>0</v>
      </c>
      <c r="L2216" t="n">
        <v>0</v>
      </c>
      <c r="M2216" t="n">
        <v>0</v>
      </c>
      <c r="N2216" t="n">
        <v>0</v>
      </c>
      <c r="O2216" t="n">
        <v>0</v>
      </c>
      <c r="P2216" t="n">
        <v>0</v>
      </c>
      <c r="Q2216" t="n">
        <v>0</v>
      </c>
      <c r="R2216" s="2" t="inlineStr"/>
    </row>
    <row r="2217" ht="15" customHeight="1">
      <c r="A2217" t="inlineStr">
        <is>
          <t>A 49213-2019</t>
        </is>
      </c>
      <c r="B2217" s="1" t="n">
        <v>43731</v>
      </c>
      <c r="C2217" s="1" t="n">
        <v>45182</v>
      </c>
      <c r="D2217" t="inlineStr">
        <is>
          <t>JÄMTLANDS LÄN</t>
        </is>
      </c>
      <c r="E2217" t="inlineStr">
        <is>
          <t>KROKOM</t>
        </is>
      </c>
      <c r="G2217" t="n">
        <v>3.8</v>
      </c>
      <c r="H2217" t="n">
        <v>0</v>
      </c>
      <c r="I2217" t="n">
        <v>0</v>
      </c>
      <c r="J2217" t="n">
        <v>0</v>
      </c>
      <c r="K2217" t="n">
        <v>0</v>
      </c>
      <c r="L2217" t="n">
        <v>0</v>
      </c>
      <c r="M2217" t="n">
        <v>0</v>
      </c>
      <c r="N2217" t="n">
        <v>0</v>
      </c>
      <c r="O2217" t="n">
        <v>0</v>
      </c>
      <c r="P2217" t="n">
        <v>0</v>
      </c>
      <c r="Q2217" t="n">
        <v>0</v>
      </c>
      <c r="R2217" s="2" t="inlineStr"/>
    </row>
    <row r="2218" ht="15" customHeight="1">
      <c r="A2218" t="inlineStr">
        <is>
          <t>A 49328-2019</t>
        </is>
      </c>
      <c r="B2218" s="1" t="n">
        <v>43731</v>
      </c>
      <c r="C2218" s="1" t="n">
        <v>45182</v>
      </c>
      <c r="D2218" t="inlineStr">
        <is>
          <t>JÄMTLANDS LÄN</t>
        </is>
      </c>
      <c r="E2218" t="inlineStr">
        <is>
          <t>HÄRJEDALEN</t>
        </is>
      </c>
      <c r="F2218" t="inlineStr">
        <is>
          <t>Sveaskog</t>
        </is>
      </c>
      <c r="G2218" t="n">
        <v>17</v>
      </c>
      <c r="H2218" t="n">
        <v>0</v>
      </c>
      <c r="I2218" t="n">
        <v>0</v>
      </c>
      <c r="J2218" t="n">
        <v>0</v>
      </c>
      <c r="K2218" t="n">
        <v>0</v>
      </c>
      <c r="L2218" t="n">
        <v>0</v>
      </c>
      <c r="M2218" t="n">
        <v>0</v>
      </c>
      <c r="N2218" t="n">
        <v>0</v>
      </c>
      <c r="O2218" t="n">
        <v>0</v>
      </c>
      <c r="P2218" t="n">
        <v>0</v>
      </c>
      <c r="Q2218" t="n">
        <v>0</v>
      </c>
      <c r="R2218" s="2" t="inlineStr"/>
    </row>
    <row r="2219" ht="15" customHeight="1">
      <c r="A2219" t="inlineStr">
        <is>
          <t>A 50112-2019</t>
        </is>
      </c>
      <c r="B2219" s="1" t="n">
        <v>43731</v>
      </c>
      <c r="C2219" s="1" t="n">
        <v>45182</v>
      </c>
      <c r="D2219" t="inlineStr">
        <is>
          <t>JÄMTLANDS LÄN</t>
        </is>
      </c>
      <c r="E2219" t="inlineStr">
        <is>
          <t>KROKOM</t>
        </is>
      </c>
      <c r="G2219" t="n">
        <v>1.4</v>
      </c>
      <c r="H2219" t="n">
        <v>0</v>
      </c>
      <c r="I2219" t="n">
        <v>0</v>
      </c>
      <c r="J2219" t="n">
        <v>0</v>
      </c>
      <c r="K2219" t="n">
        <v>0</v>
      </c>
      <c r="L2219" t="n">
        <v>0</v>
      </c>
      <c r="M2219" t="n">
        <v>0</v>
      </c>
      <c r="N2219" t="n">
        <v>0</v>
      </c>
      <c r="O2219" t="n">
        <v>0</v>
      </c>
      <c r="P2219" t="n">
        <v>0</v>
      </c>
      <c r="Q2219" t="n">
        <v>0</v>
      </c>
      <c r="R2219" s="2" t="inlineStr"/>
    </row>
    <row r="2220" ht="15" customHeight="1">
      <c r="A2220" t="inlineStr">
        <is>
          <t>A 49629-2019</t>
        </is>
      </c>
      <c r="B2220" s="1" t="n">
        <v>43732</v>
      </c>
      <c r="C2220" s="1" t="n">
        <v>45182</v>
      </c>
      <c r="D2220" t="inlineStr">
        <is>
          <t>JÄMTLANDS LÄN</t>
        </is>
      </c>
      <c r="E2220" t="inlineStr">
        <is>
          <t>ÖSTERSUND</t>
        </is>
      </c>
      <c r="F2220" t="inlineStr">
        <is>
          <t>Övriga Aktiebolag</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49690-2019</t>
        </is>
      </c>
      <c r="B2221" s="1" t="n">
        <v>43732</v>
      </c>
      <c r="C2221" s="1" t="n">
        <v>45182</v>
      </c>
      <c r="D2221" t="inlineStr">
        <is>
          <t>JÄMTLANDS LÄN</t>
        </is>
      </c>
      <c r="E2221" t="inlineStr">
        <is>
          <t>BRÄCKE</t>
        </is>
      </c>
      <c r="F2221" t="inlineStr">
        <is>
          <t>SCA</t>
        </is>
      </c>
      <c r="G2221" t="n">
        <v>0.4</v>
      </c>
      <c r="H2221" t="n">
        <v>0</v>
      </c>
      <c r="I2221" t="n">
        <v>0</v>
      </c>
      <c r="J2221" t="n">
        <v>0</v>
      </c>
      <c r="K2221" t="n">
        <v>0</v>
      </c>
      <c r="L2221" t="n">
        <v>0</v>
      </c>
      <c r="M2221" t="n">
        <v>0</v>
      </c>
      <c r="N2221" t="n">
        <v>0</v>
      </c>
      <c r="O2221" t="n">
        <v>0</v>
      </c>
      <c r="P2221" t="n">
        <v>0</v>
      </c>
      <c r="Q2221" t="n">
        <v>0</v>
      </c>
      <c r="R2221" s="2" t="inlineStr"/>
    </row>
    <row r="2222" ht="15" customHeight="1">
      <c r="A2222" t="inlineStr">
        <is>
          <t>A 51347-2019</t>
        </is>
      </c>
      <c r="B2222" s="1" t="n">
        <v>43732</v>
      </c>
      <c r="C2222" s="1" t="n">
        <v>45182</v>
      </c>
      <c r="D2222" t="inlineStr">
        <is>
          <t>JÄMTLANDS LÄN</t>
        </is>
      </c>
      <c r="E2222" t="inlineStr">
        <is>
          <t>ÖSTERSUND</t>
        </is>
      </c>
      <c r="G2222" t="n">
        <v>3.8</v>
      </c>
      <c r="H2222" t="n">
        <v>0</v>
      </c>
      <c r="I2222" t="n">
        <v>0</v>
      </c>
      <c r="J2222" t="n">
        <v>0</v>
      </c>
      <c r="K2222" t="n">
        <v>0</v>
      </c>
      <c r="L2222" t="n">
        <v>0</v>
      </c>
      <c r="M2222" t="n">
        <v>0</v>
      </c>
      <c r="N2222" t="n">
        <v>0</v>
      </c>
      <c r="O2222" t="n">
        <v>0</v>
      </c>
      <c r="P2222" t="n">
        <v>0</v>
      </c>
      <c r="Q2222" t="n">
        <v>0</v>
      </c>
      <c r="R2222" s="2" t="inlineStr"/>
    </row>
    <row r="2223" ht="15" customHeight="1">
      <c r="A2223" t="inlineStr">
        <is>
          <t>A 49858-2019</t>
        </is>
      </c>
      <c r="B2223" s="1" t="n">
        <v>43733</v>
      </c>
      <c r="C2223" s="1" t="n">
        <v>45182</v>
      </c>
      <c r="D2223" t="inlineStr">
        <is>
          <t>JÄMTLANDS LÄN</t>
        </is>
      </c>
      <c r="E2223" t="inlineStr">
        <is>
          <t>ÅRE</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49867-2019</t>
        </is>
      </c>
      <c r="B2224" s="1" t="n">
        <v>43733</v>
      </c>
      <c r="C2224" s="1" t="n">
        <v>45182</v>
      </c>
      <c r="D2224" t="inlineStr">
        <is>
          <t>JÄMTLANDS LÄN</t>
        </is>
      </c>
      <c r="E2224" t="inlineStr">
        <is>
          <t>ÅRE</t>
        </is>
      </c>
      <c r="G2224" t="n">
        <v>1.5</v>
      </c>
      <c r="H2224" t="n">
        <v>0</v>
      </c>
      <c r="I2224" t="n">
        <v>0</v>
      </c>
      <c r="J2224" t="n">
        <v>0</v>
      </c>
      <c r="K2224" t="n">
        <v>0</v>
      </c>
      <c r="L2224" t="n">
        <v>0</v>
      </c>
      <c r="M2224" t="n">
        <v>0</v>
      </c>
      <c r="N2224" t="n">
        <v>0</v>
      </c>
      <c r="O2224" t="n">
        <v>0</v>
      </c>
      <c r="P2224" t="n">
        <v>0</v>
      </c>
      <c r="Q2224" t="n">
        <v>0</v>
      </c>
      <c r="R2224" s="2" t="inlineStr"/>
    </row>
    <row r="2225" ht="15" customHeight="1">
      <c r="A2225" t="inlineStr">
        <is>
          <t>A 49945-2019</t>
        </is>
      </c>
      <c r="B2225" s="1" t="n">
        <v>43733</v>
      </c>
      <c r="C2225" s="1" t="n">
        <v>45182</v>
      </c>
      <c r="D2225" t="inlineStr">
        <is>
          <t>JÄMTLANDS LÄN</t>
        </is>
      </c>
      <c r="E2225" t="inlineStr">
        <is>
          <t>RAGUNDA</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49997-2019</t>
        </is>
      </c>
      <c r="B2226" s="1" t="n">
        <v>43733</v>
      </c>
      <c r="C2226" s="1" t="n">
        <v>45182</v>
      </c>
      <c r="D2226" t="inlineStr">
        <is>
          <t>JÄMTLANDS LÄN</t>
        </is>
      </c>
      <c r="E2226" t="inlineStr">
        <is>
          <t>ÖSTERSUND</t>
        </is>
      </c>
      <c r="F2226" t="inlineStr">
        <is>
          <t>SCA</t>
        </is>
      </c>
      <c r="G2226" t="n">
        <v>2.2</v>
      </c>
      <c r="H2226" t="n">
        <v>0</v>
      </c>
      <c r="I2226" t="n">
        <v>0</v>
      </c>
      <c r="J2226" t="n">
        <v>0</v>
      </c>
      <c r="K2226" t="n">
        <v>0</v>
      </c>
      <c r="L2226" t="n">
        <v>0</v>
      </c>
      <c r="M2226" t="n">
        <v>0</v>
      </c>
      <c r="N2226" t="n">
        <v>0</v>
      </c>
      <c r="O2226" t="n">
        <v>0</v>
      </c>
      <c r="P2226" t="n">
        <v>0</v>
      </c>
      <c r="Q2226" t="n">
        <v>0</v>
      </c>
      <c r="R2226" s="2" t="inlineStr"/>
    </row>
    <row r="2227" ht="15" customHeight="1">
      <c r="A2227" t="inlineStr">
        <is>
          <t>A 49863-2019</t>
        </is>
      </c>
      <c r="B2227" s="1" t="n">
        <v>43733</v>
      </c>
      <c r="C2227" s="1" t="n">
        <v>45182</v>
      </c>
      <c r="D2227" t="inlineStr">
        <is>
          <t>JÄMTLANDS LÄN</t>
        </is>
      </c>
      <c r="E2227" t="inlineStr">
        <is>
          <t>ÅRE</t>
        </is>
      </c>
      <c r="G2227" t="n">
        <v>4.4</v>
      </c>
      <c r="H2227" t="n">
        <v>0</v>
      </c>
      <c r="I2227" t="n">
        <v>0</v>
      </c>
      <c r="J2227" t="n">
        <v>0</v>
      </c>
      <c r="K2227" t="n">
        <v>0</v>
      </c>
      <c r="L2227" t="n">
        <v>0</v>
      </c>
      <c r="M2227" t="n">
        <v>0</v>
      </c>
      <c r="N2227" t="n">
        <v>0</v>
      </c>
      <c r="O2227" t="n">
        <v>0</v>
      </c>
      <c r="P2227" t="n">
        <v>0</v>
      </c>
      <c r="Q2227" t="n">
        <v>0</v>
      </c>
      <c r="R2227" s="2" t="inlineStr"/>
    </row>
    <row r="2228" ht="15" customHeight="1">
      <c r="A2228" t="inlineStr">
        <is>
          <t>A 49875-2019</t>
        </is>
      </c>
      <c r="B2228" s="1" t="n">
        <v>43733</v>
      </c>
      <c r="C2228" s="1" t="n">
        <v>45182</v>
      </c>
      <c r="D2228" t="inlineStr">
        <is>
          <t>JÄMTLANDS LÄN</t>
        </is>
      </c>
      <c r="E2228" t="inlineStr">
        <is>
          <t>RAGUNDA</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50001-2019</t>
        </is>
      </c>
      <c r="B2229" s="1" t="n">
        <v>43733</v>
      </c>
      <c r="C2229" s="1" t="n">
        <v>45182</v>
      </c>
      <c r="D2229" t="inlineStr">
        <is>
          <t>JÄMTLANDS LÄN</t>
        </is>
      </c>
      <c r="E2229" t="inlineStr">
        <is>
          <t>STRÖMSUND</t>
        </is>
      </c>
      <c r="F2229" t="inlineStr">
        <is>
          <t>SCA</t>
        </is>
      </c>
      <c r="G2229" t="n">
        <v>5.3</v>
      </c>
      <c r="H2229" t="n">
        <v>0</v>
      </c>
      <c r="I2229" t="n">
        <v>0</v>
      </c>
      <c r="J2229" t="n">
        <v>0</v>
      </c>
      <c r="K2229" t="n">
        <v>0</v>
      </c>
      <c r="L2229" t="n">
        <v>0</v>
      </c>
      <c r="M2229" t="n">
        <v>0</v>
      </c>
      <c r="N2229" t="n">
        <v>0</v>
      </c>
      <c r="O2229" t="n">
        <v>0</v>
      </c>
      <c r="P2229" t="n">
        <v>0</v>
      </c>
      <c r="Q2229" t="n">
        <v>0</v>
      </c>
      <c r="R2229" s="2" t="inlineStr"/>
    </row>
    <row r="2230" ht="15" customHeight="1">
      <c r="A2230" t="inlineStr">
        <is>
          <t>A 50012-2019</t>
        </is>
      </c>
      <c r="B2230" s="1" t="n">
        <v>43733</v>
      </c>
      <c r="C2230" s="1" t="n">
        <v>45182</v>
      </c>
      <c r="D2230" t="inlineStr">
        <is>
          <t>JÄMTLANDS LÄN</t>
        </is>
      </c>
      <c r="E2230" t="inlineStr">
        <is>
          <t>ÅRE</t>
        </is>
      </c>
      <c r="G2230" t="n">
        <v>5.8</v>
      </c>
      <c r="H2230" t="n">
        <v>0</v>
      </c>
      <c r="I2230" t="n">
        <v>0</v>
      </c>
      <c r="J2230" t="n">
        <v>0</v>
      </c>
      <c r="K2230" t="n">
        <v>0</v>
      </c>
      <c r="L2230" t="n">
        <v>0</v>
      </c>
      <c r="M2230" t="n">
        <v>0</v>
      </c>
      <c r="N2230" t="n">
        <v>0</v>
      </c>
      <c r="O2230" t="n">
        <v>0</v>
      </c>
      <c r="P2230" t="n">
        <v>0</v>
      </c>
      <c r="Q2230" t="n">
        <v>0</v>
      </c>
      <c r="R2230" s="2" t="inlineStr"/>
    </row>
    <row r="2231" ht="15" customHeight="1">
      <c r="A2231" t="inlineStr">
        <is>
          <t>A 52056-2019</t>
        </is>
      </c>
      <c r="B2231" s="1" t="n">
        <v>43734</v>
      </c>
      <c r="C2231" s="1" t="n">
        <v>45182</v>
      </c>
      <c r="D2231" t="inlineStr">
        <is>
          <t>JÄMTLANDS LÄN</t>
        </is>
      </c>
      <c r="E2231" t="inlineStr">
        <is>
          <t>ÅRE</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50302-2019</t>
        </is>
      </c>
      <c r="B2232" s="1" t="n">
        <v>43734</v>
      </c>
      <c r="C2232" s="1" t="n">
        <v>45182</v>
      </c>
      <c r="D2232" t="inlineStr">
        <is>
          <t>JÄMTLANDS LÄN</t>
        </is>
      </c>
      <c r="E2232" t="inlineStr">
        <is>
          <t>STRÖMSUND</t>
        </is>
      </c>
      <c r="F2232" t="inlineStr">
        <is>
          <t>SCA</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52047-2019</t>
        </is>
      </c>
      <c r="B2233" s="1" t="n">
        <v>43734</v>
      </c>
      <c r="C2233" s="1" t="n">
        <v>45182</v>
      </c>
      <c r="D2233" t="inlineStr">
        <is>
          <t>JÄMTLANDS LÄN</t>
        </is>
      </c>
      <c r="E2233" t="inlineStr">
        <is>
          <t>ÅRE</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52028-2019</t>
        </is>
      </c>
      <c r="B2234" s="1" t="n">
        <v>43734</v>
      </c>
      <c r="C2234" s="1" t="n">
        <v>45182</v>
      </c>
      <c r="D2234" t="inlineStr">
        <is>
          <t>JÄMTLANDS LÄN</t>
        </is>
      </c>
      <c r="E2234" t="inlineStr">
        <is>
          <t>KROKOM</t>
        </is>
      </c>
      <c r="F2234" t="inlineStr">
        <is>
          <t>Övriga Aktiebolag</t>
        </is>
      </c>
      <c r="G2234" t="n">
        <v>5.5</v>
      </c>
      <c r="H2234" t="n">
        <v>0</v>
      </c>
      <c r="I2234" t="n">
        <v>0</v>
      </c>
      <c r="J2234" t="n">
        <v>0</v>
      </c>
      <c r="K2234" t="n">
        <v>0</v>
      </c>
      <c r="L2234" t="n">
        <v>0</v>
      </c>
      <c r="M2234" t="n">
        <v>0</v>
      </c>
      <c r="N2234" t="n">
        <v>0</v>
      </c>
      <c r="O2234" t="n">
        <v>0</v>
      </c>
      <c r="P2234" t="n">
        <v>0</v>
      </c>
      <c r="Q2234" t="n">
        <v>0</v>
      </c>
      <c r="R2234" s="2" t="inlineStr"/>
    </row>
    <row r="2235" ht="15" customHeight="1">
      <c r="A2235" t="inlineStr">
        <is>
          <t>A 52059-2019</t>
        </is>
      </c>
      <c r="B2235" s="1" t="n">
        <v>43734</v>
      </c>
      <c r="C2235" s="1" t="n">
        <v>45182</v>
      </c>
      <c r="D2235" t="inlineStr">
        <is>
          <t>JÄMTLANDS LÄN</t>
        </is>
      </c>
      <c r="E2235" t="inlineStr">
        <is>
          <t>KROKOM</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50144-2019</t>
        </is>
      </c>
      <c r="B2236" s="1" t="n">
        <v>43734</v>
      </c>
      <c r="C2236" s="1" t="n">
        <v>45182</v>
      </c>
      <c r="D2236" t="inlineStr">
        <is>
          <t>JÄMTLANDS LÄN</t>
        </is>
      </c>
      <c r="E2236" t="inlineStr">
        <is>
          <t>KROKOM</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50305-2019</t>
        </is>
      </c>
      <c r="B2237" s="1" t="n">
        <v>43734</v>
      </c>
      <c r="C2237" s="1" t="n">
        <v>45182</v>
      </c>
      <c r="D2237" t="inlineStr">
        <is>
          <t>JÄMTLANDS LÄN</t>
        </is>
      </c>
      <c r="E2237" t="inlineStr">
        <is>
          <t>STRÖMSUND</t>
        </is>
      </c>
      <c r="F2237" t="inlineStr">
        <is>
          <t>SCA</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52018-2019</t>
        </is>
      </c>
      <c r="B2238" s="1" t="n">
        <v>43734</v>
      </c>
      <c r="C2238" s="1" t="n">
        <v>45182</v>
      </c>
      <c r="D2238" t="inlineStr">
        <is>
          <t>JÄMTLANDS LÄN</t>
        </is>
      </c>
      <c r="E2238" t="inlineStr">
        <is>
          <t>KROKOM</t>
        </is>
      </c>
      <c r="G2238" t="n">
        <v>1.5</v>
      </c>
      <c r="H2238" t="n">
        <v>0</v>
      </c>
      <c r="I2238" t="n">
        <v>0</v>
      </c>
      <c r="J2238" t="n">
        <v>0</v>
      </c>
      <c r="K2238" t="n">
        <v>0</v>
      </c>
      <c r="L2238" t="n">
        <v>0</v>
      </c>
      <c r="M2238" t="n">
        <v>0</v>
      </c>
      <c r="N2238" t="n">
        <v>0</v>
      </c>
      <c r="O2238" t="n">
        <v>0</v>
      </c>
      <c r="P2238" t="n">
        <v>0</v>
      </c>
      <c r="Q2238" t="n">
        <v>0</v>
      </c>
      <c r="R2238" s="2" t="inlineStr"/>
    </row>
    <row r="2239" ht="15" customHeight="1">
      <c r="A2239" t="inlineStr">
        <is>
          <t>A 52049-2019</t>
        </is>
      </c>
      <c r="B2239" s="1" t="n">
        <v>43734</v>
      </c>
      <c r="C2239" s="1" t="n">
        <v>45182</v>
      </c>
      <c r="D2239" t="inlineStr">
        <is>
          <t>JÄMTLANDS LÄN</t>
        </is>
      </c>
      <c r="E2239" t="inlineStr">
        <is>
          <t>KROKOM</t>
        </is>
      </c>
      <c r="G2239" t="n">
        <v>6.3</v>
      </c>
      <c r="H2239" t="n">
        <v>0</v>
      </c>
      <c r="I2239" t="n">
        <v>0</v>
      </c>
      <c r="J2239" t="n">
        <v>0</v>
      </c>
      <c r="K2239" t="n">
        <v>0</v>
      </c>
      <c r="L2239" t="n">
        <v>0</v>
      </c>
      <c r="M2239" t="n">
        <v>0</v>
      </c>
      <c r="N2239" t="n">
        <v>0</v>
      </c>
      <c r="O2239" t="n">
        <v>0</v>
      </c>
      <c r="P2239" t="n">
        <v>0</v>
      </c>
      <c r="Q2239" t="n">
        <v>0</v>
      </c>
      <c r="R2239" s="2" t="inlineStr"/>
    </row>
    <row r="2240" ht="15" customHeight="1">
      <c r="A2240" t="inlineStr">
        <is>
          <t>A 50316-2019</t>
        </is>
      </c>
      <c r="B2240" s="1" t="n">
        <v>43735</v>
      </c>
      <c r="C2240" s="1" t="n">
        <v>45182</v>
      </c>
      <c r="D2240" t="inlineStr">
        <is>
          <t>JÄMTLANDS LÄN</t>
        </is>
      </c>
      <c r="E2240" t="inlineStr">
        <is>
          <t>ÖSTERSUND</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50395-2019</t>
        </is>
      </c>
      <c r="B2241" s="1" t="n">
        <v>43735</v>
      </c>
      <c r="C2241" s="1" t="n">
        <v>45182</v>
      </c>
      <c r="D2241" t="inlineStr">
        <is>
          <t>JÄMTLANDS LÄN</t>
        </is>
      </c>
      <c r="E2241" t="inlineStr">
        <is>
          <t>HÄRJEDALEN</t>
        </is>
      </c>
      <c r="G2241" t="n">
        <v>1.8</v>
      </c>
      <c r="H2241" t="n">
        <v>0</v>
      </c>
      <c r="I2241" t="n">
        <v>0</v>
      </c>
      <c r="J2241" t="n">
        <v>0</v>
      </c>
      <c r="K2241" t="n">
        <v>0</v>
      </c>
      <c r="L2241" t="n">
        <v>0</v>
      </c>
      <c r="M2241" t="n">
        <v>0</v>
      </c>
      <c r="N2241" t="n">
        <v>0</v>
      </c>
      <c r="O2241" t="n">
        <v>0</v>
      </c>
      <c r="P2241" t="n">
        <v>0</v>
      </c>
      <c r="Q2241" t="n">
        <v>0</v>
      </c>
      <c r="R2241" s="2" t="inlineStr"/>
    </row>
    <row r="2242" ht="15" customHeight="1">
      <c r="A2242" t="inlineStr">
        <is>
          <t>A 50587-2019</t>
        </is>
      </c>
      <c r="B2242" s="1" t="n">
        <v>43735</v>
      </c>
      <c r="C2242" s="1" t="n">
        <v>45182</v>
      </c>
      <c r="D2242" t="inlineStr">
        <is>
          <t>JÄMTLANDS LÄN</t>
        </is>
      </c>
      <c r="E2242" t="inlineStr">
        <is>
          <t>BRÄCKE</t>
        </is>
      </c>
      <c r="F2242" t="inlineStr">
        <is>
          <t>SCA</t>
        </is>
      </c>
      <c r="G2242" t="n">
        <v>3.3</v>
      </c>
      <c r="H2242" t="n">
        <v>0</v>
      </c>
      <c r="I2242" t="n">
        <v>0</v>
      </c>
      <c r="J2242" t="n">
        <v>0</v>
      </c>
      <c r="K2242" t="n">
        <v>0</v>
      </c>
      <c r="L2242" t="n">
        <v>0</v>
      </c>
      <c r="M2242" t="n">
        <v>0</v>
      </c>
      <c r="N2242" t="n">
        <v>0</v>
      </c>
      <c r="O2242" t="n">
        <v>0</v>
      </c>
      <c r="P2242" t="n">
        <v>0</v>
      </c>
      <c r="Q2242" t="n">
        <v>0</v>
      </c>
      <c r="R2242" s="2" t="inlineStr"/>
    </row>
    <row r="2243" ht="15" customHeight="1">
      <c r="A2243" t="inlineStr">
        <is>
          <t>A 50580-2019</t>
        </is>
      </c>
      <c r="B2243" s="1" t="n">
        <v>43735</v>
      </c>
      <c r="C2243" s="1" t="n">
        <v>45182</v>
      </c>
      <c r="D2243" t="inlineStr">
        <is>
          <t>JÄMTLANDS LÄN</t>
        </is>
      </c>
      <c r="E2243" t="inlineStr">
        <is>
          <t>BRÄCKE</t>
        </is>
      </c>
      <c r="F2243" t="inlineStr">
        <is>
          <t>SCA</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52446-2019</t>
        </is>
      </c>
      <c r="B2244" s="1" t="n">
        <v>43735</v>
      </c>
      <c r="C2244" s="1" t="n">
        <v>45182</v>
      </c>
      <c r="D2244" t="inlineStr">
        <is>
          <t>JÄMTLANDS LÄN</t>
        </is>
      </c>
      <c r="E2244" t="inlineStr">
        <is>
          <t>KROKOM</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50310-2019</t>
        </is>
      </c>
      <c r="B2245" s="1" t="n">
        <v>43735</v>
      </c>
      <c r="C2245" s="1" t="n">
        <v>45182</v>
      </c>
      <c r="D2245" t="inlineStr">
        <is>
          <t>JÄMTLANDS LÄN</t>
        </is>
      </c>
      <c r="E2245" t="inlineStr">
        <is>
          <t>HÄRJEDALEN</t>
        </is>
      </c>
      <c r="G2245" t="n">
        <v>9.1</v>
      </c>
      <c r="H2245" t="n">
        <v>0</v>
      </c>
      <c r="I2245" t="n">
        <v>0</v>
      </c>
      <c r="J2245" t="n">
        <v>0</v>
      </c>
      <c r="K2245" t="n">
        <v>0</v>
      </c>
      <c r="L2245" t="n">
        <v>0</v>
      </c>
      <c r="M2245" t="n">
        <v>0</v>
      </c>
      <c r="N2245" t="n">
        <v>0</v>
      </c>
      <c r="O2245" t="n">
        <v>0</v>
      </c>
      <c r="P2245" t="n">
        <v>0</v>
      </c>
      <c r="Q2245" t="n">
        <v>0</v>
      </c>
      <c r="R2245" s="2" t="inlineStr"/>
    </row>
    <row r="2246" ht="15" customHeight="1">
      <c r="A2246" t="inlineStr">
        <is>
          <t>A 50360-2019</t>
        </is>
      </c>
      <c r="B2246" s="1" t="n">
        <v>43735</v>
      </c>
      <c r="C2246" s="1" t="n">
        <v>45182</v>
      </c>
      <c r="D2246" t="inlineStr">
        <is>
          <t>JÄMTLANDS LÄN</t>
        </is>
      </c>
      <c r="E2246" t="inlineStr">
        <is>
          <t>KROKOM</t>
        </is>
      </c>
      <c r="G2246" t="n">
        <v>2.3</v>
      </c>
      <c r="H2246" t="n">
        <v>0</v>
      </c>
      <c r="I2246" t="n">
        <v>0</v>
      </c>
      <c r="J2246" t="n">
        <v>0</v>
      </c>
      <c r="K2246" t="n">
        <v>0</v>
      </c>
      <c r="L2246" t="n">
        <v>0</v>
      </c>
      <c r="M2246" t="n">
        <v>0</v>
      </c>
      <c r="N2246" t="n">
        <v>0</v>
      </c>
      <c r="O2246" t="n">
        <v>0</v>
      </c>
      <c r="P2246" t="n">
        <v>0</v>
      </c>
      <c r="Q2246" t="n">
        <v>0</v>
      </c>
      <c r="R2246" s="2" t="inlineStr"/>
    </row>
    <row r="2247" ht="15" customHeight="1">
      <c r="A2247" t="inlineStr">
        <is>
          <t>A 50584-2019</t>
        </is>
      </c>
      <c r="B2247" s="1" t="n">
        <v>43735</v>
      </c>
      <c r="C2247" s="1" t="n">
        <v>45182</v>
      </c>
      <c r="D2247" t="inlineStr">
        <is>
          <t>JÄMTLANDS LÄN</t>
        </is>
      </c>
      <c r="E2247" t="inlineStr">
        <is>
          <t>BRÄCKE</t>
        </is>
      </c>
      <c r="F2247" t="inlineStr">
        <is>
          <t>SCA</t>
        </is>
      </c>
      <c r="G2247" t="n">
        <v>19.1</v>
      </c>
      <c r="H2247" t="n">
        <v>0</v>
      </c>
      <c r="I2247" t="n">
        <v>0</v>
      </c>
      <c r="J2247" t="n">
        <v>0</v>
      </c>
      <c r="K2247" t="n">
        <v>0</v>
      </c>
      <c r="L2247" t="n">
        <v>0</v>
      </c>
      <c r="M2247" t="n">
        <v>0</v>
      </c>
      <c r="N2247" t="n">
        <v>0</v>
      </c>
      <c r="O2247" t="n">
        <v>0</v>
      </c>
      <c r="P2247" t="n">
        <v>0</v>
      </c>
      <c r="Q2247" t="n">
        <v>0</v>
      </c>
      <c r="R2247" s="2" t="inlineStr"/>
    </row>
    <row r="2248" ht="15" customHeight="1">
      <c r="A2248" t="inlineStr">
        <is>
          <t>A 50519-2019</t>
        </is>
      </c>
      <c r="B2248" s="1" t="n">
        <v>43735</v>
      </c>
      <c r="C2248" s="1" t="n">
        <v>45182</v>
      </c>
      <c r="D2248" t="inlineStr">
        <is>
          <t>JÄMTLANDS LÄN</t>
        </is>
      </c>
      <c r="E2248" t="inlineStr">
        <is>
          <t>HÄRJEDALEN</t>
        </is>
      </c>
      <c r="G2248" t="n">
        <v>4.2</v>
      </c>
      <c r="H2248" t="n">
        <v>0</v>
      </c>
      <c r="I2248" t="n">
        <v>0</v>
      </c>
      <c r="J2248" t="n">
        <v>0</v>
      </c>
      <c r="K2248" t="n">
        <v>0</v>
      </c>
      <c r="L2248" t="n">
        <v>0</v>
      </c>
      <c r="M2248" t="n">
        <v>0</v>
      </c>
      <c r="N2248" t="n">
        <v>0</v>
      </c>
      <c r="O2248" t="n">
        <v>0</v>
      </c>
      <c r="P2248" t="n">
        <v>0</v>
      </c>
      <c r="Q2248" t="n">
        <v>0</v>
      </c>
      <c r="R2248" s="2" t="inlineStr"/>
    </row>
    <row r="2249" ht="15" customHeight="1">
      <c r="A2249" t="inlineStr">
        <is>
          <t>A 52098-2019</t>
        </is>
      </c>
      <c r="B2249" s="1" t="n">
        <v>43735</v>
      </c>
      <c r="C2249" s="1" t="n">
        <v>45182</v>
      </c>
      <c r="D2249" t="inlineStr">
        <is>
          <t>JÄMTLANDS LÄN</t>
        </is>
      </c>
      <c r="E2249" t="inlineStr">
        <is>
          <t>RAGUNDA</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52462-2019</t>
        </is>
      </c>
      <c r="B2250" s="1" t="n">
        <v>43735</v>
      </c>
      <c r="C2250" s="1" t="n">
        <v>45182</v>
      </c>
      <c r="D2250" t="inlineStr">
        <is>
          <t>JÄMTLANDS LÄN</t>
        </is>
      </c>
      <c r="E2250" t="inlineStr">
        <is>
          <t>KROKOM</t>
        </is>
      </c>
      <c r="G2250" t="n">
        <v>2.4</v>
      </c>
      <c r="H2250" t="n">
        <v>0</v>
      </c>
      <c r="I2250" t="n">
        <v>0</v>
      </c>
      <c r="J2250" t="n">
        <v>0</v>
      </c>
      <c r="K2250" t="n">
        <v>0</v>
      </c>
      <c r="L2250" t="n">
        <v>0</v>
      </c>
      <c r="M2250" t="n">
        <v>0</v>
      </c>
      <c r="N2250" t="n">
        <v>0</v>
      </c>
      <c r="O2250" t="n">
        <v>0</v>
      </c>
      <c r="P2250" t="n">
        <v>0</v>
      </c>
      <c r="Q2250" t="n">
        <v>0</v>
      </c>
      <c r="R2250" s="2" t="inlineStr"/>
    </row>
    <row r="2251" ht="15" customHeight="1">
      <c r="A2251" t="inlineStr">
        <is>
          <t>A 50624-2019</t>
        </is>
      </c>
      <c r="B2251" s="1" t="n">
        <v>43736</v>
      </c>
      <c r="C2251" s="1" t="n">
        <v>45182</v>
      </c>
      <c r="D2251" t="inlineStr">
        <is>
          <t>JÄMTLANDS LÄN</t>
        </is>
      </c>
      <c r="E2251" t="inlineStr">
        <is>
          <t>HÄRJEDALEN</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50896-2019</t>
        </is>
      </c>
      <c r="B2252" s="1" t="n">
        <v>43738</v>
      </c>
      <c r="C2252" s="1" t="n">
        <v>45182</v>
      </c>
      <c r="D2252" t="inlineStr">
        <is>
          <t>JÄMTLANDS LÄN</t>
        </is>
      </c>
      <c r="E2252" t="inlineStr">
        <is>
          <t>BERG</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50968-2019</t>
        </is>
      </c>
      <c r="B2253" s="1" t="n">
        <v>43738</v>
      </c>
      <c r="C2253" s="1" t="n">
        <v>45182</v>
      </c>
      <c r="D2253" t="inlineStr">
        <is>
          <t>JÄMTLANDS LÄN</t>
        </is>
      </c>
      <c r="E2253" t="inlineStr">
        <is>
          <t>ÖSTERSUND</t>
        </is>
      </c>
      <c r="F2253" t="inlineStr">
        <is>
          <t>SCA</t>
        </is>
      </c>
      <c r="G2253" t="n">
        <v>2.2</v>
      </c>
      <c r="H2253" t="n">
        <v>0</v>
      </c>
      <c r="I2253" t="n">
        <v>0</v>
      </c>
      <c r="J2253" t="n">
        <v>0</v>
      </c>
      <c r="K2253" t="n">
        <v>0</v>
      </c>
      <c r="L2253" t="n">
        <v>0</v>
      </c>
      <c r="M2253" t="n">
        <v>0</v>
      </c>
      <c r="N2253" t="n">
        <v>0</v>
      </c>
      <c r="O2253" t="n">
        <v>0</v>
      </c>
      <c r="P2253" t="n">
        <v>0</v>
      </c>
      <c r="Q2253" t="n">
        <v>0</v>
      </c>
      <c r="R2253" s="2" t="inlineStr"/>
    </row>
    <row r="2254" ht="15" customHeight="1">
      <c r="A2254" t="inlineStr">
        <is>
          <t>A 50779-2019</t>
        </is>
      </c>
      <c r="B2254" s="1" t="n">
        <v>43738</v>
      </c>
      <c r="C2254" s="1" t="n">
        <v>45182</v>
      </c>
      <c r="D2254" t="inlineStr">
        <is>
          <t>JÄMTLANDS LÄN</t>
        </is>
      </c>
      <c r="E2254" t="inlineStr">
        <is>
          <t>ÖSTERSUND</t>
        </is>
      </c>
      <c r="G2254" t="n">
        <v>0.2</v>
      </c>
      <c r="H2254" t="n">
        <v>0</v>
      </c>
      <c r="I2254" t="n">
        <v>0</v>
      </c>
      <c r="J2254" t="n">
        <v>0</v>
      </c>
      <c r="K2254" t="n">
        <v>0</v>
      </c>
      <c r="L2254" t="n">
        <v>0</v>
      </c>
      <c r="M2254" t="n">
        <v>0</v>
      </c>
      <c r="N2254" t="n">
        <v>0</v>
      </c>
      <c r="O2254" t="n">
        <v>0</v>
      </c>
      <c r="P2254" t="n">
        <v>0</v>
      </c>
      <c r="Q2254" t="n">
        <v>0</v>
      </c>
      <c r="R2254" s="2" t="inlineStr"/>
    </row>
    <row r="2255" ht="15" customHeight="1">
      <c r="A2255" t="inlineStr">
        <is>
          <t>A 51008-2019</t>
        </is>
      </c>
      <c r="B2255" s="1" t="n">
        <v>43738</v>
      </c>
      <c r="C2255" s="1" t="n">
        <v>45182</v>
      </c>
      <c r="D2255" t="inlineStr">
        <is>
          <t>JÄMTLANDS LÄN</t>
        </is>
      </c>
      <c r="E2255" t="inlineStr">
        <is>
          <t>STRÖMSUND</t>
        </is>
      </c>
      <c r="F2255" t="inlineStr">
        <is>
          <t>SCA</t>
        </is>
      </c>
      <c r="G2255" t="n">
        <v>4.8</v>
      </c>
      <c r="H2255" t="n">
        <v>0</v>
      </c>
      <c r="I2255" t="n">
        <v>0</v>
      </c>
      <c r="J2255" t="n">
        <v>0</v>
      </c>
      <c r="K2255" t="n">
        <v>0</v>
      </c>
      <c r="L2255" t="n">
        <v>0</v>
      </c>
      <c r="M2255" t="n">
        <v>0</v>
      </c>
      <c r="N2255" t="n">
        <v>0</v>
      </c>
      <c r="O2255" t="n">
        <v>0</v>
      </c>
      <c r="P2255" t="n">
        <v>0</v>
      </c>
      <c r="Q2255" t="n">
        <v>0</v>
      </c>
      <c r="R2255" s="2" t="inlineStr"/>
    </row>
    <row r="2256" ht="15" customHeight="1">
      <c r="A2256" t="inlineStr">
        <is>
          <t>A 50969-2019</t>
        </is>
      </c>
      <c r="B2256" s="1" t="n">
        <v>43738</v>
      </c>
      <c r="C2256" s="1" t="n">
        <v>45182</v>
      </c>
      <c r="D2256" t="inlineStr">
        <is>
          <t>JÄMTLANDS LÄN</t>
        </is>
      </c>
      <c r="E2256" t="inlineStr">
        <is>
          <t>BERG</t>
        </is>
      </c>
      <c r="F2256" t="inlineStr">
        <is>
          <t>SCA</t>
        </is>
      </c>
      <c r="G2256" t="n">
        <v>9.1</v>
      </c>
      <c r="H2256" t="n">
        <v>0</v>
      </c>
      <c r="I2256" t="n">
        <v>0</v>
      </c>
      <c r="J2256" t="n">
        <v>0</v>
      </c>
      <c r="K2256" t="n">
        <v>0</v>
      </c>
      <c r="L2256" t="n">
        <v>0</v>
      </c>
      <c r="M2256" t="n">
        <v>0</v>
      </c>
      <c r="N2256" t="n">
        <v>0</v>
      </c>
      <c r="O2256" t="n">
        <v>0</v>
      </c>
      <c r="P2256" t="n">
        <v>0</v>
      </c>
      <c r="Q2256" t="n">
        <v>0</v>
      </c>
      <c r="R2256" s="2" t="inlineStr"/>
    </row>
    <row r="2257" ht="15" customHeight="1">
      <c r="A2257" t="inlineStr">
        <is>
          <t>A 51015-2019</t>
        </is>
      </c>
      <c r="B2257" s="1" t="n">
        <v>43739</v>
      </c>
      <c r="C2257" s="1" t="n">
        <v>45182</v>
      </c>
      <c r="D2257" t="inlineStr">
        <is>
          <t>JÄMTLANDS LÄN</t>
        </is>
      </c>
      <c r="E2257" t="inlineStr">
        <is>
          <t>STRÖMSUND</t>
        </is>
      </c>
      <c r="G2257" t="n">
        <v>2.1</v>
      </c>
      <c r="H2257" t="n">
        <v>0</v>
      </c>
      <c r="I2257" t="n">
        <v>0</v>
      </c>
      <c r="J2257" t="n">
        <v>0</v>
      </c>
      <c r="K2257" t="n">
        <v>0</v>
      </c>
      <c r="L2257" t="n">
        <v>0</v>
      </c>
      <c r="M2257" t="n">
        <v>0</v>
      </c>
      <c r="N2257" t="n">
        <v>0</v>
      </c>
      <c r="O2257" t="n">
        <v>0</v>
      </c>
      <c r="P2257" t="n">
        <v>0</v>
      </c>
      <c r="Q2257" t="n">
        <v>0</v>
      </c>
      <c r="R2257" s="2" t="inlineStr"/>
    </row>
    <row r="2258" ht="15" customHeight="1">
      <c r="A2258" t="inlineStr">
        <is>
          <t>A 51123-2019</t>
        </is>
      </c>
      <c r="B2258" s="1" t="n">
        <v>43739</v>
      </c>
      <c r="C2258" s="1" t="n">
        <v>45182</v>
      </c>
      <c r="D2258" t="inlineStr">
        <is>
          <t>JÄMTLANDS LÄN</t>
        </is>
      </c>
      <c r="E2258" t="inlineStr">
        <is>
          <t>HÄRJEDALEN</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51328-2019</t>
        </is>
      </c>
      <c r="B2259" s="1" t="n">
        <v>43739</v>
      </c>
      <c r="C2259" s="1" t="n">
        <v>45182</v>
      </c>
      <c r="D2259" t="inlineStr">
        <is>
          <t>JÄMTLANDS LÄN</t>
        </is>
      </c>
      <c r="E2259" t="inlineStr">
        <is>
          <t>BRÄCKE</t>
        </is>
      </c>
      <c r="F2259" t="inlineStr">
        <is>
          <t>SCA</t>
        </is>
      </c>
      <c r="G2259" t="n">
        <v>3</v>
      </c>
      <c r="H2259" t="n">
        <v>0</v>
      </c>
      <c r="I2259" t="n">
        <v>0</v>
      </c>
      <c r="J2259" t="n">
        <v>0</v>
      </c>
      <c r="K2259" t="n">
        <v>0</v>
      </c>
      <c r="L2259" t="n">
        <v>0</v>
      </c>
      <c r="M2259" t="n">
        <v>0</v>
      </c>
      <c r="N2259" t="n">
        <v>0</v>
      </c>
      <c r="O2259" t="n">
        <v>0</v>
      </c>
      <c r="P2259" t="n">
        <v>0</v>
      </c>
      <c r="Q2259" t="n">
        <v>0</v>
      </c>
      <c r="R2259" s="2" t="inlineStr"/>
    </row>
    <row r="2260" ht="15" customHeight="1">
      <c r="A2260" t="inlineStr">
        <is>
          <t>A 51118-2019</t>
        </is>
      </c>
      <c r="B2260" s="1" t="n">
        <v>43739</v>
      </c>
      <c r="C2260" s="1" t="n">
        <v>45182</v>
      </c>
      <c r="D2260" t="inlineStr">
        <is>
          <t>JÄMTLANDS LÄN</t>
        </is>
      </c>
      <c r="E2260" t="inlineStr">
        <is>
          <t>HÄRJEDALEN</t>
        </is>
      </c>
      <c r="G2260" t="n">
        <v>12.5</v>
      </c>
      <c r="H2260" t="n">
        <v>0</v>
      </c>
      <c r="I2260" t="n">
        <v>0</v>
      </c>
      <c r="J2260" t="n">
        <v>0</v>
      </c>
      <c r="K2260" t="n">
        <v>0</v>
      </c>
      <c r="L2260" t="n">
        <v>0</v>
      </c>
      <c r="M2260" t="n">
        <v>0</v>
      </c>
      <c r="N2260" t="n">
        <v>0</v>
      </c>
      <c r="O2260" t="n">
        <v>0</v>
      </c>
      <c r="P2260" t="n">
        <v>0</v>
      </c>
      <c r="Q2260" t="n">
        <v>0</v>
      </c>
      <c r="R2260" s="2" t="inlineStr"/>
    </row>
    <row r="2261" ht="15" customHeight="1">
      <c r="A2261" t="inlineStr">
        <is>
          <t>A 51183-2019</t>
        </is>
      </c>
      <c r="B2261" s="1" t="n">
        <v>43739</v>
      </c>
      <c r="C2261" s="1" t="n">
        <v>45182</v>
      </c>
      <c r="D2261" t="inlineStr">
        <is>
          <t>JÄMTLANDS LÄN</t>
        </is>
      </c>
      <c r="E2261" t="inlineStr">
        <is>
          <t>STRÖMSUND</t>
        </is>
      </c>
      <c r="F2261" t="inlineStr">
        <is>
          <t>Sveaskog</t>
        </is>
      </c>
      <c r="G2261" t="n">
        <v>6.9</v>
      </c>
      <c r="H2261" t="n">
        <v>0</v>
      </c>
      <c r="I2261" t="n">
        <v>0</v>
      </c>
      <c r="J2261" t="n">
        <v>0</v>
      </c>
      <c r="K2261" t="n">
        <v>0</v>
      </c>
      <c r="L2261" t="n">
        <v>0</v>
      </c>
      <c r="M2261" t="n">
        <v>0</v>
      </c>
      <c r="N2261" t="n">
        <v>0</v>
      </c>
      <c r="O2261" t="n">
        <v>0</v>
      </c>
      <c r="P2261" t="n">
        <v>0</v>
      </c>
      <c r="Q2261" t="n">
        <v>0</v>
      </c>
      <c r="R2261" s="2" t="inlineStr"/>
    </row>
    <row r="2262" ht="15" customHeight="1">
      <c r="A2262" t="inlineStr">
        <is>
          <t>A 51206-2019</t>
        </is>
      </c>
      <c r="B2262" s="1" t="n">
        <v>43739</v>
      </c>
      <c r="C2262" s="1" t="n">
        <v>45182</v>
      </c>
      <c r="D2262" t="inlineStr">
        <is>
          <t>JÄMTLANDS LÄN</t>
        </is>
      </c>
      <c r="E2262" t="inlineStr">
        <is>
          <t>BERG</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51257-2019</t>
        </is>
      </c>
      <c r="B2263" s="1" t="n">
        <v>43739</v>
      </c>
      <c r="C2263" s="1" t="n">
        <v>45182</v>
      </c>
      <c r="D2263" t="inlineStr">
        <is>
          <t>JÄMTLANDS LÄN</t>
        </is>
      </c>
      <c r="E2263" t="inlineStr">
        <is>
          <t>BRÄCKE</t>
        </is>
      </c>
      <c r="F2263" t="inlineStr">
        <is>
          <t>Övriga Aktiebolag</t>
        </is>
      </c>
      <c r="G2263" t="n">
        <v>6</v>
      </c>
      <c r="H2263" t="n">
        <v>0</v>
      </c>
      <c r="I2263" t="n">
        <v>0</v>
      </c>
      <c r="J2263" t="n">
        <v>0</v>
      </c>
      <c r="K2263" t="n">
        <v>0</v>
      </c>
      <c r="L2263" t="n">
        <v>0</v>
      </c>
      <c r="M2263" t="n">
        <v>0</v>
      </c>
      <c r="N2263" t="n">
        <v>0</v>
      </c>
      <c r="O2263" t="n">
        <v>0</v>
      </c>
      <c r="P2263" t="n">
        <v>0</v>
      </c>
      <c r="Q2263" t="n">
        <v>0</v>
      </c>
      <c r="R2263" s="2" t="inlineStr"/>
    </row>
    <row r="2264" ht="15" customHeight="1">
      <c r="A2264" t="inlineStr">
        <is>
          <t>A 51329-2019</t>
        </is>
      </c>
      <c r="B2264" s="1" t="n">
        <v>43739</v>
      </c>
      <c r="C2264" s="1" t="n">
        <v>45182</v>
      </c>
      <c r="D2264" t="inlineStr">
        <is>
          <t>JÄMTLANDS LÄN</t>
        </is>
      </c>
      <c r="E2264" t="inlineStr">
        <is>
          <t>BRÄCKE</t>
        </is>
      </c>
      <c r="F2264" t="inlineStr">
        <is>
          <t>SCA</t>
        </is>
      </c>
      <c r="G2264" t="n">
        <v>3.1</v>
      </c>
      <c r="H2264" t="n">
        <v>0</v>
      </c>
      <c r="I2264" t="n">
        <v>0</v>
      </c>
      <c r="J2264" t="n">
        <v>0</v>
      </c>
      <c r="K2264" t="n">
        <v>0</v>
      </c>
      <c r="L2264" t="n">
        <v>0</v>
      </c>
      <c r="M2264" t="n">
        <v>0</v>
      </c>
      <c r="N2264" t="n">
        <v>0</v>
      </c>
      <c r="O2264" t="n">
        <v>0</v>
      </c>
      <c r="P2264" t="n">
        <v>0</v>
      </c>
      <c r="Q2264" t="n">
        <v>0</v>
      </c>
      <c r="R2264" s="2" t="inlineStr"/>
    </row>
    <row r="2265" ht="15" customHeight="1">
      <c r="A2265" t="inlineStr">
        <is>
          <t>A 51661-2019</t>
        </is>
      </c>
      <c r="B2265" s="1" t="n">
        <v>43740</v>
      </c>
      <c r="C2265" s="1" t="n">
        <v>45182</v>
      </c>
      <c r="D2265" t="inlineStr">
        <is>
          <t>JÄMTLANDS LÄN</t>
        </is>
      </c>
      <c r="E2265" t="inlineStr">
        <is>
          <t>RAGUNDA</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51678-2019</t>
        </is>
      </c>
      <c r="B2266" s="1" t="n">
        <v>43740</v>
      </c>
      <c r="C2266" s="1" t="n">
        <v>45182</v>
      </c>
      <c r="D2266" t="inlineStr">
        <is>
          <t>JÄMTLANDS LÄN</t>
        </is>
      </c>
      <c r="E2266" t="inlineStr">
        <is>
          <t>STRÖMSUND</t>
        </is>
      </c>
      <c r="F2266" t="inlineStr">
        <is>
          <t>SCA</t>
        </is>
      </c>
      <c r="G2266" t="n">
        <v>2.7</v>
      </c>
      <c r="H2266" t="n">
        <v>0</v>
      </c>
      <c r="I2266" t="n">
        <v>0</v>
      </c>
      <c r="J2266" t="n">
        <v>0</v>
      </c>
      <c r="K2266" t="n">
        <v>0</v>
      </c>
      <c r="L2266" t="n">
        <v>0</v>
      </c>
      <c r="M2266" t="n">
        <v>0</v>
      </c>
      <c r="N2266" t="n">
        <v>0</v>
      </c>
      <c r="O2266" t="n">
        <v>0</v>
      </c>
      <c r="P2266" t="n">
        <v>0</v>
      </c>
      <c r="Q2266" t="n">
        <v>0</v>
      </c>
      <c r="R2266" s="2" t="inlineStr"/>
    </row>
    <row r="2267" ht="15" customHeight="1">
      <c r="A2267" t="inlineStr">
        <is>
          <t>A 53415-2019</t>
        </is>
      </c>
      <c r="B2267" s="1" t="n">
        <v>43740</v>
      </c>
      <c r="C2267" s="1" t="n">
        <v>45182</v>
      </c>
      <c r="D2267" t="inlineStr">
        <is>
          <t>JÄMTLANDS LÄN</t>
        </is>
      </c>
      <c r="E2267" t="inlineStr">
        <is>
          <t>BERG</t>
        </is>
      </c>
      <c r="G2267" t="n">
        <v>0.7</v>
      </c>
      <c r="H2267" t="n">
        <v>0</v>
      </c>
      <c r="I2267" t="n">
        <v>0</v>
      </c>
      <c r="J2267" t="n">
        <v>0</v>
      </c>
      <c r="K2267" t="n">
        <v>0</v>
      </c>
      <c r="L2267" t="n">
        <v>0</v>
      </c>
      <c r="M2267" t="n">
        <v>0</v>
      </c>
      <c r="N2267" t="n">
        <v>0</v>
      </c>
      <c r="O2267" t="n">
        <v>0</v>
      </c>
      <c r="P2267" t="n">
        <v>0</v>
      </c>
      <c r="Q2267" t="n">
        <v>0</v>
      </c>
      <c r="R2267" s="2" t="inlineStr"/>
    </row>
    <row r="2268" ht="15" customHeight="1">
      <c r="A2268" t="inlineStr">
        <is>
          <t>A 51951-2019</t>
        </is>
      </c>
      <c r="B2268" s="1" t="n">
        <v>43741</v>
      </c>
      <c r="C2268" s="1" t="n">
        <v>45182</v>
      </c>
      <c r="D2268" t="inlineStr">
        <is>
          <t>JÄMTLANDS LÄN</t>
        </is>
      </c>
      <c r="E2268" t="inlineStr">
        <is>
          <t>STRÖMSUND</t>
        </is>
      </c>
      <c r="F2268" t="inlineStr">
        <is>
          <t>SCA</t>
        </is>
      </c>
      <c r="G2268" t="n">
        <v>2.9</v>
      </c>
      <c r="H2268" t="n">
        <v>0</v>
      </c>
      <c r="I2268" t="n">
        <v>0</v>
      </c>
      <c r="J2268" t="n">
        <v>0</v>
      </c>
      <c r="K2268" t="n">
        <v>0</v>
      </c>
      <c r="L2268" t="n">
        <v>0</v>
      </c>
      <c r="M2268" t="n">
        <v>0</v>
      </c>
      <c r="N2268" t="n">
        <v>0</v>
      </c>
      <c r="O2268" t="n">
        <v>0</v>
      </c>
      <c r="P2268" t="n">
        <v>0</v>
      </c>
      <c r="Q2268" t="n">
        <v>0</v>
      </c>
      <c r="R2268" s="2" t="inlineStr"/>
    </row>
    <row r="2269" ht="15" customHeight="1">
      <c r="A2269" t="inlineStr">
        <is>
          <t>A 53662-2019</t>
        </is>
      </c>
      <c r="B2269" s="1" t="n">
        <v>43741</v>
      </c>
      <c r="C2269" s="1" t="n">
        <v>45182</v>
      </c>
      <c r="D2269" t="inlineStr">
        <is>
          <t>JÄMTLANDS LÄN</t>
        </is>
      </c>
      <c r="E2269" t="inlineStr">
        <is>
          <t>KROKOM</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53849-2019</t>
        </is>
      </c>
      <c r="B2270" s="1" t="n">
        <v>43742</v>
      </c>
      <c r="C2270" s="1" t="n">
        <v>45182</v>
      </c>
      <c r="D2270" t="inlineStr">
        <is>
          <t>JÄMTLANDS LÄN</t>
        </is>
      </c>
      <c r="E2270" t="inlineStr">
        <is>
          <t>RAGUNDA</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52258-2019</t>
        </is>
      </c>
      <c r="B2271" s="1" t="n">
        <v>43742</v>
      </c>
      <c r="C2271" s="1" t="n">
        <v>45182</v>
      </c>
      <c r="D2271" t="inlineStr">
        <is>
          <t>JÄMTLANDS LÄN</t>
        </is>
      </c>
      <c r="E2271" t="inlineStr">
        <is>
          <t>STRÖMSUND</t>
        </is>
      </c>
      <c r="F2271" t="inlineStr">
        <is>
          <t>SCA</t>
        </is>
      </c>
      <c r="G2271" t="n">
        <v>5.3</v>
      </c>
      <c r="H2271" t="n">
        <v>0</v>
      </c>
      <c r="I2271" t="n">
        <v>0</v>
      </c>
      <c r="J2271" t="n">
        <v>0</v>
      </c>
      <c r="K2271" t="n">
        <v>0</v>
      </c>
      <c r="L2271" t="n">
        <v>0</v>
      </c>
      <c r="M2271" t="n">
        <v>0</v>
      </c>
      <c r="N2271" t="n">
        <v>0</v>
      </c>
      <c r="O2271" t="n">
        <v>0</v>
      </c>
      <c r="P2271" t="n">
        <v>0</v>
      </c>
      <c r="Q2271" t="n">
        <v>0</v>
      </c>
      <c r="R2271" s="2" t="inlineStr"/>
    </row>
    <row r="2272" ht="15" customHeight="1">
      <c r="A2272" t="inlineStr">
        <is>
          <t>A 52304-2019</t>
        </is>
      </c>
      <c r="B2272" s="1" t="n">
        <v>43745</v>
      </c>
      <c r="C2272" s="1" t="n">
        <v>45182</v>
      </c>
      <c r="D2272" t="inlineStr">
        <is>
          <t>JÄMTLANDS LÄN</t>
        </is>
      </c>
      <c r="E2272" t="inlineStr">
        <is>
          <t>HÄRJEDALEN</t>
        </is>
      </c>
      <c r="G2272" t="n">
        <v>4.8</v>
      </c>
      <c r="H2272" t="n">
        <v>0</v>
      </c>
      <c r="I2272" t="n">
        <v>0</v>
      </c>
      <c r="J2272" t="n">
        <v>0</v>
      </c>
      <c r="K2272" t="n">
        <v>0</v>
      </c>
      <c r="L2272" t="n">
        <v>0</v>
      </c>
      <c r="M2272" t="n">
        <v>0</v>
      </c>
      <c r="N2272" t="n">
        <v>0</v>
      </c>
      <c r="O2272" t="n">
        <v>0</v>
      </c>
      <c r="P2272" t="n">
        <v>0</v>
      </c>
      <c r="Q2272" t="n">
        <v>0</v>
      </c>
      <c r="R2272" s="2" t="inlineStr"/>
    </row>
    <row r="2273" ht="15" customHeight="1">
      <c r="A2273" t="inlineStr">
        <is>
          <t>A 54154-2019</t>
        </is>
      </c>
      <c r="B2273" s="1" t="n">
        <v>43745</v>
      </c>
      <c r="C2273" s="1" t="n">
        <v>45182</v>
      </c>
      <c r="D2273" t="inlineStr">
        <is>
          <t>JÄMTLANDS LÄN</t>
        </is>
      </c>
      <c r="E2273" t="inlineStr">
        <is>
          <t>KROKOM</t>
        </is>
      </c>
      <c r="G2273" t="n">
        <v>2.5</v>
      </c>
      <c r="H2273" t="n">
        <v>0</v>
      </c>
      <c r="I2273" t="n">
        <v>0</v>
      </c>
      <c r="J2273" t="n">
        <v>0</v>
      </c>
      <c r="K2273" t="n">
        <v>0</v>
      </c>
      <c r="L2273" t="n">
        <v>0</v>
      </c>
      <c r="M2273" t="n">
        <v>0</v>
      </c>
      <c r="N2273" t="n">
        <v>0</v>
      </c>
      <c r="O2273" t="n">
        <v>0</v>
      </c>
      <c r="P2273" t="n">
        <v>0</v>
      </c>
      <c r="Q2273" t="n">
        <v>0</v>
      </c>
      <c r="R2273" s="2" t="inlineStr"/>
    </row>
    <row r="2274" ht="15" customHeight="1">
      <c r="A2274" t="inlineStr">
        <is>
          <t>A 52384-2019</t>
        </is>
      </c>
      <c r="B2274" s="1" t="n">
        <v>43745</v>
      </c>
      <c r="C2274" s="1" t="n">
        <v>45182</v>
      </c>
      <c r="D2274" t="inlineStr">
        <is>
          <t>JÄMTLANDS LÄN</t>
        </is>
      </c>
      <c r="E2274" t="inlineStr">
        <is>
          <t>STRÖMSUND</t>
        </is>
      </c>
      <c r="G2274" t="n">
        <v>3.7</v>
      </c>
      <c r="H2274" t="n">
        <v>0</v>
      </c>
      <c r="I2274" t="n">
        <v>0</v>
      </c>
      <c r="J2274" t="n">
        <v>0</v>
      </c>
      <c r="K2274" t="n">
        <v>0</v>
      </c>
      <c r="L2274" t="n">
        <v>0</v>
      </c>
      <c r="M2274" t="n">
        <v>0</v>
      </c>
      <c r="N2274" t="n">
        <v>0</v>
      </c>
      <c r="O2274" t="n">
        <v>0</v>
      </c>
      <c r="P2274" t="n">
        <v>0</v>
      </c>
      <c r="Q2274" t="n">
        <v>0</v>
      </c>
      <c r="R2274" s="2" t="inlineStr"/>
    </row>
    <row r="2275" ht="15" customHeight="1">
      <c r="A2275" t="inlineStr">
        <is>
          <t>A 52470-2019</t>
        </is>
      </c>
      <c r="B2275" s="1" t="n">
        <v>43745</v>
      </c>
      <c r="C2275" s="1" t="n">
        <v>45182</v>
      </c>
      <c r="D2275" t="inlineStr">
        <is>
          <t>JÄMTLANDS LÄN</t>
        </is>
      </c>
      <c r="E2275" t="inlineStr">
        <is>
          <t>BERG</t>
        </is>
      </c>
      <c r="G2275" t="n">
        <v>5.4</v>
      </c>
      <c r="H2275" t="n">
        <v>0</v>
      </c>
      <c r="I2275" t="n">
        <v>0</v>
      </c>
      <c r="J2275" t="n">
        <v>0</v>
      </c>
      <c r="K2275" t="n">
        <v>0</v>
      </c>
      <c r="L2275" t="n">
        <v>0</v>
      </c>
      <c r="M2275" t="n">
        <v>0</v>
      </c>
      <c r="N2275" t="n">
        <v>0</v>
      </c>
      <c r="O2275" t="n">
        <v>0</v>
      </c>
      <c r="P2275" t="n">
        <v>0</v>
      </c>
      <c r="Q2275" t="n">
        <v>0</v>
      </c>
      <c r="R2275" s="2" t="inlineStr"/>
    </row>
    <row r="2276" ht="15" customHeight="1">
      <c r="A2276" t="inlineStr">
        <is>
          <t>A 53886-2019</t>
        </is>
      </c>
      <c r="B2276" s="1" t="n">
        <v>43745</v>
      </c>
      <c r="C2276" s="1" t="n">
        <v>45182</v>
      </c>
      <c r="D2276" t="inlineStr">
        <is>
          <t>JÄMTLANDS LÄN</t>
        </is>
      </c>
      <c r="E2276" t="inlineStr">
        <is>
          <t>STRÖMSUND</t>
        </is>
      </c>
      <c r="G2276" t="n">
        <v>15.2</v>
      </c>
      <c r="H2276" t="n">
        <v>0</v>
      </c>
      <c r="I2276" t="n">
        <v>0</v>
      </c>
      <c r="J2276" t="n">
        <v>0</v>
      </c>
      <c r="K2276" t="n">
        <v>0</v>
      </c>
      <c r="L2276" t="n">
        <v>0</v>
      </c>
      <c r="M2276" t="n">
        <v>0</v>
      </c>
      <c r="N2276" t="n">
        <v>0</v>
      </c>
      <c r="O2276" t="n">
        <v>0</v>
      </c>
      <c r="P2276" t="n">
        <v>0</v>
      </c>
      <c r="Q2276" t="n">
        <v>0</v>
      </c>
      <c r="R2276" s="2" t="inlineStr"/>
    </row>
    <row r="2277" ht="15" customHeight="1">
      <c r="A2277" t="inlineStr">
        <is>
          <t>A 53874-2019</t>
        </is>
      </c>
      <c r="B2277" s="1" t="n">
        <v>43745</v>
      </c>
      <c r="C2277" s="1" t="n">
        <v>45182</v>
      </c>
      <c r="D2277" t="inlineStr">
        <is>
          <t>JÄMTLANDS LÄN</t>
        </is>
      </c>
      <c r="E2277" t="inlineStr">
        <is>
          <t>STRÖMSUND</t>
        </is>
      </c>
      <c r="G2277" t="n">
        <v>10.1</v>
      </c>
      <c r="H2277" t="n">
        <v>0</v>
      </c>
      <c r="I2277" t="n">
        <v>0</v>
      </c>
      <c r="J2277" t="n">
        <v>0</v>
      </c>
      <c r="K2277" t="n">
        <v>0</v>
      </c>
      <c r="L2277" t="n">
        <v>0</v>
      </c>
      <c r="M2277" t="n">
        <v>0</v>
      </c>
      <c r="N2277" t="n">
        <v>0</v>
      </c>
      <c r="O2277" t="n">
        <v>0</v>
      </c>
      <c r="P2277" t="n">
        <v>0</v>
      </c>
      <c r="Q2277" t="n">
        <v>0</v>
      </c>
      <c r="R2277" s="2" t="inlineStr"/>
    </row>
    <row r="2278" ht="15" customHeight="1">
      <c r="A2278" t="inlineStr">
        <is>
          <t>A 52882-2019</t>
        </is>
      </c>
      <c r="B2278" s="1" t="n">
        <v>43746</v>
      </c>
      <c r="C2278" s="1" t="n">
        <v>45182</v>
      </c>
      <c r="D2278" t="inlineStr">
        <is>
          <t>JÄMTLANDS LÄN</t>
        </is>
      </c>
      <c r="E2278" t="inlineStr">
        <is>
          <t>BRÄCKE</t>
        </is>
      </c>
      <c r="F2278" t="inlineStr">
        <is>
          <t>Övriga Aktiebolag</t>
        </is>
      </c>
      <c r="G2278" t="n">
        <v>2.2</v>
      </c>
      <c r="H2278" t="n">
        <v>0</v>
      </c>
      <c r="I2278" t="n">
        <v>0</v>
      </c>
      <c r="J2278" t="n">
        <v>0</v>
      </c>
      <c r="K2278" t="n">
        <v>0</v>
      </c>
      <c r="L2278" t="n">
        <v>0</v>
      </c>
      <c r="M2278" t="n">
        <v>0</v>
      </c>
      <c r="N2278" t="n">
        <v>0</v>
      </c>
      <c r="O2278" t="n">
        <v>0</v>
      </c>
      <c r="P2278" t="n">
        <v>0</v>
      </c>
      <c r="Q2278" t="n">
        <v>0</v>
      </c>
      <c r="R2278" s="2" t="inlineStr"/>
    </row>
    <row r="2279" ht="15" customHeight="1">
      <c r="A2279" t="inlineStr">
        <is>
          <t>A 52728-2019</t>
        </is>
      </c>
      <c r="B2279" s="1" t="n">
        <v>43746</v>
      </c>
      <c r="C2279" s="1" t="n">
        <v>45182</v>
      </c>
      <c r="D2279" t="inlineStr">
        <is>
          <t>JÄMTLANDS LÄN</t>
        </is>
      </c>
      <c r="E2279" t="inlineStr">
        <is>
          <t>RAGUNDA</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52985-2019</t>
        </is>
      </c>
      <c r="B2280" s="1" t="n">
        <v>43747</v>
      </c>
      <c r="C2280" s="1" t="n">
        <v>45182</v>
      </c>
      <c r="D2280" t="inlineStr">
        <is>
          <t>JÄMTLANDS LÄN</t>
        </is>
      </c>
      <c r="E2280" t="inlineStr">
        <is>
          <t>BERG</t>
        </is>
      </c>
      <c r="G2280" t="n">
        <v>8.4</v>
      </c>
      <c r="H2280" t="n">
        <v>0</v>
      </c>
      <c r="I2280" t="n">
        <v>0</v>
      </c>
      <c r="J2280" t="n">
        <v>0</v>
      </c>
      <c r="K2280" t="n">
        <v>0</v>
      </c>
      <c r="L2280" t="n">
        <v>0</v>
      </c>
      <c r="M2280" t="n">
        <v>0</v>
      </c>
      <c r="N2280" t="n">
        <v>0</v>
      </c>
      <c r="O2280" t="n">
        <v>0</v>
      </c>
      <c r="P2280" t="n">
        <v>0</v>
      </c>
      <c r="Q2280" t="n">
        <v>0</v>
      </c>
      <c r="R2280" s="2" t="inlineStr"/>
    </row>
    <row r="2281" ht="15" customHeight="1">
      <c r="A2281" t="inlineStr">
        <is>
          <t>A 54498-2019</t>
        </is>
      </c>
      <c r="B2281" s="1" t="n">
        <v>43747</v>
      </c>
      <c r="C2281" s="1" t="n">
        <v>45182</v>
      </c>
      <c r="D2281" t="inlineStr">
        <is>
          <t>JÄMTLANDS LÄN</t>
        </is>
      </c>
      <c r="E2281" t="inlineStr">
        <is>
          <t>ÖSTERSUND</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52992-2019</t>
        </is>
      </c>
      <c r="B2282" s="1" t="n">
        <v>43747</v>
      </c>
      <c r="C2282" s="1" t="n">
        <v>45182</v>
      </c>
      <c r="D2282" t="inlineStr">
        <is>
          <t>JÄMTLANDS LÄN</t>
        </is>
      </c>
      <c r="E2282" t="inlineStr">
        <is>
          <t>HÄRJEDALEN</t>
        </is>
      </c>
      <c r="F2282" t="inlineStr">
        <is>
          <t>Sveaskog</t>
        </is>
      </c>
      <c r="G2282" t="n">
        <v>3.5</v>
      </c>
      <c r="H2282" t="n">
        <v>0</v>
      </c>
      <c r="I2282" t="n">
        <v>0</v>
      </c>
      <c r="J2282" t="n">
        <v>0</v>
      </c>
      <c r="K2282" t="n">
        <v>0</v>
      </c>
      <c r="L2282" t="n">
        <v>0</v>
      </c>
      <c r="M2282" t="n">
        <v>0</v>
      </c>
      <c r="N2282" t="n">
        <v>0</v>
      </c>
      <c r="O2282" t="n">
        <v>0</v>
      </c>
      <c r="P2282" t="n">
        <v>0</v>
      </c>
      <c r="Q2282" t="n">
        <v>0</v>
      </c>
      <c r="R2282" s="2" t="inlineStr"/>
    </row>
    <row r="2283" ht="15" customHeight="1">
      <c r="A2283" t="inlineStr">
        <is>
          <t>A 52991-2019</t>
        </is>
      </c>
      <c r="B2283" s="1" t="n">
        <v>43747</v>
      </c>
      <c r="C2283" s="1" t="n">
        <v>45182</v>
      </c>
      <c r="D2283" t="inlineStr">
        <is>
          <t>JÄMTLANDS LÄN</t>
        </is>
      </c>
      <c r="E2283" t="inlineStr">
        <is>
          <t>HÄRJEDALEN</t>
        </is>
      </c>
      <c r="F2283" t="inlineStr">
        <is>
          <t>Sveaskog</t>
        </is>
      </c>
      <c r="G2283" t="n">
        <v>13.6</v>
      </c>
      <c r="H2283" t="n">
        <v>0</v>
      </c>
      <c r="I2283" t="n">
        <v>0</v>
      </c>
      <c r="J2283" t="n">
        <v>0</v>
      </c>
      <c r="K2283" t="n">
        <v>0</v>
      </c>
      <c r="L2283" t="n">
        <v>0</v>
      </c>
      <c r="M2283" t="n">
        <v>0</v>
      </c>
      <c r="N2283" t="n">
        <v>0</v>
      </c>
      <c r="O2283" t="n">
        <v>0</v>
      </c>
      <c r="P2283" t="n">
        <v>0</v>
      </c>
      <c r="Q2283" t="n">
        <v>0</v>
      </c>
      <c r="R2283" s="2" t="inlineStr"/>
    </row>
    <row r="2284" ht="15" customHeight="1">
      <c r="A2284" t="inlineStr">
        <is>
          <t>A 54494-2019</t>
        </is>
      </c>
      <c r="B2284" s="1" t="n">
        <v>43747</v>
      </c>
      <c r="C2284" s="1" t="n">
        <v>45182</v>
      </c>
      <c r="D2284" t="inlineStr">
        <is>
          <t>JÄMTLANDS LÄN</t>
        </is>
      </c>
      <c r="E2284" t="inlineStr">
        <is>
          <t>KROKOM</t>
        </is>
      </c>
      <c r="G2284" t="n">
        <v>2.7</v>
      </c>
      <c r="H2284" t="n">
        <v>0</v>
      </c>
      <c r="I2284" t="n">
        <v>0</v>
      </c>
      <c r="J2284" t="n">
        <v>0</v>
      </c>
      <c r="K2284" t="n">
        <v>0</v>
      </c>
      <c r="L2284" t="n">
        <v>0</v>
      </c>
      <c r="M2284" t="n">
        <v>0</v>
      </c>
      <c r="N2284" t="n">
        <v>0</v>
      </c>
      <c r="O2284" t="n">
        <v>0</v>
      </c>
      <c r="P2284" t="n">
        <v>0</v>
      </c>
      <c r="Q2284" t="n">
        <v>0</v>
      </c>
      <c r="R2284" s="2" t="inlineStr"/>
    </row>
    <row r="2285" ht="15" customHeight="1">
      <c r="A2285" t="inlineStr">
        <is>
          <t>A 53023-2019</t>
        </is>
      </c>
      <c r="B2285" s="1" t="n">
        <v>43747</v>
      </c>
      <c r="C2285" s="1" t="n">
        <v>45182</v>
      </c>
      <c r="D2285" t="inlineStr">
        <is>
          <t>JÄMTLANDS LÄN</t>
        </is>
      </c>
      <c r="E2285" t="inlineStr">
        <is>
          <t>KROKOM</t>
        </is>
      </c>
      <c r="G2285" t="n">
        <v>4.2</v>
      </c>
      <c r="H2285" t="n">
        <v>0</v>
      </c>
      <c r="I2285" t="n">
        <v>0</v>
      </c>
      <c r="J2285" t="n">
        <v>0</v>
      </c>
      <c r="K2285" t="n">
        <v>0</v>
      </c>
      <c r="L2285" t="n">
        <v>0</v>
      </c>
      <c r="M2285" t="n">
        <v>0</v>
      </c>
      <c r="N2285" t="n">
        <v>0</v>
      </c>
      <c r="O2285" t="n">
        <v>0</v>
      </c>
      <c r="P2285" t="n">
        <v>0</v>
      </c>
      <c r="Q2285" t="n">
        <v>0</v>
      </c>
      <c r="R2285" s="2" t="inlineStr"/>
    </row>
    <row r="2286" ht="15" customHeight="1">
      <c r="A2286" t="inlineStr">
        <is>
          <t>A 53483-2019</t>
        </is>
      </c>
      <c r="B2286" s="1" t="n">
        <v>43748</v>
      </c>
      <c r="C2286" s="1" t="n">
        <v>45182</v>
      </c>
      <c r="D2286" t="inlineStr">
        <is>
          <t>JÄMTLANDS LÄN</t>
        </is>
      </c>
      <c r="E2286" t="inlineStr">
        <is>
          <t>STRÖMSUND</t>
        </is>
      </c>
      <c r="F2286" t="inlineStr">
        <is>
          <t>SCA</t>
        </is>
      </c>
      <c r="G2286" t="n">
        <v>4.8</v>
      </c>
      <c r="H2286" t="n">
        <v>0</v>
      </c>
      <c r="I2286" t="n">
        <v>0</v>
      </c>
      <c r="J2286" t="n">
        <v>0</v>
      </c>
      <c r="K2286" t="n">
        <v>0</v>
      </c>
      <c r="L2286" t="n">
        <v>0</v>
      </c>
      <c r="M2286" t="n">
        <v>0</v>
      </c>
      <c r="N2286" t="n">
        <v>0</v>
      </c>
      <c r="O2286" t="n">
        <v>0</v>
      </c>
      <c r="P2286" t="n">
        <v>0</v>
      </c>
      <c r="Q2286" t="n">
        <v>0</v>
      </c>
      <c r="R2286" s="2" t="inlineStr"/>
    </row>
    <row r="2287" ht="15" customHeight="1">
      <c r="A2287" t="inlineStr">
        <is>
          <t>A 53895-2019</t>
        </is>
      </c>
      <c r="B2287" s="1" t="n">
        <v>43748</v>
      </c>
      <c r="C2287" s="1" t="n">
        <v>45182</v>
      </c>
      <c r="D2287" t="inlineStr">
        <is>
          <t>JÄMTLANDS LÄN</t>
        </is>
      </c>
      <c r="E2287" t="inlineStr">
        <is>
          <t>STRÖMSUND</t>
        </is>
      </c>
      <c r="G2287" t="n">
        <v>2.8</v>
      </c>
      <c r="H2287" t="n">
        <v>0</v>
      </c>
      <c r="I2287" t="n">
        <v>0</v>
      </c>
      <c r="J2287" t="n">
        <v>0</v>
      </c>
      <c r="K2287" t="n">
        <v>0</v>
      </c>
      <c r="L2287" t="n">
        <v>0</v>
      </c>
      <c r="M2287" t="n">
        <v>0</v>
      </c>
      <c r="N2287" t="n">
        <v>0</v>
      </c>
      <c r="O2287" t="n">
        <v>0</v>
      </c>
      <c r="P2287" t="n">
        <v>0</v>
      </c>
      <c r="Q2287" t="n">
        <v>0</v>
      </c>
      <c r="R2287" s="2" t="inlineStr"/>
    </row>
    <row r="2288" ht="15" customHeight="1">
      <c r="A2288" t="inlineStr">
        <is>
          <t>A 53418-2019</t>
        </is>
      </c>
      <c r="B2288" s="1" t="n">
        <v>43748</v>
      </c>
      <c r="C2288" s="1" t="n">
        <v>45182</v>
      </c>
      <c r="D2288" t="inlineStr">
        <is>
          <t>JÄMTLANDS LÄN</t>
        </is>
      </c>
      <c r="E2288" t="inlineStr">
        <is>
          <t>HÄRJEDALEN</t>
        </is>
      </c>
      <c r="G2288" t="n">
        <v>0.4</v>
      </c>
      <c r="H2288" t="n">
        <v>0</v>
      </c>
      <c r="I2288" t="n">
        <v>0</v>
      </c>
      <c r="J2288" t="n">
        <v>0</v>
      </c>
      <c r="K2288" t="n">
        <v>0</v>
      </c>
      <c r="L2288" t="n">
        <v>0</v>
      </c>
      <c r="M2288" t="n">
        <v>0</v>
      </c>
      <c r="N2288" t="n">
        <v>0</v>
      </c>
      <c r="O2288" t="n">
        <v>0</v>
      </c>
      <c r="P2288" t="n">
        <v>0</v>
      </c>
      <c r="Q2288" t="n">
        <v>0</v>
      </c>
      <c r="R2288" s="2" t="inlineStr"/>
    </row>
    <row r="2289" ht="15" customHeight="1">
      <c r="A2289" t="inlineStr">
        <is>
          <t>A 53485-2019</t>
        </is>
      </c>
      <c r="B2289" s="1" t="n">
        <v>43748</v>
      </c>
      <c r="C2289" s="1" t="n">
        <v>45182</v>
      </c>
      <c r="D2289" t="inlineStr">
        <is>
          <t>JÄMTLANDS LÄN</t>
        </is>
      </c>
      <c r="E2289" t="inlineStr">
        <is>
          <t>BRÄCKE</t>
        </is>
      </c>
      <c r="F2289" t="inlineStr">
        <is>
          <t>SCA</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53898-2019</t>
        </is>
      </c>
      <c r="B2290" s="1" t="n">
        <v>43748</v>
      </c>
      <c r="C2290" s="1" t="n">
        <v>45182</v>
      </c>
      <c r="D2290" t="inlineStr">
        <is>
          <t>JÄMTLANDS LÄN</t>
        </is>
      </c>
      <c r="E2290" t="inlineStr">
        <is>
          <t>STRÖMSUND</t>
        </is>
      </c>
      <c r="G2290" t="n">
        <v>4.2</v>
      </c>
      <c r="H2290" t="n">
        <v>0</v>
      </c>
      <c r="I2290" t="n">
        <v>0</v>
      </c>
      <c r="J2290" t="n">
        <v>0</v>
      </c>
      <c r="K2290" t="n">
        <v>0</v>
      </c>
      <c r="L2290" t="n">
        <v>0</v>
      </c>
      <c r="M2290" t="n">
        <v>0</v>
      </c>
      <c r="N2290" t="n">
        <v>0</v>
      </c>
      <c r="O2290" t="n">
        <v>0</v>
      </c>
      <c r="P2290" t="n">
        <v>0</v>
      </c>
      <c r="Q2290" t="n">
        <v>0</v>
      </c>
      <c r="R2290" s="2" t="inlineStr"/>
    </row>
    <row r="2291" ht="15" customHeight="1">
      <c r="A2291" t="inlineStr">
        <is>
          <t>A 53297-2019</t>
        </is>
      </c>
      <c r="B2291" s="1" t="n">
        <v>43748</v>
      </c>
      <c r="C2291" s="1" t="n">
        <v>45182</v>
      </c>
      <c r="D2291" t="inlineStr">
        <is>
          <t>JÄMTLANDS LÄN</t>
        </is>
      </c>
      <c r="E2291" t="inlineStr">
        <is>
          <t>ÖSTERSUND</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53482-2019</t>
        </is>
      </c>
      <c r="B2292" s="1" t="n">
        <v>43748</v>
      </c>
      <c r="C2292" s="1" t="n">
        <v>45182</v>
      </c>
      <c r="D2292" t="inlineStr">
        <is>
          <t>JÄMTLANDS LÄN</t>
        </is>
      </c>
      <c r="E2292" t="inlineStr">
        <is>
          <t>STRÖMSUND</t>
        </is>
      </c>
      <c r="F2292" t="inlineStr">
        <is>
          <t>SCA</t>
        </is>
      </c>
      <c r="G2292" t="n">
        <v>2.9</v>
      </c>
      <c r="H2292" t="n">
        <v>0</v>
      </c>
      <c r="I2292" t="n">
        <v>0</v>
      </c>
      <c r="J2292" t="n">
        <v>0</v>
      </c>
      <c r="K2292" t="n">
        <v>0</v>
      </c>
      <c r="L2292" t="n">
        <v>0</v>
      </c>
      <c r="M2292" t="n">
        <v>0</v>
      </c>
      <c r="N2292" t="n">
        <v>0</v>
      </c>
      <c r="O2292" t="n">
        <v>0</v>
      </c>
      <c r="P2292" t="n">
        <v>0</v>
      </c>
      <c r="Q2292" t="n">
        <v>0</v>
      </c>
      <c r="R2292" s="2" t="inlineStr"/>
    </row>
    <row r="2293" ht="15" customHeight="1">
      <c r="A2293" t="inlineStr">
        <is>
          <t>A 54235-2019</t>
        </is>
      </c>
      <c r="B2293" s="1" t="n">
        <v>43748</v>
      </c>
      <c r="C2293" s="1" t="n">
        <v>45182</v>
      </c>
      <c r="D2293" t="inlineStr">
        <is>
          <t>JÄMTLANDS LÄN</t>
        </is>
      </c>
      <c r="E2293" t="inlineStr">
        <is>
          <t>STRÖMSUND</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57227-2019</t>
        </is>
      </c>
      <c r="B2294" s="1" t="n">
        <v>43748</v>
      </c>
      <c r="C2294" s="1" t="n">
        <v>45182</v>
      </c>
      <c r="D2294" t="inlineStr">
        <is>
          <t>JÄMTLANDS LÄN</t>
        </is>
      </c>
      <c r="E2294" t="inlineStr">
        <is>
          <t>STRÖMSUND</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53533-2019</t>
        </is>
      </c>
      <c r="B2295" s="1" t="n">
        <v>43749</v>
      </c>
      <c r="C2295" s="1" t="n">
        <v>45182</v>
      </c>
      <c r="D2295" t="inlineStr">
        <is>
          <t>JÄMTLANDS LÄN</t>
        </is>
      </c>
      <c r="E2295" t="inlineStr">
        <is>
          <t>ÖSTERSUND</t>
        </is>
      </c>
      <c r="G2295" t="n">
        <v>0.2</v>
      </c>
      <c r="H2295" t="n">
        <v>0</v>
      </c>
      <c r="I2295" t="n">
        <v>0</v>
      </c>
      <c r="J2295" t="n">
        <v>0</v>
      </c>
      <c r="K2295" t="n">
        <v>0</v>
      </c>
      <c r="L2295" t="n">
        <v>0</v>
      </c>
      <c r="M2295" t="n">
        <v>0</v>
      </c>
      <c r="N2295" t="n">
        <v>0</v>
      </c>
      <c r="O2295" t="n">
        <v>0</v>
      </c>
      <c r="P2295" t="n">
        <v>0</v>
      </c>
      <c r="Q2295" t="n">
        <v>0</v>
      </c>
      <c r="R2295" s="2" t="inlineStr"/>
    </row>
    <row r="2296" ht="15" customHeight="1">
      <c r="A2296" t="inlineStr">
        <is>
          <t>A 53756-2019</t>
        </is>
      </c>
      <c r="B2296" s="1" t="n">
        <v>43749</v>
      </c>
      <c r="C2296" s="1" t="n">
        <v>45182</v>
      </c>
      <c r="D2296" t="inlineStr">
        <is>
          <t>JÄMTLANDS LÄN</t>
        </is>
      </c>
      <c r="E2296" t="inlineStr">
        <is>
          <t>BRÄCKE</t>
        </is>
      </c>
      <c r="F2296" t="inlineStr">
        <is>
          <t>SCA</t>
        </is>
      </c>
      <c r="G2296" t="n">
        <v>7.2</v>
      </c>
      <c r="H2296" t="n">
        <v>0</v>
      </c>
      <c r="I2296" t="n">
        <v>0</v>
      </c>
      <c r="J2296" t="n">
        <v>0</v>
      </c>
      <c r="K2296" t="n">
        <v>0</v>
      </c>
      <c r="L2296" t="n">
        <v>0</v>
      </c>
      <c r="M2296" t="n">
        <v>0</v>
      </c>
      <c r="N2296" t="n">
        <v>0</v>
      </c>
      <c r="O2296" t="n">
        <v>0</v>
      </c>
      <c r="P2296" t="n">
        <v>0</v>
      </c>
      <c r="Q2296" t="n">
        <v>0</v>
      </c>
      <c r="R2296" s="2" t="inlineStr"/>
    </row>
    <row r="2297" ht="15" customHeight="1">
      <c r="A2297" t="inlineStr">
        <is>
          <t>A 54013-2019</t>
        </is>
      </c>
      <c r="B2297" s="1" t="n">
        <v>43752</v>
      </c>
      <c r="C2297" s="1" t="n">
        <v>45182</v>
      </c>
      <c r="D2297" t="inlineStr">
        <is>
          <t>JÄMTLANDS LÄN</t>
        </is>
      </c>
      <c r="E2297" t="inlineStr">
        <is>
          <t>KROKOM</t>
        </is>
      </c>
      <c r="F2297" t="inlineStr">
        <is>
          <t>Övriga Aktiebolag</t>
        </is>
      </c>
      <c r="G2297" t="n">
        <v>32.6</v>
      </c>
      <c r="H2297" t="n">
        <v>0</v>
      </c>
      <c r="I2297" t="n">
        <v>0</v>
      </c>
      <c r="J2297" t="n">
        <v>0</v>
      </c>
      <c r="K2297" t="n">
        <v>0</v>
      </c>
      <c r="L2297" t="n">
        <v>0</v>
      </c>
      <c r="M2297" t="n">
        <v>0</v>
      </c>
      <c r="N2297" t="n">
        <v>0</v>
      </c>
      <c r="O2297" t="n">
        <v>0</v>
      </c>
      <c r="P2297" t="n">
        <v>0</v>
      </c>
      <c r="Q2297" t="n">
        <v>0</v>
      </c>
      <c r="R2297" s="2" t="inlineStr"/>
    </row>
    <row r="2298" ht="15" customHeight="1">
      <c r="A2298" t="inlineStr">
        <is>
          <t>A 53941-2019</t>
        </is>
      </c>
      <c r="B2298" s="1" t="n">
        <v>43752</v>
      </c>
      <c r="C2298" s="1" t="n">
        <v>45182</v>
      </c>
      <c r="D2298" t="inlineStr">
        <is>
          <t>JÄMTLANDS LÄN</t>
        </is>
      </c>
      <c r="E2298" t="inlineStr">
        <is>
          <t>KROKOM</t>
        </is>
      </c>
      <c r="G2298" t="n">
        <v>2.6</v>
      </c>
      <c r="H2298" t="n">
        <v>0</v>
      </c>
      <c r="I2298" t="n">
        <v>0</v>
      </c>
      <c r="J2298" t="n">
        <v>0</v>
      </c>
      <c r="K2298" t="n">
        <v>0</v>
      </c>
      <c r="L2298" t="n">
        <v>0</v>
      </c>
      <c r="M2298" t="n">
        <v>0</v>
      </c>
      <c r="N2298" t="n">
        <v>0</v>
      </c>
      <c r="O2298" t="n">
        <v>0</v>
      </c>
      <c r="P2298" t="n">
        <v>0</v>
      </c>
      <c r="Q2298" t="n">
        <v>0</v>
      </c>
      <c r="R2298" s="2" t="inlineStr"/>
    </row>
    <row r="2299" ht="15" customHeight="1">
      <c r="A2299" t="inlineStr">
        <is>
          <t>A 53859-2019</t>
        </is>
      </c>
      <c r="B2299" s="1" t="n">
        <v>43752</v>
      </c>
      <c r="C2299" s="1" t="n">
        <v>45182</v>
      </c>
      <c r="D2299" t="inlineStr">
        <is>
          <t>JÄMTLANDS LÄN</t>
        </is>
      </c>
      <c r="E2299" t="inlineStr">
        <is>
          <t>ÖSTERSUND</t>
        </is>
      </c>
      <c r="F2299" t="inlineStr">
        <is>
          <t>Övriga Aktiebolag</t>
        </is>
      </c>
      <c r="G2299" t="n">
        <v>4.3</v>
      </c>
      <c r="H2299" t="n">
        <v>0</v>
      </c>
      <c r="I2299" t="n">
        <v>0</v>
      </c>
      <c r="J2299" t="n">
        <v>0</v>
      </c>
      <c r="K2299" t="n">
        <v>0</v>
      </c>
      <c r="L2299" t="n">
        <v>0</v>
      </c>
      <c r="M2299" t="n">
        <v>0</v>
      </c>
      <c r="N2299" t="n">
        <v>0</v>
      </c>
      <c r="O2299" t="n">
        <v>0</v>
      </c>
      <c r="P2299" t="n">
        <v>0</v>
      </c>
      <c r="Q2299" t="n">
        <v>0</v>
      </c>
      <c r="R2299" s="2" t="inlineStr"/>
    </row>
    <row r="2300" ht="15" customHeight="1">
      <c r="A2300" t="inlineStr">
        <is>
          <t>A 54045-2019</t>
        </is>
      </c>
      <c r="B2300" s="1" t="n">
        <v>43752</v>
      </c>
      <c r="C2300" s="1" t="n">
        <v>45182</v>
      </c>
      <c r="D2300" t="inlineStr">
        <is>
          <t>JÄMTLANDS LÄN</t>
        </is>
      </c>
      <c r="E2300" t="inlineStr">
        <is>
          <t>KROKOM</t>
        </is>
      </c>
      <c r="F2300" t="inlineStr">
        <is>
          <t>Övriga Aktiebolag</t>
        </is>
      </c>
      <c r="G2300" t="n">
        <v>15.2</v>
      </c>
      <c r="H2300" t="n">
        <v>0</v>
      </c>
      <c r="I2300" t="n">
        <v>0</v>
      </c>
      <c r="J2300" t="n">
        <v>0</v>
      </c>
      <c r="K2300" t="n">
        <v>0</v>
      </c>
      <c r="L2300" t="n">
        <v>0</v>
      </c>
      <c r="M2300" t="n">
        <v>0</v>
      </c>
      <c r="N2300" t="n">
        <v>0</v>
      </c>
      <c r="O2300" t="n">
        <v>0</v>
      </c>
      <c r="P2300" t="n">
        <v>0</v>
      </c>
      <c r="Q2300" t="n">
        <v>0</v>
      </c>
      <c r="R2300" s="2" t="inlineStr"/>
    </row>
    <row r="2301" ht="15" customHeight="1">
      <c r="A2301" t="inlineStr">
        <is>
          <t>A 53962-2019</t>
        </is>
      </c>
      <c r="B2301" s="1" t="n">
        <v>43752</v>
      </c>
      <c r="C2301" s="1" t="n">
        <v>45182</v>
      </c>
      <c r="D2301" t="inlineStr">
        <is>
          <t>JÄMTLANDS LÄN</t>
        </is>
      </c>
      <c r="E2301" t="inlineStr">
        <is>
          <t>HÄRJEDALEN</t>
        </is>
      </c>
      <c r="G2301" t="n">
        <v>19.4</v>
      </c>
      <c r="H2301" t="n">
        <v>0</v>
      </c>
      <c r="I2301" t="n">
        <v>0</v>
      </c>
      <c r="J2301" t="n">
        <v>0</v>
      </c>
      <c r="K2301" t="n">
        <v>0</v>
      </c>
      <c r="L2301" t="n">
        <v>0</v>
      </c>
      <c r="M2301" t="n">
        <v>0</v>
      </c>
      <c r="N2301" t="n">
        <v>0</v>
      </c>
      <c r="O2301" t="n">
        <v>0</v>
      </c>
      <c r="P2301" t="n">
        <v>0</v>
      </c>
      <c r="Q2301" t="n">
        <v>0</v>
      </c>
      <c r="R2301" s="2" t="inlineStr"/>
    </row>
    <row r="2302" ht="15" customHeight="1">
      <c r="A2302" t="inlineStr">
        <is>
          <t>A 54672-2019</t>
        </is>
      </c>
      <c r="B2302" s="1" t="n">
        <v>43754</v>
      </c>
      <c r="C2302" s="1" t="n">
        <v>45182</v>
      </c>
      <c r="D2302" t="inlineStr">
        <is>
          <t>JÄMTLANDS LÄN</t>
        </is>
      </c>
      <c r="E2302" t="inlineStr">
        <is>
          <t>STRÖMSUND</t>
        </is>
      </c>
      <c r="F2302" t="inlineStr">
        <is>
          <t>SCA</t>
        </is>
      </c>
      <c r="G2302" t="n">
        <v>15.7</v>
      </c>
      <c r="H2302" t="n">
        <v>0</v>
      </c>
      <c r="I2302" t="n">
        <v>0</v>
      </c>
      <c r="J2302" t="n">
        <v>0</v>
      </c>
      <c r="K2302" t="n">
        <v>0</v>
      </c>
      <c r="L2302" t="n">
        <v>0</v>
      </c>
      <c r="M2302" t="n">
        <v>0</v>
      </c>
      <c r="N2302" t="n">
        <v>0</v>
      </c>
      <c r="O2302" t="n">
        <v>0</v>
      </c>
      <c r="P2302" t="n">
        <v>0</v>
      </c>
      <c r="Q2302" t="n">
        <v>0</v>
      </c>
      <c r="R2302" s="2" t="inlineStr"/>
    </row>
    <row r="2303" ht="15" customHeight="1">
      <c r="A2303" t="inlineStr">
        <is>
          <t>A 55028-2019</t>
        </is>
      </c>
      <c r="B2303" s="1" t="n">
        <v>43755</v>
      </c>
      <c r="C2303" s="1" t="n">
        <v>45182</v>
      </c>
      <c r="D2303" t="inlineStr">
        <is>
          <t>JÄMTLANDS LÄN</t>
        </is>
      </c>
      <c r="E2303" t="inlineStr">
        <is>
          <t>STRÖMSUND</t>
        </is>
      </c>
      <c r="F2303" t="inlineStr">
        <is>
          <t>SCA</t>
        </is>
      </c>
      <c r="G2303" t="n">
        <v>1.5</v>
      </c>
      <c r="H2303" t="n">
        <v>0</v>
      </c>
      <c r="I2303" t="n">
        <v>0</v>
      </c>
      <c r="J2303" t="n">
        <v>0</v>
      </c>
      <c r="K2303" t="n">
        <v>0</v>
      </c>
      <c r="L2303" t="n">
        <v>0</v>
      </c>
      <c r="M2303" t="n">
        <v>0</v>
      </c>
      <c r="N2303" t="n">
        <v>0</v>
      </c>
      <c r="O2303" t="n">
        <v>0</v>
      </c>
      <c r="P2303" t="n">
        <v>0</v>
      </c>
      <c r="Q2303" t="n">
        <v>0</v>
      </c>
      <c r="R2303" s="2" t="inlineStr"/>
    </row>
    <row r="2304" ht="15" customHeight="1">
      <c r="A2304" t="inlineStr">
        <is>
          <t>A 55020-2019</t>
        </is>
      </c>
      <c r="B2304" s="1" t="n">
        <v>43755</v>
      </c>
      <c r="C2304" s="1" t="n">
        <v>45182</v>
      </c>
      <c r="D2304" t="inlineStr">
        <is>
          <t>JÄMTLANDS LÄN</t>
        </is>
      </c>
      <c r="E2304" t="inlineStr">
        <is>
          <t>KROKOM</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55013-2019</t>
        </is>
      </c>
      <c r="B2305" s="1" t="n">
        <v>43755</v>
      </c>
      <c r="C2305" s="1" t="n">
        <v>45182</v>
      </c>
      <c r="D2305" t="inlineStr">
        <is>
          <t>JÄMTLANDS LÄN</t>
        </is>
      </c>
      <c r="E2305" t="inlineStr">
        <is>
          <t>KROKOM</t>
        </is>
      </c>
      <c r="G2305" t="n">
        <v>4.5</v>
      </c>
      <c r="H2305" t="n">
        <v>0</v>
      </c>
      <c r="I2305" t="n">
        <v>0</v>
      </c>
      <c r="J2305" t="n">
        <v>0</v>
      </c>
      <c r="K2305" t="n">
        <v>0</v>
      </c>
      <c r="L2305" t="n">
        <v>0</v>
      </c>
      <c r="M2305" t="n">
        <v>0</v>
      </c>
      <c r="N2305" t="n">
        <v>0</v>
      </c>
      <c r="O2305" t="n">
        <v>0</v>
      </c>
      <c r="P2305" t="n">
        <v>0</v>
      </c>
      <c r="Q2305" t="n">
        <v>0</v>
      </c>
      <c r="R2305" s="2" t="inlineStr"/>
    </row>
    <row r="2306" ht="15" customHeight="1">
      <c r="A2306" t="inlineStr">
        <is>
          <t>A 54820-2019</t>
        </is>
      </c>
      <c r="B2306" s="1" t="n">
        <v>43755</v>
      </c>
      <c r="C2306" s="1" t="n">
        <v>45182</v>
      </c>
      <c r="D2306" t="inlineStr">
        <is>
          <t>JÄMTLANDS LÄN</t>
        </is>
      </c>
      <c r="E2306" t="inlineStr">
        <is>
          <t>KROKOM</t>
        </is>
      </c>
      <c r="G2306" t="n">
        <v>5.4</v>
      </c>
      <c r="H2306" t="n">
        <v>0</v>
      </c>
      <c r="I2306" t="n">
        <v>0</v>
      </c>
      <c r="J2306" t="n">
        <v>0</v>
      </c>
      <c r="K2306" t="n">
        <v>0</v>
      </c>
      <c r="L2306" t="n">
        <v>0</v>
      </c>
      <c r="M2306" t="n">
        <v>0</v>
      </c>
      <c r="N2306" t="n">
        <v>0</v>
      </c>
      <c r="O2306" t="n">
        <v>0</v>
      </c>
      <c r="P2306" t="n">
        <v>0</v>
      </c>
      <c r="Q2306" t="n">
        <v>0</v>
      </c>
      <c r="R2306" s="2" t="inlineStr"/>
    </row>
    <row r="2307" ht="15" customHeight="1">
      <c r="A2307" t="inlineStr">
        <is>
          <t>A 55193-2019</t>
        </is>
      </c>
      <c r="B2307" s="1" t="n">
        <v>43756</v>
      </c>
      <c r="C2307" s="1" t="n">
        <v>45182</v>
      </c>
      <c r="D2307" t="inlineStr">
        <is>
          <t>JÄMTLANDS LÄN</t>
        </is>
      </c>
      <c r="E2307" t="inlineStr">
        <is>
          <t>HÄRJEDALEN</t>
        </is>
      </c>
      <c r="F2307" t="inlineStr">
        <is>
          <t>Sveaskog</t>
        </is>
      </c>
      <c r="G2307" t="n">
        <v>5.8</v>
      </c>
      <c r="H2307" t="n">
        <v>0</v>
      </c>
      <c r="I2307" t="n">
        <v>0</v>
      </c>
      <c r="J2307" t="n">
        <v>0</v>
      </c>
      <c r="K2307" t="n">
        <v>0</v>
      </c>
      <c r="L2307" t="n">
        <v>0</v>
      </c>
      <c r="M2307" t="n">
        <v>0</v>
      </c>
      <c r="N2307" t="n">
        <v>0</v>
      </c>
      <c r="O2307" t="n">
        <v>0</v>
      </c>
      <c r="P2307" t="n">
        <v>0</v>
      </c>
      <c r="Q2307" t="n">
        <v>0</v>
      </c>
      <c r="R2307" s="2" t="inlineStr"/>
    </row>
    <row r="2308" ht="15" customHeight="1">
      <c r="A2308" t="inlineStr">
        <is>
          <t>A 55241-2019</t>
        </is>
      </c>
      <c r="B2308" s="1" t="n">
        <v>43756</v>
      </c>
      <c r="C2308" s="1" t="n">
        <v>45182</v>
      </c>
      <c r="D2308" t="inlineStr">
        <is>
          <t>JÄMTLANDS LÄN</t>
        </is>
      </c>
      <c r="E2308" t="inlineStr">
        <is>
          <t>HÄRJEDALEN</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55358-2019</t>
        </is>
      </c>
      <c r="B2309" s="1" t="n">
        <v>43756</v>
      </c>
      <c r="C2309" s="1" t="n">
        <v>45182</v>
      </c>
      <c r="D2309" t="inlineStr">
        <is>
          <t>JÄMTLANDS LÄN</t>
        </is>
      </c>
      <c r="E2309" t="inlineStr">
        <is>
          <t>ÅRE</t>
        </is>
      </c>
      <c r="G2309" t="n">
        <v>4.9</v>
      </c>
      <c r="H2309" t="n">
        <v>0</v>
      </c>
      <c r="I2309" t="n">
        <v>0</v>
      </c>
      <c r="J2309" t="n">
        <v>0</v>
      </c>
      <c r="K2309" t="n">
        <v>0</v>
      </c>
      <c r="L2309" t="n">
        <v>0</v>
      </c>
      <c r="M2309" t="n">
        <v>0</v>
      </c>
      <c r="N2309" t="n">
        <v>0</v>
      </c>
      <c r="O2309" t="n">
        <v>0</v>
      </c>
      <c r="P2309" t="n">
        <v>0</v>
      </c>
      <c r="Q2309" t="n">
        <v>0</v>
      </c>
      <c r="R2309" s="2" t="inlineStr"/>
    </row>
    <row r="2310" ht="15" customHeight="1">
      <c r="A2310" t="inlineStr">
        <is>
          <t>A 55238-2019</t>
        </is>
      </c>
      <c r="B2310" s="1" t="n">
        <v>43756</v>
      </c>
      <c r="C2310" s="1" t="n">
        <v>45182</v>
      </c>
      <c r="D2310" t="inlineStr">
        <is>
          <t>JÄMTLANDS LÄN</t>
        </is>
      </c>
      <c r="E2310" t="inlineStr">
        <is>
          <t>HÄRJEDALEN</t>
        </is>
      </c>
      <c r="F2310" t="inlineStr">
        <is>
          <t>Sveaskog</t>
        </is>
      </c>
      <c r="G2310" t="n">
        <v>5.8</v>
      </c>
      <c r="H2310" t="n">
        <v>0</v>
      </c>
      <c r="I2310" t="n">
        <v>0</v>
      </c>
      <c r="J2310" t="n">
        <v>0</v>
      </c>
      <c r="K2310" t="n">
        <v>0</v>
      </c>
      <c r="L2310" t="n">
        <v>0</v>
      </c>
      <c r="M2310" t="n">
        <v>0</v>
      </c>
      <c r="N2310" t="n">
        <v>0</v>
      </c>
      <c r="O2310" t="n">
        <v>0</v>
      </c>
      <c r="P2310" t="n">
        <v>0</v>
      </c>
      <c r="Q2310" t="n">
        <v>0</v>
      </c>
      <c r="R2310" s="2" t="inlineStr"/>
    </row>
    <row r="2311" ht="15" customHeight="1">
      <c r="A2311" t="inlineStr">
        <is>
          <t>A 55353-2019</t>
        </is>
      </c>
      <c r="B2311" s="1" t="n">
        <v>43756</v>
      </c>
      <c r="C2311" s="1" t="n">
        <v>45182</v>
      </c>
      <c r="D2311" t="inlineStr">
        <is>
          <t>JÄMTLANDS LÄN</t>
        </is>
      </c>
      <c r="E2311" t="inlineStr">
        <is>
          <t>RAGUNDA</t>
        </is>
      </c>
      <c r="G2311" t="n">
        <v>2.1</v>
      </c>
      <c r="H2311" t="n">
        <v>0</v>
      </c>
      <c r="I2311" t="n">
        <v>0</v>
      </c>
      <c r="J2311" t="n">
        <v>0</v>
      </c>
      <c r="K2311" t="n">
        <v>0</v>
      </c>
      <c r="L2311" t="n">
        <v>0</v>
      </c>
      <c r="M2311" t="n">
        <v>0</v>
      </c>
      <c r="N2311" t="n">
        <v>0</v>
      </c>
      <c r="O2311" t="n">
        <v>0</v>
      </c>
      <c r="P2311" t="n">
        <v>0</v>
      </c>
      <c r="Q2311" t="n">
        <v>0</v>
      </c>
      <c r="R2311" s="2" t="inlineStr"/>
    </row>
    <row r="2312" ht="15" customHeight="1">
      <c r="A2312" t="inlineStr">
        <is>
          <t>A 55197-2019</t>
        </is>
      </c>
      <c r="B2312" s="1" t="n">
        <v>43756</v>
      </c>
      <c r="C2312" s="1" t="n">
        <v>45182</v>
      </c>
      <c r="D2312" t="inlineStr">
        <is>
          <t>JÄMTLANDS LÄN</t>
        </is>
      </c>
      <c r="E2312" t="inlineStr">
        <is>
          <t>HÄRJEDALEN</t>
        </is>
      </c>
      <c r="F2312" t="inlineStr">
        <is>
          <t>Sveaskog</t>
        </is>
      </c>
      <c r="G2312" t="n">
        <v>9</v>
      </c>
      <c r="H2312" t="n">
        <v>0</v>
      </c>
      <c r="I2312" t="n">
        <v>0</v>
      </c>
      <c r="J2312" t="n">
        <v>0</v>
      </c>
      <c r="K2312" t="n">
        <v>0</v>
      </c>
      <c r="L2312" t="n">
        <v>0</v>
      </c>
      <c r="M2312" t="n">
        <v>0</v>
      </c>
      <c r="N2312" t="n">
        <v>0</v>
      </c>
      <c r="O2312" t="n">
        <v>0</v>
      </c>
      <c r="P2312" t="n">
        <v>0</v>
      </c>
      <c r="Q2312" t="n">
        <v>0</v>
      </c>
      <c r="R2312" s="2" t="inlineStr"/>
    </row>
    <row r="2313" ht="15" customHeight="1">
      <c r="A2313" t="inlineStr">
        <is>
          <t>A 56155-2019</t>
        </is>
      </c>
      <c r="B2313" s="1" t="n">
        <v>43756</v>
      </c>
      <c r="C2313" s="1" t="n">
        <v>45182</v>
      </c>
      <c r="D2313" t="inlineStr">
        <is>
          <t>JÄMTLANDS LÄN</t>
        </is>
      </c>
      <c r="E2313" t="inlineStr">
        <is>
          <t>STRÖMSUND</t>
        </is>
      </c>
      <c r="G2313" t="n">
        <v>4.7</v>
      </c>
      <c r="H2313" t="n">
        <v>0</v>
      </c>
      <c r="I2313" t="n">
        <v>0</v>
      </c>
      <c r="J2313" t="n">
        <v>0</v>
      </c>
      <c r="K2313" t="n">
        <v>0</v>
      </c>
      <c r="L2313" t="n">
        <v>0</v>
      </c>
      <c r="M2313" t="n">
        <v>0</v>
      </c>
      <c r="N2313" t="n">
        <v>0</v>
      </c>
      <c r="O2313" t="n">
        <v>0</v>
      </c>
      <c r="P2313" t="n">
        <v>0</v>
      </c>
      <c r="Q2313" t="n">
        <v>0</v>
      </c>
      <c r="R2313" s="2" t="inlineStr"/>
    </row>
    <row r="2314" ht="15" customHeight="1">
      <c r="A2314" t="inlineStr">
        <is>
          <t>A 23225-2020</t>
        </is>
      </c>
      <c r="B2314" s="1" t="n">
        <v>43756</v>
      </c>
      <c r="C2314" s="1" t="n">
        <v>45182</v>
      </c>
      <c r="D2314" t="inlineStr">
        <is>
          <t>JÄMTLANDS LÄN</t>
        </is>
      </c>
      <c r="E2314" t="inlineStr">
        <is>
          <t>STRÖMSUND</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57281-2019</t>
        </is>
      </c>
      <c r="B2315" s="1" t="n">
        <v>43759</v>
      </c>
      <c r="C2315" s="1" t="n">
        <v>45182</v>
      </c>
      <c r="D2315" t="inlineStr">
        <is>
          <t>JÄMTLANDS LÄN</t>
        </is>
      </c>
      <c r="E2315" t="inlineStr">
        <is>
          <t>HÄRJEDALEN</t>
        </is>
      </c>
      <c r="F2315" t="inlineStr">
        <is>
          <t>Bergvik skog väst AB</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56672-2019</t>
        </is>
      </c>
      <c r="B2316" s="1" t="n">
        <v>43759</v>
      </c>
      <c r="C2316" s="1" t="n">
        <v>45182</v>
      </c>
      <c r="D2316" t="inlineStr">
        <is>
          <t>JÄMTLANDS LÄN</t>
        </is>
      </c>
      <c r="E2316" t="inlineStr">
        <is>
          <t>KROKOM</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55554-2019</t>
        </is>
      </c>
      <c r="B2317" s="1" t="n">
        <v>43759</v>
      </c>
      <c r="C2317" s="1" t="n">
        <v>45182</v>
      </c>
      <c r="D2317" t="inlineStr">
        <is>
          <t>JÄMTLANDS LÄN</t>
        </is>
      </c>
      <c r="E2317" t="inlineStr">
        <is>
          <t>HÄRJEDALEN</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55801-2019</t>
        </is>
      </c>
      <c r="B2318" s="1" t="n">
        <v>43759</v>
      </c>
      <c r="C2318" s="1" t="n">
        <v>45182</v>
      </c>
      <c r="D2318" t="inlineStr">
        <is>
          <t>JÄMTLANDS LÄN</t>
        </is>
      </c>
      <c r="E2318" t="inlineStr">
        <is>
          <t>HÄRJEDALEN</t>
        </is>
      </c>
      <c r="F2318" t="inlineStr">
        <is>
          <t>Bergvik skog väst AB</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55804-2019</t>
        </is>
      </c>
      <c r="B2319" s="1" t="n">
        <v>43759</v>
      </c>
      <c r="C2319" s="1" t="n">
        <v>45182</v>
      </c>
      <c r="D2319" t="inlineStr">
        <is>
          <t>JÄMTLANDS LÄN</t>
        </is>
      </c>
      <c r="E2319" t="inlineStr">
        <is>
          <t>KROKOM</t>
        </is>
      </c>
      <c r="G2319" t="n">
        <v>1.9</v>
      </c>
      <c r="H2319" t="n">
        <v>0</v>
      </c>
      <c r="I2319" t="n">
        <v>0</v>
      </c>
      <c r="J2319" t="n">
        <v>0</v>
      </c>
      <c r="K2319" t="n">
        <v>0</v>
      </c>
      <c r="L2319" t="n">
        <v>0</v>
      </c>
      <c r="M2319" t="n">
        <v>0</v>
      </c>
      <c r="N2319" t="n">
        <v>0</v>
      </c>
      <c r="O2319" t="n">
        <v>0</v>
      </c>
      <c r="P2319" t="n">
        <v>0</v>
      </c>
      <c r="Q2319" t="n">
        <v>0</v>
      </c>
      <c r="R2319" s="2" t="inlineStr"/>
    </row>
    <row r="2320" ht="15" customHeight="1">
      <c r="A2320" t="inlineStr">
        <is>
          <t>A 55875-2019</t>
        </is>
      </c>
      <c r="B2320" s="1" t="n">
        <v>43759</v>
      </c>
      <c r="C2320" s="1" t="n">
        <v>45182</v>
      </c>
      <c r="D2320" t="inlineStr">
        <is>
          <t>JÄMTLANDS LÄN</t>
        </is>
      </c>
      <c r="E2320" t="inlineStr">
        <is>
          <t>RAGUNDA</t>
        </is>
      </c>
      <c r="G2320" t="n">
        <v>2.8</v>
      </c>
      <c r="H2320" t="n">
        <v>0</v>
      </c>
      <c r="I2320" t="n">
        <v>0</v>
      </c>
      <c r="J2320" t="n">
        <v>0</v>
      </c>
      <c r="K2320" t="n">
        <v>0</v>
      </c>
      <c r="L2320" t="n">
        <v>0</v>
      </c>
      <c r="M2320" t="n">
        <v>0</v>
      </c>
      <c r="N2320" t="n">
        <v>0</v>
      </c>
      <c r="O2320" t="n">
        <v>0</v>
      </c>
      <c r="P2320" t="n">
        <v>0</v>
      </c>
      <c r="Q2320" t="n">
        <v>0</v>
      </c>
      <c r="R2320" s="2" t="inlineStr"/>
    </row>
    <row r="2321" ht="15" customHeight="1">
      <c r="A2321" t="inlineStr">
        <is>
          <t>A 56063-2019</t>
        </is>
      </c>
      <c r="B2321" s="1" t="n">
        <v>43759</v>
      </c>
      <c r="C2321" s="1" t="n">
        <v>45182</v>
      </c>
      <c r="D2321" t="inlineStr">
        <is>
          <t>JÄMTLANDS LÄN</t>
        </is>
      </c>
      <c r="E2321" t="inlineStr">
        <is>
          <t>BRÄCKE</t>
        </is>
      </c>
      <c r="F2321" t="inlineStr">
        <is>
          <t>SCA</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55678-2019</t>
        </is>
      </c>
      <c r="B2322" s="1" t="n">
        <v>43760</v>
      </c>
      <c r="C2322" s="1" t="n">
        <v>45182</v>
      </c>
      <c r="D2322" t="inlineStr">
        <is>
          <t>JÄMTLANDS LÄN</t>
        </is>
      </c>
      <c r="E2322" t="inlineStr">
        <is>
          <t>BERG</t>
        </is>
      </c>
      <c r="F2322" t="inlineStr">
        <is>
          <t>SCA</t>
        </is>
      </c>
      <c r="G2322" t="n">
        <v>2.1</v>
      </c>
      <c r="H2322" t="n">
        <v>0</v>
      </c>
      <c r="I2322" t="n">
        <v>0</v>
      </c>
      <c r="J2322" t="n">
        <v>0</v>
      </c>
      <c r="K2322" t="n">
        <v>0</v>
      </c>
      <c r="L2322" t="n">
        <v>0</v>
      </c>
      <c r="M2322" t="n">
        <v>0</v>
      </c>
      <c r="N2322" t="n">
        <v>0</v>
      </c>
      <c r="O2322" t="n">
        <v>0</v>
      </c>
      <c r="P2322" t="n">
        <v>0</v>
      </c>
      <c r="Q2322" t="n">
        <v>0</v>
      </c>
      <c r="R2322" s="2" t="inlineStr"/>
    </row>
    <row r="2323" ht="15" customHeight="1">
      <c r="A2323" t="inlineStr">
        <is>
          <t>A 55725-2019</t>
        </is>
      </c>
      <c r="B2323" s="1" t="n">
        <v>43760</v>
      </c>
      <c r="C2323" s="1" t="n">
        <v>45182</v>
      </c>
      <c r="D2323" t="inlineStr">
        <is>
          <t>JÄMTLANDS LÄN</t>
        </is>
      </c>
      <c r="E2323" t="inlineStr">
        <is>
          <t>STRÖMSUND</t>
        </is>
      </c>
      <c r="F2323" t="inlineStr">
        <is>
          <t>SCA</t>
        </is>
      </c>
      <c r="G2323" t="n">
        <v>2.9</v>
      </c>
      <c r="H2323" t="n">
        <v>0</v>
      </c>
      <c r="I2323" t="n">
        <v>0</v>
      </c>
      <c r="J2323" t="n">
        <v>0</v>
      </c>
      <c r="K2323" t="n">
        <v>0</v>
      </c>
      <c r="L2323" t="n">
        <v>0</v>
      </c>
      <c r="M2323" t="n">
        <v>0</v>
      </c>
      <c r="N2323" t="n">
        <v>0</v>
      </c>
      <c r="O2323" t="n">
        <v>0</v>
      </c>
      <c r="P2323" t="n">
        <v>0</v>
      </c>
      <c r="Q2323" t="n">
        <v>0</v>
      </c>
      <c r="R2323" s="2" t="inlineStr"/>
    </row>
    <row r="2324" ht="15" customHeight="1">
      <c r="A2324" t="inlineStr">
        <is>
          <t>A 55611-2019</t>
        </is>
      </c>
      <c r="B2324" s="1" t="n">
        <v>43760</v>
      </c>
      <c r="C2324" s="1" t="n">
        <v>45182</v>
      </c>
      <c r="D2324" t="inlineStr">
        <is>
          <t>JÄMTLANDS LÄN</t>
        </is>
      </c>
      <c r="E2324" t="inlineStr">
        <is>
          <t>BERG</t>
        </is>
      </c>
      <c r="G2324" t="n">
        <v>10</v>
      </c>
      <c r="H2324" t="n">
        <v>0</v>
      </c>
      <c r="I2324" t="n">
        <v>0</v>
      </c>
      <c r="J2324" t="n">
        <v>0</v>
      </c>
      <c r="K2324" t="n">
        <v>0</v>
      </c>
      <c r="L2324" t="n">
        <v>0</v>
      </c>
      <c r="M2324" t="n">
        <v>0</v>
      </c>
      <c r="N2324" t="n">
        <v>0</v>
      </c>
      <c r="O2324" t="n">
        <v>0</v>
      </c>
      <c r="P2324" t="n">
        <v>0</v>
      </c>
      <c r="Q2324" t="n">
        <v>0</v>
      </c>
      <c r="R2324" s="2" t="inlineStr"/>
    </row>
    <row r="2325" ht="15" customHeight="1">
      <c r="A2325" t="inlineStr">
        <is>
          <t>A 55653-2019</t>
        </is>
      </c>
      <c r="B2325" s="1" t="n">
        <v>43760</v>
      </c>
      <c r="C2325" s="1" t="n">
        <v>45182</v>
      </c>
      <c r="D2325" t="inlineStr">
        <is>
          <t>JÄMTLANDS LÄN</t>
        </is>
      </c>
      <c r="E2325" t="inlineStr">
        <is>
          <t>RAGUNDA</t>
        </is>
      </c>
      <c r="G2325" t="n">
        <v>4.2</v>
      </c>
      <c r="H2325" t="n">
        <v>0</v>
      </c>
      <c r="I2325" t="n">
        <v>0</v>
      </c>
      <c r="J2325" t="n">
        <v>0</v>
      </c>
      <c r="K2325" t="n">
        <v>0</v>
      </c>
      <c r="L2325" t="n">
        <v>0</v>
      </c>
      <c r="M2325" t="n">
        <v>0</v>
      </c>
      <c r="N2325" t="n">
        <v>0</v>
      </c>
      <c r="O2325" t="n">
        <v>0</v>
      </c>
      <c r="P2325" t="n">
        <v>0</v>
      </c>
      <c r="Q2325" t="n">
        <v>0</v>
      </c>
      <c r="R2325" s="2" t="inlineStr"/>
    </row>
    <row r="2326" ht="15" customHeight="1">
      <c r="A2326" t="inlineStr">
        <is>
          <t>A 55675-2019</t>
        </is>
      </c>
      <c r="B2326" s="1" t="n">
        <v>43760</v>
      </c>
      <c r="C2326" s="1" t="n">
        <v>45182</v>
      </c>
      <c r="D2326" t="inlineStr">
        <is>
          <t>JÄMTLANDS LÄN</t>
        </is>
      </c>
      <c r="E2326" t="inlineStr">
        <is>
          <t>STRÖMSUND</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55663-2019</t>
        </is>
      </c>
      <c r="B2327" s="1" t="n">
        <v>43760</v>
      </c>
      <c r="C2327" s="1" t="n">
        <v>45182</v>
      </c>
      <c r="D2327" t="inlineStr">
        <is>
          <t>JÄMTLANDS LÄN</t>
        </is>
      </c>
      <c r="E2327" t="inlineStr">
        <is>
          <t>STRÖMSUND</t>
        </is>
      </c>
      <c r="F2327" t="inlineStr">
        <is>
          <t>Holmen skog AB</t>
        </is>
      </c>
      <c r="G2327" t="n">
        <v>2.6</v>
      </c>
      <c r="H2327" t="n">
        <v>0</v>
      </c>
      <c r="I2327" t="n">
        <v>0</v>
      </c>
      <c r="J2327" t="n">
        <v>0</v>
      </c>
      <c r="K2327" t="n">
        <v>0</v>
      </c>
      <c r="L2327" t="n">
        <v>0</v>
      </c>
      <c r="M2327" t="n">
        <v>0</v>
      </c>
      <c r="N2327" t="n">
        <v>0</v>
      </c>
      <c r="O2327" t="n">
        <v>0</v>
      </c>
      <c r="P2327" t="n">
        <v>0</v>
      </c>
      <c r="Q2327" t="n">
        <v>0</v>
      </c>
      <c r="R2327" s="2" t="inlineStr"/>
    </row>
    <row r="2328" ht="15" customHeight="1">
      <c r="A2328" t="inlineStr">
        <is>
          <t>A 55728-2019</t>
        </is>
      </c>
      <c r="B2328" s="1" t="n">
        <v>43760</v>
      </c>
      <c r="C2328" s="1" t="n">
        <v>45182</v>
      </c>
      <c r="D2328" t="inlineStr">
        <is>
          <t>JÄMTLANDS LÄN</t>
        </is>
      </c>
      <c r="E2328" t="inlineStr">
        <is>
          <t>STRÖMSUND</t>
        </is>
      </c>
      <c r="G2328" t="n">
        <v>0.6</v>
      </c>
      <c r="H2328" t="n">
        <v>0</v>
      </c>
      <c r="I2328" t="n">
        <v>0</v>
      </c>
      <c r="J2328" t="n">
        <v>0</v>
      </c>
      <c r="K2328" t="n">
        <v>0</v>
      </c>
      <c r="L2328" t="n">
        <v>0</v>
      </c>
      <c r="M2328" t="n">
        <v>0</v>
      </c>
      <c r="N2328" t="n">
        <v>0</v>
      </c>
      <c r="O2328" t="n">
        <v>0</v>
      </c>
      <c r="P2328" t="n">
        <v>0</v>
      </c>
      <c r="Q2328" t="n">
        <v>0</v>
      </c>
      <c r="R2328" s="2" t="inlineStr"/>
    </row>
    <row r="2329" ht="15" customHeight="1">
      <c r="A2329" t="inlineStr">
        <is>
          <t>A 57466-2019</t>
        </is>
      </c>
      <c r="B2329" s="1" t="n">
        <v>43761</v>
      </c>
      <c r="C2329" s="1" t="n">
        <v>45182</v>
      </c>
      <c r="D2329" t="inlineStr">
        <is>
          <t>JÄMTLANDS LÄN</t>
        </is>
      </c>
      <c r="E2329" t="inlineStr">
        <is>
          <t>ÖSTERSUND</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56187-2019</t>
        </is>
      </c>
      <c r="B2330" s="1" t="n">
        <v>43761</v>
      </c>
      <c r="C2330" s="1" t="n">
        <v>45182</v>
      </c>
      <c r="D2330" t="inlineStr">
        <is>
          <t>JÄMTLANDS LÄN</t>
        </is>
      </c>
      <c r="E2330" t="inlineStr">
        <is>
          <t>STRÖMSUND</t>
        </is>
      </c>
      <c r="F2330" t="inlineStr">
        <is>
          <t>SCA</t>
        </is>
      </c>
      <c r="G2330" t="n">
        <v>11.3</v>
      </c>
      <c r="H2330" t="n">
        <v>0</v>
      </c>
      <c r="I2330" t="n">
        <v>0</v>
      </c>
      <c r="J2330" t="n">
        <v>0</v>
      </c>
      <c r="K2330" t="n">
        <v>0</v>
      </c>
      <c r="L2330" t="n">
        <v>0</v>
      </c>
      <c r="M2330" t="n">
        <v>0</v>
      </c>
      <c r="N2330" t="n">
        <v>0</v>
      </c>
      <c r="O2330" t="n">
        <v>0</v>
      </c>
      <c r="P2330" t="n">
        <v>0</v>
      </c>
      <c r="Q2330" t="n">
        <v>0</v>
      </c>
      <c r="R2330" s="2" t="inlineStr"/>
    </row>
    <row r="2331" ht="15" customHeight="1">
      <c r="A2331" t="inlineStr">
        <is>
          <t>A 56217-2019</t>
        </is>
      </c>
      <c r="B2331" s="1" t="n">
        <v>43762</v>
      </c>
      <c r="C2331" s="1" t="n">
        <v>45182</v>
      </c>
      <c r="D2331" t="inlineStr">
        <is>
          <t>JÄMTLANDS LÄN</t>
        </is>
      </c>
      <c r="E2331" t="inlineStr">
        <is>
          <t>HÄRJEDALEN</t>
        </is>
      </c>
      <c r="G2331" t="n">
        <v>43.2</v>
      </c>
      <c r="H2331" t="n">
        <v>0</v>
      </c>
      <c r="I2331" t="n">
        <v>0</v>
      </c>
      <c r="J2331" t="n">
        <v>0</v>
      </c>
      <c r="K2331" t="n">
        <v>0</v>
      </c>
      <c r="L2331" t="n">
        <v>0</v>
      </c>
      <c r="M2331" t="n">
        <v>0</v>
      </c>
      <c r="N2331" t="n">
        <v>0</v>
      </c>
      <c r="O2331" t="n">
        <v>0</v>
      </c>
      <c r="P2331" t="n">
        <v>0</v>
      </c>
      <c r="Q2331" t="n">
        <v>0</v>
      </c>
      <c r="R2331" s="2" t="inlineStr"/>
    </row>
    <row r="2332" ht="15" customHeight="1">
      <c r="A2332" t="inlineStr">
        <is>
          <t>A 56321-2019</t>
        </is>
      </c>
      <c r="B2332" s="1" t="n">
        <v>43762</v>
      </c>
      <c r="C2332" s="1" t="n">
        <v>45182</v>
      </c>
      <c r="D2332" t="inlineStr">
        <is>
          <t>JÄMTLANDS LÄN</t>
        </is>
      </c>
      <c r="E2332" t="inlineStr">
        <is>
          <t>KROKOM</t>
        </is>
      </c>
      <c r="G2332" t="n">
        <v>1.7</v>
      </c>
      <c r="H2332" t="n">
        <v>0</v>
      </c>
      <c r="I2332" t="n">
        <v>0</v>
      </c>
      <c r="J2332" t="n">
        <v>0</v>
      </c>
      <c r="K2332" t="n">
        <v>0</v>
      </c>
      <c r="L2332" t="n">
        <v>0</v>
      </c>
      <c r="M2332" t="n">
        <v>0</v>
      </c>
      <c r="N2332" t="n">
        <v>0</v>
      </c>
      <c r="O2332" t="n">
        <v>0</v>
      </c>
      <c r="P2332" t="n">
        <v>0</v>
      </c>
      <c r="Q2332" t="n">
        <v>0</v>
      </c>
      <c r="R2332" s="2" t="inlineStr"/>
    </row>
    <row r="2333" ht="15" customHeight="1">
      <c r="A2333" t="inlineStr">
        <is>
          <t>A 56332-2019</t>
        </is>
      </c>
      <c r="B2333" s="1" t="n">
        <v>43762</v>
      </c>
      <c r="C2333" s="1" t="n">
        <v>45182</v>
      </c>
      <c r="D2333" t="inlineStr">
        <is>
          <t>JÄMTLANDS LÄN</t>
        </is>
      </c>
      <c r="E2333" t="inlineStr">
        <is>
          <t>KROKOM</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56389-2019</t>
        </is>
      </c>
      <c r="B2334" s="1" t="n">
        <v>43762</v>
      </c>
      <c r="C2334" s="1" t="n">
        <v>45182</v>
      </c>
      <c r="D2334" t="inlineStr">
        <is>
          <t>JÄMTLANDS LÄN</t>
        </is>
      </c>
      <c r="E2334" t="inlineStr">
        <is>
          <t>KROKOM</t>
        </is>
      </c>
      <c r="G2334" t="n">
        <v>2.4</v>
      </c>
      <c r="H2334" t="n">
        <v>0</v>
      </c>
      <c r="I2334" t="n">
        <v>0</v>
      </c>
      <c r="J2334" t="n">
        <v>0</v>
      </c>
      <c r="K2334" t="n">
        <v>0</v>
      </c>
      <c r="L2334" t="n">
        <v>0</v>
      </c>
      <c r="M2334" t="n">
        <v>0</v>
      </c>
      <c r="N2334" t="n">
        <v>0</v>
      </c>
      <c r="O2334" t="n">
        <v>0</v>
      </c>
      <c r="P2334" t="n">
        <v>0</v>
      </c>
      <c r="Q2334" t="n">
        <v>0</v>
      </c>
      <c r="R2334" s="2" t="inlineStr"/>
    </row>
    <row r="2335" ht="15" customHeight="1">
      <c r="A2335" t="inlineStr">
        <is>
          <t>A 56403-2019</t>
        </is>
      </c>
      <c r="B2335" s="1" t="n">
        <v>43762</v>
      </c>
      <c r="C2335" s="1" t="n">
        <v>45182</v>
      </c>
      <c r="D2335" t="inlineStr">
        <is>
          <t>JÄMTLANDS LÄN</t>
        </is>
      </c>
      <c r="E2335" t="inlineStr">
        <is>
          <t>KROKOM</t>
        </is>
      </c>
      <c r="G2335" t="n">
        <v>2.5</v>
      </c>
      <c r="H2335" t="n">
        <v>0</v>
      </c>
      <c r="I2335" t="n">
        <v>0</v>
      </c>
      <c r="J2335" t="n">
        <v>0</v>
      </c>
      <c r="K2335" t="n">
        <v>0</v>
      </c>
      <c r="L2335" t="n">
        <v>0</v>
      </c>
      <c r="M2335" t="n">
        <v>0</v>
      </c>
      <c r="N2335" t="n">
        <v>0</v>
      </c>
      <c r="O2335" t="n">
        <v>0</v>
      </c>
      <c r="P2335" t="n">
        <v>0</v>
      </c>
      <c r="Q2335" t="n">
        <v>0</v>
      </c>
      <c r="R2335" s="2" t="inlineStr"/>
    </row>
    <row r="2336" ht="15" customHeight="1">
      <c r="A2336" t="inlineStr">
        <is>
          <t>A 56510-2019</t>
        </is>
      </c>
      <c r="B2336" s="1" t="n">
        <v>43762</v>
      </c>
      <c r="C2336" s="1" t="n">
        <v>45182</v>
      </c>
      <c r="D2336" t="inlineStr">
        <is>
          <t>JÄMTLANDS LÄN</t>
        </is>
      </c>
      <c r="E2336" t="inlineStr">
        <is>
          <t>KROKOM</t>
        </is>
      </c>
      <c r="G2336" t="n">
        <v>3.2</v>
      </c>
      <c r="H2336" t="n">
        <v>0</v>
      </c>
      <c r="I2336" t="n">
        <v>0</v>
      </c>
      <c r="J2336" t="n">
        <v>0</v>
      </c>
      <c r="K2336" t="n">
        <v>0</v>
      </c>
      <c r="L2336" t="n">
        <v>0</v>
      </c>
      <c r="M2336" t="n">
        <v>0</v>
      </c>
      <c r="N2336" t="n">
        <v>0</v>
      </c>
      <c r="O2336" t="n">
        <v>0</v>
      </c>
      <c r="P2336" t="n">
        <v>0</v>
      </c>
      <c r="Q2336" t="n">
        <v>0</v>
      </c>
      <c r="R2336" s="2" t="inlineStr"/>
    </row>
    <row r="2337" ht="15" customHeight="1">
      <c r="A2337" t="inlineStr">
        <is>
          <t>A 57796-2019</t>
        </is>
      </c>
      <c r="B2337" s="1" t="n">
        <v>43762</v>
      </c>
      <c r="C2337" s="1" t="n">
        <v>45182</v>
      </c>
      <c r="D2337" t="inlineStr">
        <is>
          <t>JÄMTLANDS LÄN</t>
        </is>
      </c>
      <c r="E2337" t="inlineStr">
        <is>
          <t>KROKOM</t>
        </is>
      </c>
      <c r="G2337" t="n">
        <v>3.1</v>
      </c>
      <c r="H2337" t="n">
        <v>0</v>
      </c>
      <c r="I2337" t="n">
        <v>0</v>
      </c>
      <c r="J2337" t="n">
        <v>0</v>
      </c>
      <c r="K2337" t="n">
        <v>0</v>
      </c>
      <c r="L2337" t="n">
        <v>0</v>
      </c>
      <c r="M2337" t="n">
        <v>0</v>
      </c>
      <c r="N2337" t="n">
        <v>0</v>
      </c>
      <c r="O2337" t="n">
        <v>0</v>
      </c>
      <c r="P2337" t="n">
        <v>0</v>
      </c>
      <c r="Q2337" t="n">
        <v>0</v>
      </c>
      <c r="R2337" s="2" t="inlineStr"/>
    </row>
    <row r="2338" ht="15" customHeight="1">
      <c r="A2338" t="inlineStr">
        <is>
          <t>A 56397-2019</t>
        </is>
      </c>
      <c r="B2338" s="1" t="n">
        <v>43762</v>
      </c>
      <c r="C2338" s="1" t="n">
        <v>45182</v>
      </c>
      <c r="D2338" t="inlineStr">
        <is>
          <t>JÄMTLANDS LÄN</t>
        </is>
      </c>
      <c r="E2338" t="inlineStr">
        <is>
          <t>KROKOM</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56512-2019</t>
        </is>
      </c>
      <c r="B2339" s="1" t="n">
        <v>43762</v>
      </c>
      <c r="C2339" s="1" t="n">
        <v>45182</v>
      </c>
      <c r="D2339" t="inlineStr">
        <is>
          <t>JÄMTLANDS LÄN</t>
        </is>
      </c>
      <c r="E2339" t="inlineStr">
        <is>
          <t>ÖSTERSUND</t>
        </is>
      </c>
      <c r="F2339" t="inlineStr">
        <is>
          <t>SCA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56511-2019</t>
        </is>
      </c>
      <c r="B2340" s="1" t="n">
        <v>43762</v>
      </c>
      <c r="C2340" s="1" t="n">
        <v>45182</v>
      </c>
      <c r="D2340" t="inlineStr">
        <is>
          <t>JÄMTLANDS LÄN</t>
        </is>
      </c>
      <c r="E2340" t="inlineStr">
        <is>
          <t>BRÄCKE</t>
        </is>
      </c>
      <c r="F2340" t="inlineStr">
        <is>
          <t>SCA</t>
        </is>
      </c>
      <c r="G2340" t="n">
        <v>2.7</v>
      </c>
      <c r="H2340" t="n">
        <v>0</v>
      </c>
      <c r="I2340" t="n">
        <v>0</v>
      </c>
      <c r="J2340" t="n">
        <v>0</v>
      </c>
      <c r="K2340" t="n">
        <v>0</v>
      </c>
      <c r="L2340" t="n">
        <v>0</v>
      </c>
      <c r="M2340" t="n">
        <v>0</v>
      </c>
      <c r="N2340" t="n">
        <v>0</v>
      </c>
      <c r="O2340" t="n">
        <v>0</v>
      </c>
      <c r="P2340" t="n">
        <v>0</v>
      </c>
      <c r="Q2340" t="n">
        <v>0</v>
      </c>
      <c r="R2340" s="2" t="inlineStr"/>
    </row>
    <row r="2341" ht="15" customHeight="1">
      <c r="A2341" t="inlineStr">
        <is>
          <t>A 56799-2019</t>
        </is>
      </c>
      <c r="B2341" s="1" t="n">
        <v>43763</v>
      </c>
      <c r="C2341" s="1" t="n">
        <v>45182</v>
      </c>
      <c r="D2341" t="inlineStr">
        <is>
          <t>JÄMTLANDS LÄN</t>
        </is>
      </c>
      <c r="E2341" t="inlineStr">
        <is>
          <t>STRÖMSUND</t>
        </is>
      </c>
      <c r="F2341" t="inlineStr">
        <is>
          <t>SCA</t>
        </is>
      </c>
      <c r="G2341" t="n">
        <v>4.7</v>
      </c>
      <c r="H2341" t="n">
        <v>0</v>
      </c>
      <c r="I2341" t="n">
        <v>0</v>
      </c>
      <c r="J2341" t="n">
        <v>0</v>
      </c>
      <c r="K2341" t="n">
        <v>0</v>
      </c>
      <c r="L2341" t="n">
        <v>0</v>
      </c>
      <c r="M2341" t="n">
        <v>0</v>
      </c>
      <c r="N2341" t="n">
        <v>0</v>
      </c>
      <c r="O2341" t="n">
        <v>0</v>
      </c>
      <c r="P2341" t="n">
        <v>0</v>
      </c>
      <c r="Q2341" t="n">
        <v>0</v>
      </c>
      <c r="R2341" s="2" t="inlineStr"/>
    </row>
    <row r="2342" ht="15" customHeight="1">
      <c r="A2342" t="inlineStr">
        <is>
          <t>A 56798-2019</t>
        </is>
      </c>
      <c r="B2342" s="1" t="n">
        <v>43763</v>
      </c>
      <c r="C2342" s="1" t="n">
        <v>45182</v>
      </c>
      <c r="D2342" t="inlineStr">
        <is>
          <t>JÄMTLANDS LÄN</t>
        </is>
      </c>
      <c r="E2342" t="inlineStr">
        <is>
          <t>STRÖMSUND</t>
        </is>
      </c>
      <c r="F2342" t="inlineStr">
        <is>
          <t>SCA</t>
        </is>
      </c>
      <c r="G2342" t="n">
        <v>5.1</v>
      </c>
      <c r="H2342" t="n">
        <v>0</v>
      </c>
      <c r="I2342" t="n">
        <v>0</v>
      </c>
      <c r="J2342" t="n">
        <v>0</v>
      </c>
      <c r="K2342" t="n">
        <v>0</v>
      </c>
      <c r="L2342" t="n">
        <v>0</v>
      </c>
      <c r="M2342" t="n">
        <v>0</v>
      </c>
      <c r="N2342" t="n">
        <v>0</v>
      </c>
      <c r="O2342" t="n">
        <v>0</v>
      </c>
      <c r="P2342" t="n">
        <v>0</v>
      </c>
      <c r="Q2342" t="n">
        <v>0</v>
      </c>
      <c r="R2342" s="2" t="inlineStr"/>
    </row>
    <row r="2343" ht="15" customHeight="1">
      <c r="A2343" t="inlineStr">
        <is>
          <t>A 56809-2019</t>
        </is>
      </c>
      <c r="B2343" s="1" t="n">
        <v>43763</v>
      </c>
      <c r="C2343" s="1" t="n">
        <v>45182</v>
      </c>
      <c r="D2343" t="inlineStr">
        <is>
          <t>JÄMTLANDS LÄN</t>
        </is>
      </c>
      <c r="E2343" t="inlineStr">
        <is>
          <t>STRÖMSUND</t>
        </is>
      </c>
      <c r="F2343" t="inlineStr">
        <is>
          <t>SCA</t>
        </is>
      </c>
      <c r="G2343" t="n">
        <v>0.9</v>
      </c>
      <c r="H2343" t="n">
        <v>0</v>
      </c>
      <c r="I2343" t="n">
        <v>0</v>
      </c>
      <c r="J2343" t="n">
        <v>0</v>
      </c>
      <c r="K2343" t="n">
        <v>0</v>
      </c>
      <c r="L2343" t="n">
        <v>0</v>
      </c>
      <c r="M2343" t="n">
        <v>0</v>
      </c>
      <c r="N2343" t="n">
        <v>0</v>
      </c>
      <c r="O2343" t="n">
        <v>0</v>
      </c>
      <c r="P2343" t="n">
        <v>0</v>
      </c>
      <c r="Q2343" t="n">
        <v>0</v>
      </c>
      <c r="R2343" s="2" t="inlineStr"/>
    </row>
    <row r="2344" ht="15" customHeight="1">
      <c r="A2344" t="inlineStr">
        <is>
          <t>A 56763-2019</t>
        </is>
      </c>
      <c r="B2344" s="1" t="n">
        <v>43763</v>
      </c>
      <c r="C2344" s="1" t="n">
        <v>45182</v>
      </c>
      <c r="D2344" t="inlineStr">
        <is>
          <t>JÄMTLANDS LÄN</t>
        </is>
      </c>
      <c r="E2344" t="inlineStr">
        <is>
          <t>KROKOM</t>
        </is>
      </c>
      <c r="F2344" t="inlineStr">
        <is>
          <t>Övriga Aktiebolag</t>
        </is>
      </c>
      <c r="G2344" t="n">
        <v>29.4</v>
      </c>
      <c r="H2344" t="n">
        <v>0</v>
      </c>
      <c r="I2344" t="n">
        <v>0</v>
      </c>
      <c r="J2344" t="n">
        <v>0</v>
      </c>
      <c r="K2344" t="n">
        <v>0</v>
      </c>
      <c r="L2344" t="n">
        <v>0</v>
      </c>
      <c r="M2344" t="n">
        <v>0</v>
      </c>
      <c r="N2344" t="n">
        <v>0</v>
      </c>
      <c r="O2344" t="n">
        <v>0</v>
      </c>
      <c r="P2344" t="n">
        <v>0</v>
      </c>
      <c r="Q2344" t="n">
        <v>0</v>
      </c>
      <c r="R2344" s="2" t="inlineStr"/>
    </row>
    <row r="2345" ht="15" customHeight="1">
      <c r="A2345" t="inlineStr">
        <is>
          <t>A 56800-2019</t>
        </is>
      </c>
      <c r="B2345" s="1" t="n">
        <v>43763</v>
      </c>
      <c r="C2345" s="1" t="n">
        <v>45182</v>
      </c>
      <c r="D2345" t="inlineStr">
        <is>
          <t>JÄMTLANDS LÄN</t>
        </is>
      </c>
      <c r="E2345" t="inlineStr">
        <is>
          <t>STRÖMSUND</t>
        </is>
      </c>
      <c r="F2345" t="inlineStr">
        <is>
          <t>SCA</t>
        </is>
      </c>
      <c r="G2345" t="n">
        <v>0.8</v>
      </c>
      <c r="H2345" t="n">
        <v>0</v>
      </c>
      <c r="I2345" t="n">
        <v>0</v>
      </c>
      <c r="J2345" t="n">
        <v>0</v>
      </c>
      <c r="K2345" t="n">
        <v>0</v>
      </c>
      <c r="L2345" t="n">
        <v>0</v>
      </c>
      <c r="M2345" t="n">
        <v>0</v>
      </c>
      <c r="N2345" t="n">
        <v>0</v>
      </c>
      <c r="O2345" t="n">
        <v>0</v>
      </c>
      <c r="P2345" t="n">
        <v>0</v>
      </c>
      <c r="Q2345" t="n">
        <v>0</v>
      </c>
      <c r="R2345" s="2" t="inlineStr"/>
    </row>
    <row r="2346" ht="15" customHeight="1">
      <c r="A2346" t="inlineStr">
        <is>
          <t>A 56797-2019</t>
        </is>
      </c>
      <c r="B2346" s="1" t="n">
        <v>43763</v>
      </c>
      <c r="C2346" s="1" t="n">
        <v>45182</v>
      </c>
      <c r="D2346" t="inlineStr">
        <is>
          <t>JÄMTLANDS LÄN</t>
        </is>
      </c>
      <c r="E2346" t="inlineStr">
        <is>
          <t>STRÖMSUND</t>
        </is>
      </c>
      <c r="F2346" t="inlineStr">
        <is>
          <t>SCA</t>
        </is>
      </c>
      <c r="G2346" t="n">
        <v>3.3</v>
      </c>
      <c r="H2346" t="n">
        <v>0</v>
      </c>
      <c r="I2346" t="n">
        <v>0</v>
      </c>
      <c r="J2346" t="n">
        <v>0</v>
      </c>
      <c r="K2346" t="n">
        <v>0</v>
      </c>
      <c r="L2346" t="n">
        <v>0</v>
      </c>
      <c r="M2346" t="n">
        <v>0</v>
      </c>
      <c r="N2346" t="n">
        <v>0</v>
      </c>
      <c r="O2346" t="n">
        <v>0</v>
      </c>
      <c r="P2346" t="n">
        <v>0</v>
      </c>
      <c r="Q2346" t="n">
        <v>0</v>
      </c>
      <c r="R2346" s="2" t="inlineStr"/>
    </row>
    <row r="2347" ht="15" customHeight="1">
      <c r="A2347" t="inlineStr">
        <is>
          <t>A 56801-2019</t>
        </is>
      </c>
      <c r="B2347" s="1" t="n">
        <v>43763</v>
      </c>
      <c r="C2347" s="1" t="n">
        <v>45182</v>
      </c>
      <c r="D2347" t="inlineStr">
        <is>
          <t>JÄMTLANDS LÄN</t>
        </is>
      </c>
      <c r="E2347" t="inlineStr">
        <is>
          <t>STRÖMSUND</t>
        </is>
      </c>
      <c r="F2347" t="inlineStr">
        <is>
          <t>SCA</t>
        </is>
      </c>
      <c r="G2347" t="n">
        <v>2.7</v>
      </c>
      <c r="H2347" t="n">
        <v>0</v>
      </c>
      <c r="I2347" t="n">
        <v>0</v>
      </c>
      <c r="J2347" t="n">
        <v>0</v>
      </c>
      <c r="K2347" t="n">
        <v>0</v>
      </c>
      <c r="L2347" t="n">
        <v>0</v>
      </c>
      <c r="M2347" t="n">
        <v>0</v>
      </c>
      <c r="N2347" t="n">
        <v>0</v>
      </c>
      <c r="O2347" t="n">
        <v>0</v>
      </c>
      <c r="P2347" t="n">
        <v>0</v>
      </c>
      <c r="Q2347" t="n">
        <v>0</v>
      </c>
      <c r="R2347" s="2" t="inlineStr"/>
    </row>
    <row r="2348" ht="15" customHeight="1">
      <c r="A2348" t="inlineStr">
        <is>
          <t>A 56808-2019</t>
        </is>
      </c>
      <c r="B2348" s="1" t="n">
        <v>43763</v>
      </c>
      <c r="C2348" s="1" t="n">
        <v>45182</v>
      </c>
      <c r="D2348" t="inlineStr">
        <is>
          <t>JÄMTLANDS LÄN</t>
        </is>
      </c>
      <c r="E2348" t="inlineStr">
        <is>
          <t>STRÖMSUND</t>
        </is>
      </c>
      <c r="F2348" t="inlineStr">
        <is>
          <t>SCA</t>
        </is>
      </c>
      <c r="G2348" t="n">
        <v>3.8</v>
      </c>
      <c r="H2348" t="n">
        <v>0</v>
      </c>
      <c r="I2348" t="n">
        <v>0</v>
      </c>
      <c r="J2348" t="n">
        <v>0</v>
      </c>
      <c r="K2348" t="n">
        <v>0</v>
      </c>
      <c r="L2348" t="n">
        <v>0</v>
      </c>
      <c r="M2348" t="n">
        <v>0</v>
      </c>
      <c r="N2348" t="n">
        <v>0</v>
      </c>
      <c r="O2348" t="n">
        <v>0</v>
      </c>
      <c r="P2348" t="n">
        <v>0</v>
      </c>
      <c r="Q2348" t="n">
        <v>0</v>
      </c>
      <c r="R2348" s="2" t="inlineStr"/>
    </row>
    <row r="2349" ht="15" customHeight="1">
      <c r="A2349" t="inlineStr">
        <is>
          <t>A 57546-2019</t>
        </is>
      </c>
      <c r="B2349" s="1" t="n">
        <v>43767</v>
      </c>
      <c r="C2349" s="1" t="n">
        <v>45182</v>
      </c>
      <c r="D2349" t="inlineStr">
        <is>
          <t>JÄMTLANDS LÄN</t>
        </is>
      </c>
      <c r="E2349" t="inlineStr">
        <is>
          <t>STRÖMSUND</t>
        </is>
      </c>
      <c r="F2349" t="inlineStr">
        <is>
          <t>SCA</t>
        </is>
      </c>
      <c r="G2349" t="n">
        <v>1.6</v>
      </c>
      <c r="H2349" t="n">
        <v>0</v>
      </c>
      <c r="I2349" t="n">
        <v>0</v>
      </c>
      <c r="J2349" t="n">
        <v>0</v>
      </c>
      <c r="K2349" t="n">
        <v>0</v>
      </c>
      <c r="L2349" t="n">
        <v>0</v>
      </c>
      <c r="M2349" t="n">
        <v>0</v>
      </c>
      <c r="N2349" t="n">
        <v>0</v>
      </c>
      <c r="O2349" t="n">
        <v>0</v>
      </c>
      <c r="P2349" t="n">
        <v>0</v>
      </c>
      <c r="Q2349" t="n">
        <v>0</v>
      </c>
      <c r="R2349" s="2" t="inlineStr"/>
    </row>
    <row r="2350" ht="15" customHeight="1">
      <c r="A2350" t="inlineStr">
        <is>
          <t>A 58662-2019</t>
        </is>
      </c>
      <c r="B2350" s="1" t="n">
        <v>43767</v>
      </c>
      <c r="C2350" s="1" t="n">
        <v>45182</v>
      </c>
      <c r="D2350" t="inlineStr">
        <is>
          <t>JÄMTLANDS LÄN</t>
        </is>
      </c>
      <c r="E2350" t="inlineStr">
        <is>
          <t>STRÖMSUND</t>
        </is>
      </c>
      <c r="G2350" t="n">
        <v>18.4</v>
      </c>
      <c r="H2350" t="n">
        <v>0</v>
      </c>
      <c r="I2350" t="n">
        <v>0</v>
      </c>
      <c r="J2350" t="n">
        <v>0</v>
      </c>
      <c r="K2350" t="n">
        <v>0</v>
      </c>
      <c r="L2350" t="n">
        <v>0</v>
      </c>
      <c r="M2350" t="n">
        <v>0</v>
      </c>
      <c r="N2350" t="n">
        <v>0</v>
      </c>
      <c r="O2350" t="n">
        <v>0</v>
      </c>
      <c r="P2350" t="n">
        <v>0</v>
      </c>
      <c r="Q2350" t="n">
        <v>0</v>
      </c>
      <c r="R2350" s="2" t="inlineStr"/>
    </row>
    <row r="2351" ht="15" customHeight="1">
      <c r="A2351" t="inlineStr">
        <is>
          <t>A 57547-2019</t>
        </is>
      </c>
      <c r="B2351" s="1" t="n">
        <v>43767</v>
      </c>
      <c r="C2351" s="1" t="n">
        <v>45182</v>
      </c>
      <c r="D2351" t="inlineStr">
        <is>
          <t>JÄMTLANDS LÄN</t>
        </is>
      </c>
      <c r="E2351" t="inlineStr">
        <is>
          <t>STRÖMSUND</t>
        </is>
      </c>
      <c r="F2351" t="inlineStr">
        <is>
          <t>SCA</t>
        </is>
      </c>
      <c r="G2351" t="n">
        <v>1.1</v>
      </c>
      <c r="H2351" t="n">
        <v>0</v>
      </c>
      <c r="I2351" t="n">
        <v>0</v>
      </c>
      <c r="J2351" t="n">
        <v>0</v>
      </c>
      <c r="K2351" t="n">
        <v>0</v>
      </c>
      <c r="L2351" t="n">
        <v>0</v>
      </c>
      <c r="M2351" t="n">
        <v>0</v>
      </c>
      <c r="N2351" t="n">
        <v>0</v>
      </c>
      <c r="O2351" t="n">
        <v>0</v>
      </c>
      <c r="P2351" t="n">
        <v>0</v>
      </c>
      <c r="Q2351" t="n">
        <v>0</v>
      </c>
      <c r="R2351" s="2" t="inlineStr"/>
    </row>
    <row r="2352" ht="15" customHeight="1">
      <c r="A2352" t="inlineStr">
        <is>
          <t>A 57395-2019</t>
        </is>
      </c>
      <c r="B2352" s="1" t="n">
        <v>43767</v>
      </c>
      <c r="C2352" s="1" t="n">
        <v>45182</v>
      </c>
      <c r="D2352" t="inlineStr">
        <is>
          <t>JÄMTLANDS LÄN</t>
        </is>
      </c>
      <c r="E2352" t="inlineStr">
        <is>
          <t>BRÄCKE</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57552-2019</t>
        </is>
      </c>
      <c r="B2353" s="1" t="n">
        <v>43767</v>
      </c>
      <c r="C2353" s="1" t="n">
        <v>45182</v>
      </c>
      <c r="D2353" t="inlineStr">
        <is>
          <t>JÄMTLANDS LÄN</t>
        </is>
      </c>
      <c r="E2353" t="inlineStr">
        <is>
          <t>STRÖMSUND</t>
        </is>
      </c>
      <c r="G2353" t="n">
        <v>1.4</v>
      </c>
      <c r="H2353" t="n">
        <v>0</v>
      </c>
      <c r="I2353" t="n">
        <v>0</v>
      </c>
      <c r="J2353" t="n">
        <v>0</v>
      </c>
      <c r="K2353" t="n">
        <v>0</v>
      </c>
      <c r="L2353" t="n">
        <v>0</v>
      </c>
      <c r="M2353" t="n">
        <v>0</v>
      </c>
      <c r="N2353" t="n">
        <v>0</v>
      </c>
      <c r="O2353" t="n">
        <v>0</v>
      </c>
      <c r="P2353" t="n">
        <v>0</v>
      </c>
      <c r="Q2353" t="n">
        <v>0</v>
      </c>
      <c r="R2353" s="2" t="inlineStr"/>
    </row>
    <row r="2354" ht="15" customHeight="1">
      <c r="A2354" t="inlineStr">
        <is>
          <t>A 57732-2019</t>
        </is>
      </c>
      <c r="B2354" s="1" t="n">
        <v>43768</v>
      </c>
      <c r="C2354" s="1" t="n">
        <v>45182</v>
      </c>
      <c r="D2354" t="inlineStr">
        <is>
          <t>JÄMTLANDS LÄN</t>
        </is>
      </c>
      <c r="E2354" t="inlineStr">
        <is>
          <t>KROKOM</t>
        </is>
      </c>
      <c r="G2354" t="n">
        <v>4.1</v>
      </c>
      <c r="H2354" t="n">
        <v>0</v>
      </c>
      <c r="I2354" t="n">
        <v>0</v>
      </c>
      <c r="J2354" t="n">
        <v>0</v>
      </c>
      <c r="K2354" t="n">
        <v>0</v>
      </c>
      <c r="L2354" t="n">
        <v>0</v>
      </c>
      <c r="M2354" t="n">
        <v>0</v>
      </c>
      <c r="N2354" t="n">
        <v>0</v>
      </c>
      <c r="O2354" t="n">
        <v>0</v>
      </c>
      <c r="P2354" t="n">
        <v>0</v>
      </c>
      <c r="Q2354" t="n">
        <v>0</v>
      </c>
      <c r="R2354" s="2" t="inlineStr"/>
    </row>
    <row r="2355" ht="15" customHeight="1">
      <c r="A2355" t="inlineStr">
        <is>
          <t>A 57783-2019</t>
        </is>
      </c>
      <c r="B2355" s="1" t="n">
        <v>43768</v>
      </c>
      <c r="C2355" s="1" t="n">
        <v>45182</v>
      </c>
      <c r="D2355" t="inlineStr">
        <is>
          <t>JÄMTLANDS LÄN</t>
        </is>
      </c>
      <c r="E2355" t="inlineStr">
        <is>
          <t>RAGUNDA</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57845-2019</t>
        </is>
      </c>
      <c r="B2356" s="1" t="n">
        <v>43768</v>
      </c>
      <c r="C2356" s="1" t="n">
        <v>45182</v>
      </c>
      <c r="D2356" t="inlineStr">
        <is>
          <t>JÄMTLANDS LÄN</t>
        </is>
      </c>
      <c r="E2356" t="inlineStr">
        <is>
          <t>ÖSTERSUND</t>
        </is>
      </c>
      <c r="G2356" t="n">
        <v>3.7</v>
      </c>
      <c r="H2356" t="n">
        <v>0</v>
      </c>
      <c r="I2356" t="n">
        <v>0</v>
      </c>
      <c r="J2356" t="n">
        <v>0</v>
      </c>
      <c r="K2356" t="n">
        <v>0</v>
      </c>
      <c r="L2356" t="n">
        <v>0</v>
      </c>
      <c r="M2356" t="n">
        <v>0</v>
      </c>
      <c r="N2356" t="n">
        <v>0</v>
      </c>
      <c r="O2356" t="n">
        <v>0</v>
      </c>
      <c r="P2356" t="n">
        <v>0</v>
      </c>
      <c r="Q2356" t="n">
        <v>0</v>
      </c>
      <c r="R2356" s="2" t="inlineStr"/>
    </row>
    <row r="2357" ht="15" customHeight="1">
      <c r="A2357" t="inlineStr">
        <is>
          <t>A 57872-2019</t>
        </is>
      </c>
      <c r="B2357" s="1" t="n">
        <v>43768</v>
      </c>
      <c r="C2357" s="1" t="n">
        <v>45182</v>
      </c>
      <c r="D2357" t="inlineStr">
        <is>
          <t>JÄMTLANDS LÄN</t>
        </is>
      </c>
      <c r="E2357" t="inlineStr">
        <is>
          <t>STRÖMSUND</t>
        </is>
      </c>
      <c r="G2357" t="n">
        <v>47.2</v>
      </c>
      <c r="H2357" t="n">
        <v>0</v>
      </c>
      <c r="I2357" t="n">
        <v>0</v>
      </c>
      <c r="J2357" t="n">
        <v>0</v>
      </c>
      <c r="K2357" t="n">
        <v>0</v>
      </c>
      <c r="L2357" t="n">
        <v>0</v>
      </c>
      <c r="M2357" t="n">
        <v>0</v>
      </c>
      <c r="N2357" t="n">
        <v>0</v>
      </c>
      <c r="O2357" t="n">
        <v>0</v>
      </c>
      <c r="P2357" t="n">
        <v>0</v>
      </c>
      <c r="Q2357" t="n">
        <v>0</v>
      </c>
      <c r="R2357" s="2" t="inlineStr"/>
    </row>
    <row r="2358" ht="15" customHeight="1">
      <c r="A2358" t="inlineStr">
        <is>
          <t>A 57825-2019</t>
        </is>
      </c>
      <c r="B2358" s="1" t="n">
        <v>43768</v>
      </c>
      <c r="C2358" s="1" t="n">
        <v>45182</v>
      </c>
      <c r="D2358" t="inlineStr">
        <is>
          <t>JÄMTLANDS LÄN</t>
        </is>
      </c>
      <c r="E2358" t="inlineStr">
        <is>
          <t>ÅRE</t>
        </is>
      </c>
      <c r="G2358" t="n">
        <v>3.1</v>
      </c>
      <c r="H2358" t="n">
        <v>0</v>
      </c>
      <c r="I2358" t="n">
        <v>0</v>
      </c>
      <c r="J2358" t="n">
        <v>0</v>
      </c>
      <c r="K2358" t="n">
        <v>0</v>
      </c>
      <c r="L2358" t="n">
        <v>0</v>
      </c>
      <c r="M2358" t="n">
        <v>0</v>
      </c>
      <c r="N2358" t="n">
        <v>0</v>
      </c>
      <c r="O2358" t="n">
        <v>0</v>
      </c>
      <c r="P2358" t="n">
        <v>0</v>
      </c>
      <c r="Q2358" t="n">
        <v>0</v>
      </c>
      <c r="R2358" s="2" t="inlineStr"/>
    </row>
    <row r="2359" ht="15" customHeight="1">
      <c r="A2359" t="inlineStr">
        <is>
          <t>A 57873-2019</t>
        </is>
      </c>
      <c r="B2359" s="1" t="n">
        <v>43768</v>
      </c>
      <c r="C2359" s="1" t="n">
        <v>45182</v>
      </c>
      <c r="D2359" t="inlineStr">
        <is>
          <t>JÄMTLANDS LÄN</t>
        </is>
      </c>
      <c r="E2359" t="inlineStr">
        <is>
          <t>STRÖMSUND</t>
        </is>
      </c>
      <c r="G2359" t="n">
        <v>2.5</v>
      </c>
      <c r="H2359" t="n">
        <v>0</v>
      </c>
      <c r="I2359" t="n">
        <v>0</v>
      </c>
      <c r="J2359" t="n">
        <v>0</v>
      </c>
      <c r="K2359" t="n">
        <v>0</v>
      </c>
      <c r="L2359" t="n">
        <v>0</v>
      </c>
      <c r="M2359" t="n">
        <v>0</v>
      </c>
      <c r="N2359" t="n">
        <v>0</v>
      </c>
      <c r="O2359" t="n">
        <v>0</v>
      </c>
      <c r="P2359" t="n">
        <v>0</v>
      </c>
      <c r="Q2359" t="n">
        <v>0</v>
      </c>
      <c r="R2359" s="2" t="inlineStr"/>
    </row>
    <row r="2360" ht="15" customHeight="1">
      <c r="A2360" t="inlineStr">
        <is>
          <t>A 58844-2019</t>
        </is>
      </c>
      <c r="B2360" s="1" t="n">
        <v>43768</v>
      </c>
      <c r="C2360" s="1" t="n">
        <v>45182</v>
      </c>
      <c r="D2360" t="inlineStr">
        <is>
          <t>JÄMTLANDS LÄN</t>
        </is>
      </c>
      <c r="E2360" t="inlineStr">
        <is>
          <t>STRÖMSUND</t>
        </is>
      </c>
      <c r="G2360" t="n">
        <v>4.8</v>
      </c>
      <c r="H2360" t="n">
        <v>0</v>
      </c>
      <c r="I2360" t="n">
        <v>0</v>
      </c>
      <c r="J2360" t="n">
        <v>0</v>
      </c>
      <c r="K2360" t="n">
        <v>0</v>
      </c>
      <c r="L2360" t="n">
        <v>0</v>
      </c>
      <c r="M2360" t="n">
        <v>0</v>
      </c>
      <c r="N2360" t="n">
        <v>0</v>
      </c>
      <c r="O2360" t="n">
        <v>0</v>
      </c>
      <c r="P2360" t="n">
        <v>0</v>
      </c>
      <c r="Q2360" t="n">
        <v>0</v>
      </c>
      <c r="R2360" s="2" t="inlineStr"/>
    </row>
    <row r="2361" ht="15" customHeight="1">
      <c r="A2361" t="inlineStr">
        <is>
          <t>A 57749-2019</t>
        </is>
      </c>
      <c r="B2361" s="1" t="n">
        <v>43768</v>
      </c>
      <c r="C2361" s="1" t="n">
        <v>45182</v>
      </c>
      <c r="D2361" t="inlineStr">
        <is>
          <t>JÄMTLANDS LÄN</t>
        </is>
      </c>
      <c r="E2361" t="inlineStr">
        <is>
          <t>BRÄCKE</t>
        </is>
      </c>
      <c r="G2361" t="n">
        <v>3.3</v>
      </c>
      <c r="H2361" t="n">
        <v>0</v>
      </c>
      <c r="I2361" t="n">
        <v>0</v>
      </c>
      <c r="J2361" t="n">
        <v>0</v>
      </c>
      <c r="K2361" t="n">
        <v>0</v>
      </c>
      <c r="L2361" t="n">
        <v>0</v>
      </c>
      <c r="M2361" t="n">
        <v>0</v>
      </c>
      <c r="N2361" t="n">
        <v>0</v>
      </c>
      <c r="O2361" t="n">
        <v>0</v>
      </c>
      <c r="P2361" t="n">
        <v>0</v>
      </c>
      <c r="Q2361" t="n">
        <v>0</v>
      </c>
      <c r="R2361" s="2" t="inlineStr"/>
    </row>
    <row r="2362" ht="15" customHeight="1">
      <c r="A2362" t="inlineStr">
        <is>
          <t>A 57860-2019</t>
        </is>
      </c>
      <c r="B2362" s="1" t="n">
        <v>43768</v>
      </c>
      <c r="C2362" s="1" t="n">
        <v>45182</v>
      </c>
      <c r="D2362" t="inlineStr">
        <is>
          <t>JÄMTLANDS LÄN</t>
        </is>
      </c>
      <c r="E2362" t="inlineStr">
        <is>
          <t>RAGUNDA</t>
        </is>
      </c>
      <c r="F2362" t="inlineStr">
        <is>
          <t>SCA</t>
        </is>
      </c>
      <c r="G2362" t="n">
        <v>1.5</v>
      </c>
      <c r="H2362" t="n">
        <v>0</v>
      </c>
      <c r="I2362" t="n">
        <v>0</v>
      </c>
      <c r="J2362" t="n">
        <v>0</v>
      </c>
      <c r="K2362" t="n">
        <v>0</v>
      </c>
      <c r="L2362" t="n">
        <v>0</v>
      </c>
      <c r="M2362" t="n">
        <v>0</v>
      </c>
      <c r="N2362" t="n">
        <v>0</v>
      </c>
      <c r="O2362" t="n">
        <v>0</v>
      </c>
      <c r="P2362" t="n">
        <v>0</v>
      </c>
      <c r="Q2362" t="n">
        <v>0</v>
      </c>
      <c r="R2362" s="2" t="inlineStr"/>
    </row>
    <row r="2363" ht="15" customHeight="1">
      <c r="A2363" t="inlineStr">
        <is>
          <t>A 58851-2019</t>
        </is>
      </c>
      <c r="B2363" s="1" t="n">
        <v>43768</v>
      </c>
      <c r="C2363" s="1" t="n">
        <v>45182</v>
      </c>
      <c r="D2363" t="inlineStr">
        <is>
          <t>JÄMTLANDS LÄN</t>
        </is>
      </c>
      <c r="E2363" t="inlineStr">
        <is>
          <t>STRÖMSUND</t>
        </is>
      </c>
      <c r="G2363" t="n">
        <v>17.6</v>
      </c>
      <c r="H2363" t="n">
        <v>0</v>
      </c>
      <c r="I2363" t="n">
        <v>0</v>
      </c>
      <c r="J2363" t="n">
        <v>0</v>
      </c>
      <c r="K2363" t="n">
        <v>0</v>
      </c>
      <c r="L2363" t="n">
        <v>0</v>
      </c>
      <c r="M2363" t="n">
        <v>0</v>
      </c>
      <c r="N2363" t="n">
        <v>0</v>
      </c>
      <c r="O2363" t="n">
        <v>0</v>
      </c>
      <c r="P2363" t="n">
        <v>0</v>
      </c>
      <c r="Q2363" t="n">
        <v>0</v>
      </c>
      <c r="R2363" s="2" t="inlineStr"/>
    </row>
    <row r="2364" ht="15" customHeight="1">
      <c r="A2364" t="inlineStr">
        <is>
          <t>A 58172-2019</t>
        </is>
      </c>
      <c r="B2364" s="1" t="n">
        <v>43769</v>
      </c>
      <c r="C2364" s="1" t="n">
        <v>45182</v>
      </c>
      <c r="D2364" t="inlineStr">
        <is>
          <t>JÄMTLANDS LÄN</t>
        </is>
      </c>
      <c r="E2364" t="inlineStr">
        <is>
          <t>STRÖMSUND</t>
        </is>
      </c>
      <c r="F2364" t="inlineStr">
        <is>
          <t>SCA</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58175-2019</t>
        </is>
      </c>
      <c r="B2365" s="1" t="n">
        <v>43769</v>
      </c>
      <c r="C2365" s="1" t="n">
        <v>45182</v>
      </c>
      <c r="D2365" t="inlineStr">
        <is>
          <t>JÄMTLANDS LÄN</t>
        </is>
      </c>
      <c r="E2365" t="inlineStr">
        <is>
          <t>HÄRJEDALEN</t>
        </is>
      </c>
      <c r="F2365" t="inlineStr">
        <is>
          <t>SCA</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58216-2019</t>
        </is>
      </c>
      <c r="B2366" s="1" t="n">
        <v>43770</v>
      </c>
      <c r="C2366" s="1" t="n">
        <v>45182</v>
      </c>
      <c r="D2366" t="inlineStr">
        <is>
          <t>JÄMTLANDS LÄN</t>
        </is>
      </c>
      <c r="E2366" t="inlineStr">
        <is>
          <t>ÖSTERSUND</t>
        </is>
      </c>
      <c r="G2366" t="n">
        <v>2.4</v>
      </c>
      <c r="H2366" t="n">
        <v>0</v>
      </c>
      <c r="I2366" t="n">
        <v>0</v>
      </c>
      <c r="J2366" t="n">
        <v>0</v>
      </c>
      <c r="K2366" t="n">
        <v>0</v>
      </c>
      <c r="L2366" t="n">
        <v>0</v>
      </c>
      <c r="M2366" t="n">
        <v>0</v>
      </c>
      <c r="N2366" t="n">
        <v>0</v>
      </c>
      <c r="O2366" t="n">
        <v>0</v>
      </c>
      <c r="P2366" t="n">
        <v>0</v>
      </c>
      <c r="Q2366" t="n">
        <v>0</v>
      </c>
      <c r="R2366" s="2" t="inlineStr"/>
    </row>
    <row r="2367" ht="15" customHeight="1">
      <c r="A2367" t="inlineStr">
        <is>
          <t>A 58355-2019</t>
        </is>
      </c>
      <c r="B2367" s="1" t="n">
        <v>43770</v>
      </c>
      <c r="C2367" s="1" t="n">
        <v>45182</v>
      </c>
      <c r="D2367" t="inlineStr">
        <is>
          <t>JÄMTLANDS LÄN</t>
        </is>
      </c>
      <c r="E2367" t="inlineStr">
        <is>
          <t>RAGUNDA</t>
        </is>
      </c>
      <c r="F2367" t="inlineStr">
        <is>
          <t>SCA</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59347-2019</t>
        </is>
      </c>
      <c r="B2368" s="1" t="n">
        <v>43770</v>
      </c>
      <c r="C2368" s="1" t="n">
        <v>45182</v>
      </c>
      <c r="D2368" t="inlineStr">
        <is>
          <t>JÄMTLANDS LÄN</t>
        </is>
      </c>
      <c r="E2368" t="inlineStr">
        <is>
          <t>HÄRJEDALEN</t>
        </is>
      </c>
      <c r="G2368" t="n">
        <v>2.3</v>
      </c>
      <c r="H2368" t="n">
        <v>0</v>
      </c>
      <c r="I2368" t="n">
        <v>0</v>
      </c>
      <c r="J2368" t="n">
        <v>0</v>
      </c>
      <c r="K2368" t="n">
        <v>0</v>
      </c>
      <c r="L2368" t="n">
        <v>0</v>
      </c>
      <c r="M2368" t="n">
        <v>0</v>
      </c>
      <c r="N2368" t="n">
        <v>0</v>
      </c>
      <c r="O2368" t="n">
        <v>0</v>
      </c>
      <c r="P2368" t="n">
        <v>0</v>
      </c>
      <c r="Q2368" t="n">
        <v>0</v>
      </c>
      <c r="R2368" s="2" t="inlineStr"/>
    </row>
    <row r="2369" ht="15" customHeight="1">
      <c r="A2369" t="inlineStr">
        <is>
          <t>A 58210-2019</t>
        </is>
      </c>
      <c r="B2369" s="1" t="n">
        <v>43770</v>
      </c>
      <c r="C2369" s="1" t="n">
        <v>45182</v>
      </c>
      <c r="D2369" t="inlineStr">
        <is>
          <t>JÄMTLANDS LÄN</t>
        </is>
      </c>
      <c r="E2369" t="inlineStr">
        <is>
          <t>ÖSTERSUND</t>
        </is>
      </c>
      <c r="G2369" t="n">
        <v>2.6</v>
      </c>
      <c r="H2369" t="n">
        <v>0</v>
      </c>
      <c r="I2369" t="n">
        <v>0</v>
      </c>
      <c r="J2369" t="n">
        <v>0</v>
      </c>
      <c r="K2369" t="n">
        <v>0</v>
      </c>
      <c r="L2369" t="n">
        <v>0</v>
      </c>
      <c r="M2369" t="n">
        <v>0</v>
      </c>
      <c r="N2369" t="n">
        <v>0</v>
      </c>
      <c r="O2369" t="n">
        <v>0</v>
      </c>
      <c r="P2369" t="n">
        <v>0</v>
      </c>
      <c r="Q2369" t="n">
        <v>0</v>
      </c>
      <c r="R2369" s="2" t="inlineStr"/>
    </row>
    <row r="2370" ht="15" customHeight="1">
      <c r="A2370" t="inlineStr">
        <is>
          <t>A 58361-2019</t>
        </is>
      </c>
      <c r="B2370" s="1" t="n">
        <v>43770</v>
      </c>
      <c r="C2370" s="1" t="n">
        <v>45182</v>
      </c>
      <c r="D2370" t="inlineStr">
        <is>
          <t>JÄMTLANDS LÄN</t>
        </is>
      </c>
      <c r="E2370" t="inlineStr">
        <is>
          <t>BERG</t>
        </is>
      </c>
      <c r="G2370" t="n">
        <v>1.2</v>
      </c>
      <c r="H2370" t="n">
        <v>0</v>
      </c>
      <c r="I2370" t="n">
        <v>0</v>
      </c>
      <c r="J2370" t="n">
        <v>0</v>
      </c>
      <c r="K2370" t="n">
        <v>0</v>
      </c>
      <c r="L2370" t="n">
        <v>0</v>
      </c>
      <c r="M2370" t="n">
        <v>0</v>
      </c>
      <c r="N2370" t="n">
        <v>0</v>
      </c>
      <c r="O2370" t="n">
        <v>0</v>
      </c>
      <c r="P2370" t="n">
        <v>0</v>
      </c>
      <c r="Q2370" t="n">
        <v>0</v>
      </c>
      <c r="R2370" s="2" t="inlineStr"/>
    </row>
    <row r="2371" ht="15" customHeight="1">
      <c r="A2371" t="inlineStr">
        <is>
          <t>A 58235-2019</t>
        </is>
      </c>
      <c r="B2371" s="1" t="n">
        <v>43770</v>
      </c>
      <c r="C2371" s="1" t="n">
        <v>45182</v>
      </c>
      <c r="D2371" t="inlineStr">
        <is>
          <t>JÄMTLANDS LÄN</t>
        </is>
      </c>
      <c r="E2371" t="inlineStr">
        <is>
          <t>KROKOM</t>
        </is>
      </c>
      <c r="G2371" t="n">
        <v>47.9</v>
      </c>
      <c r="H2371" t="n">
        <v>0</v>
      </c>
      <c r="I2371" t="n">
        <v>0</v>
      </c>
      <c r="J2371" t="n">
        <v>0</v>
      </c>
      <c r="K2371" t="n">
        <v>0</v>
      </c>
      <c r="L2371" t="n">
        <v>0</v>
      </c>
      <c r="M2371" t="n">
        <v>0</v>
      </c>
      <c r="N2371" t="n">
        <v>0</v>
      </c>
      <c r="O2371" t="n">
        <v>0</v>
      </c>
      <c r="P2371" t="n">
        <v>0</v>
      </c>
      <c r="Q2371" t="n">
        <v>0</v>
      </c>
      <c r="R2371" s="2" t="inlineStr"/>
    </row>
    <row r="2372" ht="15" customHeight="1">
      <c r="A2372" t="inlineStr">
        <is>
          <t>A 58348-2019</t>
        </is>
      </c>
      <c r="B2372" s="1" t="n">
        <v>43770</v>
      </c>
      <c r="C2372" s="1" t="n">
        <v>45182</v>
      </c>
      <c r="D2372" t="inlineStr">
        <is>
          <t>JÄMTLANDS LÄN</t>
        </is>
      </c>
      <c r="E2372" t="inlineStr">
        <is>
          <t>RAGUNDA</t>
        </is>
      </c>
      <c r="F2372" t="inlineStr">
        <is>
          <t>SCA</t>
        </is>
      </c>
      <c r="G2372" t="n">
        <v>5.8</v>
      </c>
      <c r="H2372" t="n">
        <v>0</v>
      </c>
      <c r="I2372" t="n">
        <v>0</v>
      </c>
      <c r="J2372" t="n">
        <v>0</v>
      </c>
      <c r="K2372" t="n">
        <v>0</v>
      </c>
      <c r="L2372" t="n">
        <v>0</v>
      </c>
      <c r="M2372" t="n">
        <v>0</v>
      </c>
      <c r="N2372" t="n">
        <v>0</v>
      </c>
      <c r="O2372" t="n">
        <v>0</v>
      </c>
      <c r="P2372" t="n">
        <v>0</v>
      </c>
      <c r="Q2372" t="n">
        <v>0</v>
      </c>
      <c r="R2372" s="2" t="inlineStr"/>
    </row>
    <row r="2373" ht="15" customHeight="1">
      <c r="A2373" t="inlineStr">
        <is>
          <t>A 58364-2019</t>
        </is>
      </c>
      <c r="B2373" s="1" t="n">
        <v>43770</v>
      </c>
      <c r="C2373" s="1" t="n">
        <v>45182</v>
      </c>
      <c r="D2373" t="inlineStr">
        <is>
          <t>JÄMTLANDS LÄN</t>
        </is>
      </c>
      <c r="E2373" t="inlineStr">
        <is>
          <t>BERG</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58212-2019</t>
        </is>
      </c>
      <c r="B2374" s="1" t="n">
        <v>43770</v>
      </c>
      <c r="C2374" s="1" t="n">
        <v>45182</v>
      </c>
      <c r="D2374" t="inlineStr">
        <is>
          <t>JÄMTLANDS LÄN</t>
        </is>
      </c>
      <c r="E2374" t="inlineStr">
        <is>
          <t>KROKOM</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58354-2019</t>
        </is>
      </c>
      <c r="B2375" s="1" t="n">
        <v>43770</v>
      </c>
      <c r="C2375" s="1" t="n">
        <v>45182</v>
      </c>
      <c r="D2375" t="inlineStr">
        <is>
          <t>JÄMTLANDS LÄN</t>
        </is>
      </c>
      <c r="E2375" t="inlineStr">
        <is>
          <t>BRÄCKE</t>
        </is>
      </c>
      <c r="F2375" t="inlineStr">
        <is>
          <t>SCA</t>
        </is>
      </c>
      <c r="G2375" t="n">
        <v>7.2</v>
      </c>
      <c r="H2375" t="n">
        <v>0</v>
      </c>
      <c r="I2375" t="n">
        <v>0</v>
      </c>
      <c r="J2375" t="n">
        <v>0</v>
      </c>
      <c r="K2375" t="n">
        <v>0</v>
      </c>
      <c r="L2375" t="n">
        <v>0</v>
      </c>
      <c r="M2375" t="n">
        <v>0</v>
      </c>
      <c r="N2375" t="n">
        <v>0</v>
      </c>
      <c r="O2375" t="n">
        <v>0</v>
      </c>
      <c r="P2375" t="n">
        <v>0</v>
      </c>
      <c r="Q2375" t="n">
        <v>0</v>
      </c>
      <c r="R2375" s="2" t="inlineStr"/>
    </row>
    <row r="2376" ht="15" customHeight="1">
      <c r="A2376" t="inlineStr">
        <is>
          <t>A 58778-2019</t>
        </is>
      </c>
      <c r="B2376" s="1" t="n">
        <v>43773</v>
      </c>
      <c r="C2376" s="1" t="n">
        <v>45182</v>
      </c>
      <c r="D2376" t="inlineStr">
        <is>
          <t>JÄMTLANDS LÄN</t>
        </is>
      </c>
      <c r="E2376" t="inlineStr">
        <is>
          <t>KROKOM</t>
        </is>
      </c>
      <c r="G2376" t="n">
        <v>5.4</v>
      </c>
      <c r="H2376" t="n">
        <v>0</v>
      </c>
      <c r="I2376" t="n">
        <v>0</v>
      </c>
      <c r="J2376" t="n">
        <v>0</v>
      </c>
      <c r="K2376" t="n">
        <v>0</v>
      </c>
      <c r="L2376" t="n">
        <v>0</v>
      </c>
      <c r="M2376" t="n">
        <v>0</v>
      </c>
      <c r="N2376" t="n">
        <v>0</v>
      </c>
      <c r="O2376" t="n">
        <v>0</v>
      </c>
      <c r="P2376" t="n">
        <v>0</v>
      </c>
      <c r="Q2376" t="n">
        <v>0</v>
      </c>
      <c r="R2376" s="2" t="inlineStr"/>
    </row>
    <row r="2377" ht="15" customHeight="1">
      <c r="A2377" t="inlineStr">
        <is>
          <t>A 59437-2019</t>
        </is>
      </c>
      <c r="B2377" s="1" t="n">
        <v>43773</v>
      </c>
      <c r="C2377" s="1" t="n">
        <v>45182</v>
      </c>
      <c r="D2377" t="inlineStr">
        <is>
          <t>JÄMTLANDS LÄN</t>
        </is>
      </c>
      <c r="E2377" t="inlineStr">
        <is>
          <t>ÖSTERSUND</t>
        </is>
      </c>
      <c r="G2377" t="n">
        <v>6.2</v>
      </c>
      <c r="H2377" t="n">
        <v>0</v>
      </c>
      <c r="I2377" t="n">
        <v>0</v>
      </c>
      <c r="J2377" t="n">
        <v>0</v>
      </c>
      <c r="K2377" t="n">
        <v>0</v>
      </c>
      <c r="L2377" t="n">
        <v>0</v>
      </c>
      <c r="M2377" t="n">
        <v>0</v>
      </c>
      <c r="N2377" t="n">
        <v>0</v>
      </c>
      <c r="O2377" t="n">
        <v>0</v>
      </c>
      <c r="P2377" t="n">
        <v>0</v>
      </c>
      <c r="Q2377" t="n">
        <v>0</v>
      </c>
      <c r="R2377" s="2" t="inlineStr"/>
    </row>
    <row r="2378" ht="15" customHeight="1">
      <c r="A2378" t="inlineStr">
        <is>
          <t>A 59484-2019</t>
        </is>
      </c>
      <c r="B2378" s="1" t="n">
        <v>43773</v>
      </c>
      <c r="C2378" s="1" t="n">
        <v>45182</v>
      </c>
      <c r="D2378" t="inlineStr">
        <is>
          <t>JÄMTLANDS LÄN</t>
        </is>
      </c>
      <c r="E2378" t="inlineStr">
        <is>
          <t>RAGUNDA</t>
        </is>
      </c>
      <c r="G2378" t="n">
        <v>0.5</v>
      </c>
      <c r="H2378" t="n">
        <v>0</v>
      </c>
      <c r="I2378" t="n">
        <v>0</v>
      </c>
      <c r="J2378" t="n">
        <v>0</v>
      </c>
      <c r="K2378" t="n">
        <v>0</v>
      </c>
      <c r="L2378" t="n">
        <v>0</v>
      </c>
      <c r="M2378" t="n">
        <v>0</v>
      </c>
      <c r="N2378" t="n">
        <v>0</v>
      </c>
      <c r="O2378" t="n">
        <v>0</v>
      </c>
      <c r="P2378" t="n">
        <v>0</v>
      </c>
      <c r="Q2378" t="n">
        <v>0</v>
      </c>
      <c r="R2378" s="2" t="inlineStr"/>
    </row>
    <row r="2379" ht="15" customHeight="1">
      <c r="A2379" t="inlineStr">
        <is>
          <t>A 59543-2019</t>
        </is>
      </c>
      <c r="B2379" s="1" t="n">
        <v>43773</v>
      </c>
      <c r="C2379" s="1" t="n">
        <v>45182</v>
      </c>
      <c r="D2379" t="inlineStr">
        <is>
          <t>JÄMTLANDS LÄN</t>
        </is>
      </c>
      <c r="E2379" t="inlineStr">
        <is>
          <t>STRÖMSUND</t>
        </is>
      </c>
      <c r="G2379" t="n">
        <v>6.3</v>
      </c>
      <c r="H2379" t="n">
        <v>0</v>
      </c>
      <c r="I2379" t="n">
        <v>0</v>
      </c>
      <c r="J2379" t="n">
        <v>0</v>
      </c>
      <c r="K2379" t="n">
        <v>0</v>
      </c>
      <c r="L2379" t="n">
        <v>0</v>
      </c>
      <c r="M2379" t="n">
        <v>0</v>
      </c>
      <c r="N2379" t="n">
        <v>0</v>
      </c>
      <c r="O2379" t="n">
        <v>0</v>
      </c>
      <c r="P2379" t="n">
        <v>0</v>
      </c>
      <c r="Q2379" t="n">
        <v>0</v>
      </c>
      <c r="R2379" s="2" t="inlineStr"/>
    </row>
    <row r="2380" ht="15" customHeight="1">
      <c r="A2380" t="inlineStr">
        <is>
          <t>A 58635-2019</t>
        </is>
      </c>
      <c r="B2380" s="1" t="n">
        <v>43773</v>
      </c>
      <c r="C2380" s="1" t="n">
        <v>45182</v>
      </c>
      <c r="D2380" t="inlineStr">
        <is>
          <t>JÄMTLANDS LÄN</t>
        </is>
      </c>
      <c r="E2380" t="inlineStr">
        <is>
          <t>BRÄCKE</t>
        </is>
      </c>
      <c r="G2380" t="n">
        <v>3.5</v>
      </c>
      <c r="H2380" t="n">
        <v>0</v>
      </c>
      <c r="I2380" t="n">
        <v>0</v>
      </c>
      <c r="J2380" t="n">
        <v>0</v>
      </c>
      <c r="K2380" t="n">
        <v>0</v>
      </c>
      <c r="L2380" t="n">
        <v>0</v>
      </c>
      <c r="M2380" t="n">
        <v>0</v>
      </c>
      <c r="N2380" t="n">
        <v>0</v>
      </c>
      <c r="O2380" t="n">
        <v>0</v>
      </c>
      <c r="P2380" t="n">
        <v>0</v>
      </c>
      <c r="Q2380" t="n">
        <v>0</v>
      </c>
      <c r="R2380" s="2" t="inlineStr"/>
    </row>
    <row r="2381" ht="15" customHeight="1">
      <c r="A2381" t="inlineStr">
        <is>
          <t>A 58795-2019</t>
        </is>
      </c>
      <c r="B2381" s="1" t="n">
        <v>43773</v>
      </c>
      <c r="C2381" s="1" t="n">
        <v>45182</v>
      </c>
      <c r="D2381" t="inlineStr">
        <is>
          <t>JÄMTLANDS LÄN</t>
        </is>
      </c>
      <c r="E2381" t="inlineStr">
        <is>
          <t>RAGUNDA</t>
        </is>
      </c>
      <c r="F2381" t="inlineStr">
        <is>
          <t>SCA</t>
        </is>
      </c>
      <c r="G2381" t="n">
        <v>4.4</v>
      </c>
      <c r="H2381" t="n">
        <v>0</v>
      </c>
      <c r="I2381" t="n">
        <v>0</v>
      </c>
      <c r="J2381" t="n">
        <v>0</v>
      </c>
      <c r="K2381" t="n">
        <v>0</v>
      </c>
      <c r="L2381" t="n">
        <v>0</v>
      </c>
      <c r="M2381" t="n">
        <v>0</v>
      </c>
      <c r="N2381" t="n">
        <v>0</v>
      </c>
      <c r="O2381" t="n">
        <v>0</v>
      </c>
      <c r="P2381" t="n">
        <v>0</v>
      </c>
      <c r="Q2381" t="n">
        <v>0</v>
      </c>
      <c r="R2381" s="2" t="inlineStr"/>
    </row>
    <row r="2382" ht="15" customHeight="1">
      <c r="A2382" t="inlineStr">
        <is>
          <t>A 59501-2019</t>
        </is>
      </c>
      <c r="B2382" s="1" t="n">
        <v>43773</v>
      </c>
      <c r="C2382" s="1" t="n">
        <v>45182</v>
      </c>
      <c r="D2382" t="inlineStr">
        <is>
          <t>JÄMTLANDS LÄN</t>
        </is>
      </c>
      <c r="E2382" t="inlineStr">
        <is>
          <t>RAGUNDA</t>
        </is>
      </c>
      <c r="G2382" t="n">
        <v>0.5</v>
      </c>
      <c r="H2382" t="n">
        <v>0</v>
      </c>
      <c r="I2382" t="n">
        <v>0</v>
      </c>
      <c r="J2382" t="n">
        <v>0</v>
      </c>
      <c r="K2382" t="n">
        <v>0</v>
      </c>
      <c r="L2382" t="n">
        <v>0</v>
      </c>
      <c r="M2382" t="n">
        <v>0</v>
      </c>
      <c r="N2382" t="n">
        <v>0</v>
      </c>
      <c r="O2382" t="n">
        <v>0</v>
      </c>
      <c r="P2382" t="n">
        <v>0</v>
      </c>
      <c r="Q2382" t="n">
        <v>0</v>
      </c>
      <c r="R2382" s="2" t="inlineStr"/>
    </row>
    <row r="2383" ht="15" customHeight="1">
      <c r="A2383" t="inlineStr">
        <is>
          <t>A 59815-2019</t>
        </is>
      </c>
      <c r="B2383" s="1" t="n">
        <v>43774</v>
      </c>
      <c r="C2383" s="1" t="n">
        <v>45182</v>
      </c>
      <c r="D2383" t="inlineStr">
        <is>
          <t>JÄMTLANDS LÄN</t>
        </is>
      </c>
      <c r="E2383" t="inlineStr">
        <is>
          <t>ÅRE</t>
        </is>
      </c>
      <c r="G2383" t="n">
        <v>2.8</v>
      </c>
      <c r="H2383" t="n">
        <v>0</v>
      </c>
      <c r="I2383" t="n">
        <v>0</v>
      </c>
      <c r="J2383" t="n">
        <v>0</v>
      </c>
      <c r="K2383" t="n">
        <v>0</v>
      </c>
      <c r="L2383" t="n">
        <v>0</v>
      </c>
      <c r="M2383" t="n">
        <v>0</v>
      </c>
      <c r="N2383" t="n">
        <v>0</v>
      </c>
      <c r="O2383" t="n">
        <v>0</v>
      </c>
      <c r="P2383" t="n">
        <v>0</v>
      </c>
      <c r="Q2383" t="n">
        <v>0</v>
      </c>
      <c r="R2383" s="2" t="inlineStr"/>
    </row>
    <row r="2384" ht="15" customHeight="1">
      <c r="A2384" t="inlineStr">
        <is>
          <t>A 59027-2019</t>
        </is>
      </c>
      <c r="B2384" s="1" t="n">
        <v>43774</v>
      </c>
      <c r="C2384" s="1" t="n">
        <v>45182</v>
      </c>
      <c r="D2384" t="inlineStr">
        <is>
          <t>JÄMTLANDS LÄN</t>
        </is>
      </c>
      <c r="E2384" t="inlineStr">
        <is>
          <t>KROKOM</t>
        </is>
      </c>
      <c r="F2384" t="inlineStr">
        <is>
          <t>Övriga Aktiebolag</t>
        </is>
      </c>
      <c r="G2384" t="n">
        <v>19.6</v>
      </c>
      <c r="H2384" t="n">
        <v>0</v>
      </c>
      <c r="I2384" t="n">
        <v>0</v>
      </c>
      <c r="J2384" t="n">
        <v>0</v>
      </c>
      <c r="K2384" t="n">
        <v>0</v>
      </c>
      <c r="L2384" t="n">
        <v>0</v>
      </c>
      <c r="M2384" t="n">
        <v>0</v>
      </c>
      <c r="N2384" t="n">
        <v>0</v>
      </c>
      <c r="O2384" t="n">
        <v>0</v>
      </c>
      <c r="P2384" t="n">
        <v>0</v>
      </c>
      <c r="Q2384" t="n">
        <v>0</v>
      </c>
      <c r="R2384" s="2" t="inlineStr"/>
    </row>
    <row r="2385" ht="15" customHeight="1">
      <c r="A2385" t="inlineStr">
        <is>
          <t>A 59194-2019</t>
        </is>
      </c>
      <c r="B2385" s="1" t="n">
        <v>43775</v>
      </c>
      <c r="C2385" s="1" t="n">
        <v>45182</v>
      </c>
      <c r="D2385" t="inlineStr">
        <is>
          <t>JÄMTLANDS LÄN</t>
        </is>
      </c>
      <c r="E2385" t="inlineStr">
        <is>
          <t>RAGUNDA</t>
        </is>
      </c>
      <c r="G2385" t="n">
        <v>2.7</v>
      </c>
      <c r="H2385" t="n">
        <v>0</v>
      </c>
      <c r="I2385" t="n">
        <v>0</v>
      </c>
      <c r="J2385" t="n">
        <v>0</v>
      </c>
      <c r="K2385" t="n">
        <v>0</v>
      </c>
      <c r="L2385" t="n">
        <v>0</v>
      </c>
      <c r="M2385" t="n">
        <v>0</v>
      </c>
      <c r="N2385" t="n">
        <v>0</v>
      </c>
      <c r="O2385" t="n">
        <v>0</v>
      </c>
      <c r="P2385" t="n">
        <v>0</v>
      </c>
      <c r="Q2385" t="n">
        <v>0</v>
      </c>
      <c r="R2385" s="2" t="inlineStr"/>
    </row>
    <row r="2386" ht="15" customHeight="1">
      <c r="A2386" t="inlineStr">
        <is>
          <t>A 59984-2019</t>
        </is>
      </c>
      <c r="B2386" s="1" t="n">
        <v>43775</v>
      </c>
      <c r="C2386" s="1" t="n">
        <v>45182</v>
      </c>
      <c r="D2386" t="inlineStr">
        <is>
          <t>JÄMTLANDS LÄN</t>
        </is>
      </c>
      <c r="E2386" t="inlineStr">
        <is>
          <t>HÄRJEDALEN</t>
        </is>
      </c>
      <c r="G2386" t="n">
        <v>20.4</v>
      </c>
      <c r="H2386" t="n">
        <v>0</v>
      </c>
      <c r="I2386" t="n">
        <v>0</v>
      </c>
      <c r="J2386" t="n">
        <v>0</v>
      </c>
      <c r="K2386" t="n">
        <v>0</v>
      </c>
      <c r="L2386" t="n">
        <v>0</v>
      </c>
      <c r="M2386" t="n">
        <v>0</v>
      </c>
      <c r="N2386" t="n">
        <v>0</v>
      </c>
      <c r="O2386" t="n">
        <v>0</v>
      </c>
      <c r="P2386" t="n">
        <v>0</v>
      </c>
      <c r="Q2386" t="n">
        <v>0</v>
      </c>
      <c r="R2386" s="2" t="inlineStr"/>
    </row>
    <row r="2387" ht="15" customHeight="1">
      <c r="A2387" t="inlineStr">
        <is>
          <t>A 59425-2019</t>
        </is>
      </c>
      <c r="B2387" s="1" t="n">
        <v>43775</v>
      </c>
      <c r="C2387" s="1" t="n">
        <v>45182</v>
      </c>
      <c r="D2387" t="inlineStr">
        <is>
          <t>JÄMTLANDS LÄN</t>
        </is>
      </c>
      <c r="E2387" t="inlineStr">
        <is>
          <t>STRÖMSUND</t>
        </is>
      </c>
      <c r="F2387" t="inlineStr">
        <is>
          <t>SCA</t>
        </is>
      </c>
      <c r="G2387" t="n">
        <v>1.9</v>
      </c>
      <c r="H2387" t="n">
        <v>0</v>
      </c>
      <c r="I2387" t="n">
        <v>0</v>
      </c>
      <c r="J2387" t="n">
        <v>0</v>
      </c>
      <c r="K2387" t="n">
        <v>0</v>
      </c>
      <c r="L2387" t="n">
        <v>0</v>
      </c>
      <c r="M2387" t="n">
        <v>0</v>
      </c>
      <c r="N2387" t="n">
        <v>0</v>
      </c>
      <c r="O2387" t="n">
        <v>0</v>
      </c>
      <c r="P2387" t="n">
        <v>0</v>
      </c>
      <c r="Q2387" t="n">
        <v>0</v>
      </c>
      <c r="R2387" s="2" t="inlineStr"/>
    </row>
    <row r="2388" ht="15" customHeight="1">
      <c r="A2388" t="inlineStr">
        <is>
          <t>A 59456-2019</t>
        </is>
      </c>
      <c r="B2388" s="1" t="n">
        <v>43776</v>
      </c>
      <c r="C2388" s="1" t="n">
        <v>45182</v>
      </c>
      <c r="D2388" t="inlineStr">
        <is>
          <t>JÄMTLANDS LÄN</t>
        </is>
      </c>
      <c r="E2388" t="inlineStr">
        <is>
          <t>STRÖMSUND</t>
        </is>
      </c>
      <c r="G2388" t="n">
        <v>2.1</v>
      </c>
      <c r="H2388" t="n">
        <v>0</v>
      </c>
      <c r="I2388" t="n">
        <v>0</v>
      </c>
      <c r="J2388" t="n">
        <v>0</v>
      </c>
      <c r="K2388" t="n">
        <v>0</v>
      </c>
      <c r="L2388" t="n">
        <v>0</v>
      </c>
      <c r="M2388" t="n">
        <v>0</v>
      </c>
      <c r="N2388" t="n">
        <v>0</v>
      </c>
      <c r="O2388" t="n">
        <v>0</v>
      </c>
      <c r="P2388" t="n">
        <v>0</v>
      </c>
      <c r="Q2388" t="n">
        <v>0</v>
      </c>
      <c r="R2388" s="2" t="inlineStr"/>
    </row>
    <row r="2389" ht="15" customHeight="1">
      <c r="A2389" t="inlineStr">
        <is>
          <t>A 60186-2019</t>
        </is>
      </c>
      <c r="B2389" s="1" t="n">
        <v>43776</v>
      </c>
      <c r="C2389" s="1" t="n">
        <v>45182</v>
      </c>
      <c r="D2389" t="inlineStr">
        <is>
          <t>JÄMTLANDS LÄN</t>
        </is>
      </c>
      <c r="E2389" t="inlineStr">
        <is>
          <t>BRÄCKE</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60240-2019</t>
        </is>
      </c>
      <c r="B2390" s="1" t="n">
        <v>43776</v>
      </c>
      <c r="C2390" s="1" t="n">
        <v>45182</v>
      </c>
      <c r="D2390" t="inlineStr">
        <is>
          <t>JÄMTLANDS LÄN</t>
        </is>
      </c>
      <c r="E2390" t="inlineStr">
        <is>
          <t>ÖSTERSUND</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59733-2019</t>
        </is>
      </c>
      <c r="B2391" s="1" t="n">
        <v>43776</v>
      </c>
      <c r="C2391" s="1" t="n">
        <v>45182</v>
      </c>
      <c r="D2391" t="inlineStr">
        <is>
          <t>JÄMTLANDS LÄN</t>
        </is>
      </c>
      <c r="E2391" t="inlineStr">
        <is>
          <t>HÄRJEDALEN</t>
        </is>
      </c>
      <c r="G2391" t="n">
        <v>1.9</v>
      </c>
      <c r="H2391" t="n">
        <v>0</v>
      </c>
      <c r="I2391" t="n">
        <v>0</v>
      </c>
      <c r="J2391" t="n">
        <v>0</v>
      </c>
      <c r="K2391" t="n">
        <v>0</v>
      </c>
      <c r="L2391" t="n">
        <v>0</v>
      </c>
      <c r="M2391" t="n">
        <v>0</v>
      </c>
      <c r="N2391" t="n">
        <v>0</v>
      </c>
      <c r="O2391" t="n">
        <v>0</v>
      </c>
      <c r="P2391" t="n">
        <v>0</v>
      </c>
      <c r="Q2391" t="n">
        <v>0</v>
      </c>
      <c r="R2391" s="2" t="inlineStr"/>
    </row>
    <row r="2392" ht="15" customHeight="1">
      <c r="A2392" t="inlineStr">
        <is>
          <t>A 59672-2019</t>
        </is>
      </c>
      <c r="B2392" s="1" t="n">
        <v>43776</v>
      </c>
      <c r="C2392" s="1" t="n">
        <v>45182</v>
      </c>
      <c r="D2392" t="inlineStr">
        <is>
          <t>JÄMTLANDS LÄN</t>
        </is>
      </c>
      <c r="E2392" t="inlineStr">
        <is>
          <t>KROKOM</t>
        </is>
      </c>
      <c r="F2392" t="inlineStr">
        <is>
          <t>Övriga Aktiebolag</t>
        </is>
      </c>
      <c r="G2392" t="n">
        <v>3.1</v>
      </c>
      <c r="H2392" t="n">
        <v>0</v>
      </c>
      <c r="I2392" t="n">
        <v>0</v>
      </c>
      <c r="J2392" t="n">
        <v>0</v>
      </c>
      <c r="K2392" t="n">
        <v>0</v>
      </c>
      <c r="L2392" t="n">
        <v>0</v>
      </c>
      <c r="M2392" t="n">
        <v>0</v>
      </c>
      <c r="N2392" t="n">
        <v>0</v>
      </c>
      <c r="O2392" t="n">
        <v>0</v>
      </c>
      <c r="P2392" t="n">
        <v>0</v>
      </c>
      <c r="Q2392" t="n">
        <v>0</v>
      </c>
      <c r="R2392" s="2" t="inlineStr"/>
    </row>
    <row r="2393" ht="15" customHeight="1">
      <c r="A2393" t="inlineStr">
        <is>
          <t>A 59588-2019</t>
        </is>
      </c>
      <c r="B2393" s="1" t="n">
        <v>43776</v>
      </c>
      <c r="C2393" s="1" t="n">
        <v>45182</v>
      </c>
      <c r="D2393" t="inlineStr">
        <is>
          <t>JÄMTLANDS LÄN</t>
        </is>
      </c>
      <c r="E2393" t="inlineStr">
        <is>
          <t>KROKOM</t>
        </is>
      </c>
      <c r="F2393" t="inlineStr">
        <is>
          <t>Övriga Aktiebolag</t>
        </is>
      </c>
      <c r="G2393" t="n">
        <v>9</v>
      </c>
      <c r="H2393" t="n">
        <v>0</v>
      </c>
      <c r="I2393" t="n">
        <v>0</v>
      </c>
      <c r="J2393" t="n">
        <v>0</v>
      </c>
      <c r="K2393" t="n">
        <v>0</v>
      </c>
      <c r="L2393" t="n">
        <v>0</v>
      </c>
      <c r="M2393" t="n">
        <v>0</v>
      </c>
      <c r="N2393" t="n">
        <v>0</v>
      </c>
      <c r="O2393" t="n">
        <v>0</v>
      </c>
      <c r="P2393" t="n">
        <v>0</v>
      </c>
      <c r="Q2393" t="n">
        <v>0</v>
      </c>
      <c r="R2393" s="2" t="inlineStr"/>
    </row>
    <row r="2394" ht="15" customHeight="1">
      <c r="A2394" t="inlineStr">
        <is>
          <t>A 60001-2019</t>
        </is>
      </c>
      <c r="B2394" s="1" t="n">
        <v>43777</v>
      </c>
      <c r="C2394" s="1" t="n">
        <v>45182</v>
      </c>
      <c r="D2394" t="inlineStr">
        <is>
          <t>JÄMTLANDS LÄN</t>
        </is>
      </c>
      <c r="E2394" t="inlineStr">
        <is>
          <t>ÖSTERSUND</t>
        </is>
      </c>
      <c r="G2394" t="n">
        <v>3.2</v>
      </c>
      <c r="H2394" t="n">
        <v>0</v>
      </c>
      <c r="I2394" t="n">
        <v>0</v>
      </c>
      <c r="J2394" t="n">
        <v>0</v>
      </c>
      <c r="K2394" t="n">
        <v>0</v>
      </c>
      <c r="L2394" t="n">
        <v>0</v>
      </c>
      <c r="M2394" t="n">
        <v>0</v>
      </c>
      <c r="N2394" t="n">
        <v>0</v>
      </c>
      <c r="O2394" t="n">
        <v>0</v>
      </c>
      <c r="P2394" t="n">
        <v>0</v>
      </c>
      <c r="Q2394" t="n">
        <v>0</v>
      </c>
      <c r="R2394" s="2" t="inlineStr"/>
    </row>
    <row r="2395" ht="15" customHeight="1">
      <c r="A2395" t="inlineStr">
        <is>
          <t>A 60018-2019</t>
        </is>
      </c>
      <c r="B2395" s="1" t="n">
        <v>43777</v>
      </c>
      <c r="C2395" s="1" t="n">
        <v>45182</v>
      </c>
      <c r="D2395" t="inlineStr">
        <is>
          <t>JÄMTLANDS LÄN</t>
        </is>
      </c>
      <c r="E2395" t="inlineStr">
        <is>
          <t>BRÄCKE</t>
        </is>
      </c>
      <c r="F2395" t="inlineStr">
        <is>
          <t>Övriga Aktiebolag</t>
        </is>
      </c>
      <c r="G2395" t="n">
        <v>15.2</v>
      </c>
      <c r="H2395" t="n">
        <v>0</v>
      </c>
      <c r="I2395" t="n">
        <v>0</v>
      </c>
      <c r="J2395" t="n">
        <v>0</v>
      </c>
      <c r="K2395" t="n">
        <v>0</v>
      </c>
      <c r="L2395" t="n">
        <v>0</v>
      </c>
      <c r="M2395" t="n">
        <v>0</v>
      </c>
      <c r="N2395" t="n">
        <v>0</v>
      </c>
      <c r="O2395" t="n">
        <v>0</v>
      </c>
      <c r="P2395" t="n">
        <v>0</v>
      </c>
      <c r="Q2395" t="n">
        <v>0</v>
      </c>
      <c r="R2395" s="2" t="inlineStr"/>
    </row>
    <row r="2396" ht="15" customHeight="1">
      <c r="A2396" t="inlineStr">
        <is>
          <t>A 60112-2019</t>
        </is>
      </c>
      <c r="B2396" s="1" t="n">
        <v>43777</v>
      </c>
      <c r="C2396" s="1" t="n">
        <v>45182</v>
      </c>
      <c r="D2396" t="inlineStr">
        <is>
          <t>JÄMTLANDS LÄN</t>
        </is>
      </c>
      <c r="E2396" t="inlineStr">
        <is>
          <t>STRÖMSUND</t>
        </is>
      </c>
      <c r="F2396" t="inlineStr">
        <is>
          <t>SCA</t>
        </is>
      </c>
      <c r="G2396" t="n">
        <v>5.7</v>
      </c>
      <c r="H2396" t="n">
        <v>0</v>
      </c>
      <c r="I2396" t="n">
        <v>0</v>
      </c>
      <c r="J2396" t="n">
        <v>0</v>
      </c>
      <c r="K2396" t="n">
        <v>0</v>
      </c>
      <c r="L2396" t="n">
        <v>0</v>
      </c>
      <c r="M2396" t="n">
        <v>0</v>
      </c>
      <c r="N2396" t="n">
        <v>0</v>
      </c>
      <c r="O2396" t="n">
        <v>0</v>
      </c>
      <c r="P2396" t="n">
        <v>0</v>
      </c>
      <c r="Q2396" t="n">
        <v>0</v>
      </c>
      <c r="R2396" s="2" t="inlineStr"/>
    </row>
    <row r="2397" ht="15" customHeight="1">
      <c r="A2397" t="inlineStr">
        <is>
          <t>A 60093-2019</t>
        </is>
      </c>
      <c r="B2397" s="1" t="n">
        <v>43777</v>
      </c>
      <c r="C2397" s="1" t="n">
        <v>45182</v>
      </c>
      <c r="D2397" t="inlineStr">
        <is>
          <t>JÄMTLANDS LÄN</t>
        </is>
      </c>
      <c r="E2397" t="inlineStr">
        <is>
          <t>ÅRE</t>
        </is>
      </c>
      <c r="G2397" t="n">
        <v>8.6</v>
      </c>
      <c r="H2397" t="n">
        <v>0</v>
      </c>
      <c r="I2397" t="n">
        <v>0</v>
      </c>
      <c r="J2397" t="n">
        <v>0</v>
      </c>
      <c r="K2397" t="n">
        <v>0</v>
      </c>
      <c r="L2397" t="n">
        <v>0</v>
      </c>
      <c r="M2397" t="n">
        <v>0</v>
      </c>
      <c r="N2397" t="n">
        <v>0</v>
      </c>
      <c r="O2397" t="n">
        <v>0</v>
      </c>
      <c r="P2397" t="n">
        <v>0</v>
      </c>
      <c r="Q2397" t="n">
        <v>0</v>
      </c>
      <c r="R2397" s="2" t="inlineStr"/>
    </row>
    <row r="2398" ht="15" customHeight="1">
      <c r="A2398" t="inlineStr">
        <is>
          <t>A 60119-2019</t>
        </is>
      </c>
      <c r="B2398" s="1" t="n">
        <v>43777</v>
      </c>
      <c r="C2398" s="1" t="n">
        <v>45182</v>
      </c>
      <c r="D2398" t="inlineStr">
        <is>
          <t>JÄMTLANDS LÄN</t>
        </is>
      </c>
      <c r="E2398" t="inlineStr">
        <is>
          <t>RAGUNDA</t>
        </is>
      </c>
      <c r="F2398" t="inlineStr">
        <is>
          <t>SCA</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61411-2019</t>
        </is>
      </c>
      <c r="B2399" s="1" t="n">
        <v>43780</v>
      </c>
      <c r="C2399" s="1" t="n">
        <v>45182</v>
      </c>
      <c r="D2399" t="inlineStr">
        <is>
          <t>JÄMTLANDS LÄN</t>
        </is>
      </c>
      <c r="E2399" t="inlineStr">
        <is>
          <t>STRÖMSUND</t>
        </is>
      </c>
      <c r="G2399" t="n">
        <v>2.3</v>
      </c>
      <c r="H2399" t="n">
        <v>0</v>
      </c>
      <c r="I2399" t="n">
        <v>0</v>
      </c>
      <c r="J2399" t="n">
        <v>0</v>
      </c>
      <c r="K2399" t="n">
        <v>0</v>
      </c>
      <c r="L2399" t="n">
        <v>0</v>
      </c>
      <c r="M2399" t="n">
        <v>0</v>
      </c>
      <c r="N2399" t="n">
        <v>0</v>
      </c>
      <c r="O2399" t="n">
        <v>0</v>
      </c>
      <c r="P2399" t="n">
        <v>0</v>
      </c>
      <c r="Q2399" t="n">
        <v>0</v>
      </c>
      <c r="R2399" s="2" t="inlineStr"/>
    </row>
    <row r="2400" ht="15" customHeight="1">
      <c r="A2400" t="inlineStr">
        <is>
          <t>A 61703-2019</t>
        </is>
      </c>
      <c r="B2400" s="1" t="n">
        <v>43780</v>
      </c>
      <c r="C2400" s="1" t="n">
        <v>45182</v>
      </c>
      <c r="D2400" t="inlineStr">
        <is>
          <t>JÄMTLANDS LÄN</t>
        </is>
      </c>
      <c r="E2400" t="inlineStr">
        <is>
          <t>STRÖMSUND</t>
        </is>
      </c>
      <c r="G2400" t="n">
        <v>4</v>
      </c>
      <c r="H2400" t="n">
        <v>0</v>
      </c>
      <c r="I2400" t="n">
        <v>0</v>
      </c>
      <c r="J2400" t="n">
        <v>0</v>
      </c>
      <c r="K2400" t="n">
        <v>0</v>
      </c>
      <c r="L2400" t="n">
        <v>0</v>
      </c>
      <c r="M2400" t="n">
        <v>0</v>
      </c>
      <c r="N2400" t="n">
        <v>0</v>
      </c>
      <c r="O2400" t="n">
        <v>0</v>
      </c>
      <c r="P2400" t="n">
        <v>0</v>
      </c>
      <c r="Q2400" t="n">
        <v>0</v>
      </c>
      <c r="R2400" s="2" t="inlineStr"/>
    </row>
    <row r="2401" ht="15" customHeight="1">
      <c r="A2401" t="inlineStr">
        <is>
          <t>A 60155-2019</t>
        </is>
      </c>
      <c r="B2401" s="1" t="n">
        <v>43780</v>
      </c>
      <c r="C2401" s="1" t="n">
        <v>45182</v>
      </c>
      <c r="D2401" t="inlineStr">
        <is>
          <t>JÄMTLANDS LÄN</t>
        </is>
      </c>
      <c r="E2401" t="inlineStr">
        <is>
          <t>BRÄCKE</t>
        </is>
      </c>
      <c r="G2401" t="n">
        <v>2.4</v>
      </c>
      <c r="H2401" t="n">
        <v>0</v>
      </c>
      <c r="I2401" t="n">
        <v>0</v>
      </c>
      <c r="J2401" t="n">
        <v>0</v>
      </c>
      <c r="K2401" t="n">
        <v>0</v>
      </c>
      <c r="L2401" t="n">
        <v>0</v>
      </c>
      <c r="M2401" t="n">
        <v>0</v>
      </c>
      <c r="N2401" t="n">
        <v>0</v>
      </c>
      <c r="O2401" t="n">
        <v>0</v>
      </c>
      <c r="P2401" t="n">
        <v>0</v>
      </c>
      <c r="Q2401" t="n">
        <v>0</v>
      </c>
      <c r="R2401" s="2" t="inlineStr"/>
    </row>
    <row r="2402" ht="15" customHeight="1">
      <c r="A2402" t="inlineStr">
        <is>
          <t>A 61705-2019</t>
        </is>
      </c>
      <c r="B2402" s="1" t="n">
        <v>43780</v>
      </c>
      <c r="C2402" s="1" t="n">
        <v>45182</v>
      </c>
      <c r="D2402" t="inlineStr">
        <is>
          <t>JÄMTLANDS LÄN</t>
        </is>
      </c>
      <c r="E2402" t="inlineStr">
        <is>
          <t>STRÖMSUND</t>
        </is>
      </c>
      <c r="G2402" t="n">
        <v>6.4</v>
      </c>
      <c r="H2402" t="n">
        <v>0</v>
      </c>
      <c r="I2402" t="n">
        <v>0</v>
      </c>
      <c r="J2402" t="n">
        <v>0</v>
      </c>
      <c r="K2402" t="n">
        <v>0</v>
      </c>
      <c r="L2402" t="n">
        <v>0</v>
      </c>
      <c r="M2402" t="n">
        <v>0</v>
      </c>
      <c r="N2402" t="n">
        <v>0</v>
      </c>
      <c r="O2402" t="n">
        <v>0</v>
      </c>
      <c r="P2402" t="n">
        <v>0</v>
      </c>
      <c r="Q2402" t="n">
        <v>0</v>
      </c>
      <c r="R2402" s="2" t="inlineStr"/>
    </row>
    <row r="2403" ht="15" customHeight="1">
      <c r="A2403" t="inlineStr">
        <is>
          <t>A 60213-2019</t>
        </is>
      </c>
      <c r="B2403" s="1" t="n">
        <v>43780</v>
      </c>
      <c r="C2403" s="1" t="n">
        <v>45182</v>
      </c>
      <c r="D2403" t="inlineStr">
        <is>
          <t>JÄMTLANDS LÄN</t>
        </is>
      </c>
      <c r="E2403" t="inlineStr">
        <is>
          <t>HÄRJEDALEN</t>
        </is>
      </c>
      <c r="F2403" t="inlineStr">
        <is>
          <t>Holmen skog AB</t>
        </is>
      </c>
      <c r="G2403" t="n">
        <v>4.7</v>
      </c>
      <c r="H2403" t="n">
        <v>0</v>
      </c>
      <c r="I2403" t="n">
        <v>0</v>
      </c>
      <c r="J2403" t="n">
        <v>0</v>
      </c>
      <c r="K2403" t="n">
        <v>0</v>
      </c>
      <c r="L2403" t="n">
        <v>0</v>
      </c>
      <c r="M2403" t="n">
        <v>0</v>
      </c>
      <c r="N2403" t="n">
        <v>0</v>
      </c>
      <c r="O2403" t="n">
        <v>0</v>
      </c>
      <c r="P2403" t="n">
        <v>0</v>
      </c>
      <c r="Q2403" t="n">
        <v>0</v>
      </c>
      <c r="R2403" s="2" t="inlineStr"/>
    </row>
    <row r="2404" ht="15" customHeight="1">
      <c r="A2404" t="inlineStr">
        <is>
          <t>A 60536-2019</t>
        </is>
      </c>
      <c r="B2404" s="1" t="n">
        <v>43781</v>
      </c>
      <c r="C2404" s="1" t="n">
        <v>45182</v>
      </c>
      <c r="D2404" t="inlineStr">
        <is>
          <t>JÄMTLANDS LÄN</t>
        </is>
      </c>
      <c r="E2404" t="inlineStr">
        <is>
          <t>STRÖMSUND</t>
        </is>
      </c>
      <c r="G2404" t="n">
        <v>0.2</v>
      </c>
      <c r="H2404" t="n">
        <v>0</v>
      </c>
      <c r="I2404" t="n">
        <v>0</v>
      </c>
      <c r="J2404" t="n">
        <v>0</v>
      </c>
      <c r="K2404" t="n">
        <v>0</v>
      </c>
      <c r="L2404" t="n">
        <v>0</v>
      </c>
      <c r="M2404" t="n">
        <v>0</v>
      </c>
      <c r="N2404" t="n">
        <v>0</v>
      </c>
      <c r="O2404" t="n">
        <v>0</v>
      </c>
      <c r="P2404" t="n">
        <v>0</v>
      </c>
      <c r="Q2404" t="n">
        <v>0</v>
      </c>
      <c r="R2404" s="2" t="inlineStr"/>
    </row>
    <row r="2405" ht="15" customHeight="1">
      <c r="A2405" t="inlineStr">
        <is>
          <t>A 60569-2019</t>
        </is>
      </c>
      <c r="B2405" s="1" t="n">
        <v>43781</v>
      </c>
      <c r="C2405" s="1" t="n">
        <v>45182</v>
      </c>
      <c r="D2405" t="inlineStr">
        <is>
          <t>JÄMTLANDS LÄN</t>
        </is>
      </c>
      <c r="E2405" t="inlineStr">
        <is>
          <t>STRÖMSUND</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60604-2019</t>
        </is>
      </c>
      <c r="B2406" s="1" t="n">
        <v>43781</v>
      </c>
      <c r="C2406" s="1" t="n">
        <v>45182</v>
      </c>
      <c r="D2406" t="inlineStr">
        <is>
          <t>JÄMTLANDS LÄN</t>
        </is>
      </c>
      <c r="E2406" t="inlineStr">
        <is>
          <t>ÖSTERSUND</t>
        </is>
      </c>
      <c r="G2406" t="n">
        <v>8.9</v>
      </c>
      <c r="H2406" t="n">
        <v>0</v>
      </c>
      <c r="I2406" t="n">
        <v>0</v>
      </c>
      <c r="J2406" t="n">
        <v>0</v>
      </c>
      <c r="K2406" t="n">
        <v>0</v>
      </c>
      <c r="L2406" t="n">
        <v>0</v>
      </c>
      <c r="M2406" t="n">
        <v>0</v>
      </c>
      <c r="N2406" t="n">
        <v>0</v>
      </c>
      <c r="O2406" t="n">
        <v>0</v>
      </c>
      <c r="P2406" t="n">
        <v>0</v>
      </c>
      <c r="Q2406" t="n">
        <v>0</v>
      </c>
      <c r="R2406" s="2" t="inlineStr"/>
    </row>
    <row r="2407" ht="15" customHeight="1">
      <c r="A2407" t="inlineStr">
        <is>
          <t>A 60669-2019</t>
        </is>
      </c>
      <c r="B2407" s="1" t="n">
        <v>43781</v>
      </c>
      <c r="C2407" s="1" t="n">
        <v>45182</v>
      </c>
      <c r="D2407" t="inlineStr">
        <is>
          <t>JÄMTLANDS LÄN</t>
        </is>
      </c>
      <c r="E2407" t="inlineStr">
        <is>
          <t>ÖSTERSUND</t>
        </is>
      </c>
      <c r="G2407" t="n">
        <v>3.6</v>
      </c>
      <c r="H2407" t="n">
        <v>0</v>
      </c>
      <c r="I2407" t="n">
        <v>0</v>
      </c>
      <c r="J2407" t="n">
        <v>0</v>
      </c>
      <c r="K2407" t="n">
        <v>0</v>
      </c>
      <c r="L2407" t="n">
        <v>0</v>
      </c>
      <c r="M2407" t="n">
        <v>0</v>
      </c>
      <c r="N2407" t="n">
        <v>0</v>
      </c>
      <c r="O2407" t="n">
        <v>0</v>
      </c>
      <c r="P2407" t="n">
        <v>0</v>
      </c>
      <c r="Q2407" t="n">
        <v>0</v>
      </c>
      <c r="R2407" s="2" t="inlineStr"/>
    </row>
    <row r="2408" ht="15" customHeight="1">
      <c r="A2408" t="inlineStr">
        <is>
          <t>A 60867-2019</t>
        </is>
      </c>
      <c r="B2408" s="1" t="n">
        <v>43781</v>
      </c>
      <c r="C2408" s="1" t="n">
        <v>45182</v>
      </c>
      <c r="D2408" t="inlineStr">
        <is>
          <t>JÄMTLANDS LÄN</t>
        </is>
      </c>
      <c r="E2408" t="inlineStr">
        <is>
          <t>KROKOM</t>
        </is>
      </c>
      <c r="G2408" t="n">
        <v>1.7</v>
      </c>
      <c r="H2408" t="n">
        <v>0</v>
      </c>
      <c r="I2408" t="n">
        <v>0</v>
      </c>
      <c r="J2408" t="n">
        <v>0</v>
      </c>
      <c r="K2408" t="n">
        <v>0</v>
      </c>
      <c r="L2408" t="n">
        <v>0</v>
      </c>
      <c r="M2408" t="n">
        <v>0</v>
      </c>
      <c r="N2408" t="n">
        <v>0</v>
      </c>
      <c r="O2408" t="n">
        <v>0</v>
      </c>
      <c r="P2408" t="n">
        <v>0</v>
      </c>
      <c r="Q2408" t="n">
        <v>0</v>
      </c>
      <c r="R2408" s="2" t="inlineStr"/>
    </row>
    <row r="2409" ht="15" customHeight="1">
      <c r="A2409" t="inlineStr">
        <is>
          <t>A 62340-2019</t>
        </is>
      </c>
      <c r="B2409" s="1" t="n">
        <v>43782</v>
      </c>
      <c r="C2409" s="1" t="n">
        <v>45182</v>
      </c>
      <c r="D2409" t="inlineStr">
        <is>
          <t>JÄMTLANDS LÄN</t>
        </is>
      </c>
      <c r="E2409" t="inlineStr">
        <is>
          <t>RAGUNDA</t>
        </is>
      </c>
      <c r="G2409" t="n">
        <v>2.5</v>
      </c>
      <c r="H2409" t="n">
        <v>0</v>
      </c>
      <c r="I2409" t="n">
        <v>0</v>
      </c>
      <c r="J2409" t="n">
        <v>0</v>
      </c>
      <c r="K2409" t="n">
        <v>0</v>
      </c>
      <c r="L2409" t="n">
        <v>0</v>
      </c>
      <c r="M2409" t="n">
        <v>0</v>
      </c>
      <c r="N2409" t="n">
        <v>0</v>
      </c>
      <c r="O2409" t="n">
        <v>0</v>
      </c>
      <c r="P2409" t="n">
        <v>0</v>
      </c>
      <c r="Q2409" t="n">
        <v>0</v>
      </c>
      <c r="R2409" s="2" t="inlineStr"/>
    </row>
    <row r="2410" ht="15" customHeight="1">
      <c r="A2410" t="inlineStr">
        <is>
          <t>A 60919-2019</t>
        </is>
      </c>
      <c r="B2410" s="1" t="n">
        <v>43782</v>
      </c>
      <c r="C2410" s="1" t="n">
        <v>45182</v>
      </c>
      <c r="D2410" t="inlineStr">
        <is>
          <t>JÄMTLANDS LÄN</t>
        </is>
      </c>
      <c r="E2410" t="inlineStr">
        <is>
          <t>HÄRJEDALEN</t>
        </is>
      </c>
      <c r="G2410" t="n">
        <v>6.4</v>
      </c>
      <c r="H2410" t="n">
        <v>0</v>
      </c>
      <c r="I2410" t="n">
        <v>0</v>
      </c>
      <c r="J2410" t="n">
        <v>0</v>
      </c>
      <c r="K2410" t="n">
        <v>0</v>
      </c>
      <c r="L2410" t="n">
        <v>0</v>
      </c>
      <c r="M2410" t="n">
        <v>0</v>
      </c>
      <c r="N2410" t="n">
        <v>0</v>
      </c>
      <c r="O2410" t="n">
        <v>0</v>
      </c>
      <c r="P2410" t="n">
        <v>0</v>
      </c>
      <c r="Q2410" t="n">
        <v>0</v>
      </c>
      <c r="R2410" s="2" t="inlineStr"/>
    </row>
    <row r="2411" ht="15" customHeight="1">
      <c r="A2411" t="inlineStr">
        <is>
          <t>A 60955-2019</t>
        </is>
      </c>
      <c r="B2411" s="1" t="n">
        <v>43782</v>
      </c>
      <c r="C2411" s="1" t="n">
        <v>45182</v>
      </c>
      <c r="D2411" t="inlineStr">
        <is>
          <t>JÄMTLANDS LÄN</t>
        </is>
      </c>
      <c r="E2411" t="inlineStr">
        <is>
          <t>STRÖMSUND</t>
        </is>
      </c>
      <c r="F2411" t="inlineStr">
        <is>
          <t>Holmen skog AB</t>
        </is>
      </c>
      <c r="G2411" t="n">
        <v>6.6</v>
      </c>
      <c r="H2411" t="n">
        <v>0</v>
      </c>
      <c r="I2411" t="n">
        <v>0</v>
      </c>
      <c r="J2411" t="n">
        <v>0</v>
      </c>
      <c r="K2411" t="n">
        <v>0</v>
      </c>
      <c r="L2411" t="n">
        <v>0</v>
      </c>
      <c r="M2411" t="n">
        <v>0</v>
      </c>
      <c r="N2411" t="n">
        <v>0</v>
      </c>
      <c r="O2411" t="n">
        <v>0</v>
      </c>
      <c r="P2411" t="n">
        <v>0</v>
      </c>
      <c r="Q2411" t="n">
        <v>0</v>
      </c>
      <c r="R2411" s="2" t="inlineStr"/>
    </row>
    <row r="2412" ht="15" customHeight="1">
      <c r="A2412" t="inlineStr">
        <is>
          <t>A 61018-2019</t>
        </is>
      </c>
      <c r="B2412" s="1" t="n">
        <v>43782</v>
      </c>
      <c r="C2412" s="1" t="n">
        <v>45182</v>
      </c>
      <c r="D2412" t="inlineStr">
        <is>
          <t>JÄMTLANDS LÄN</t>
        </is>
      </c>
      <c r="E2412" t="inlineStr">
        <is>
          <t>KROKOM</t>
        </is>
      </c>
      <c r="F2412" t="inlineStr">
        <is>
          <t>Övriga Aktiebolag</t>
        </is>
      </c>
      <c r="G2412" t="n">
        <v>18.6</v>
      </c>
      <c r="H2412" t="n">
        <v>0</v>
      </c>
      <c r="I2412" t="n">
        <v>0</v>
      </c>
      <c r="J2412" t="n">
        <v>0</v>
      </c>
      <c r="K2412" t="n">
        <v>0</v>
      </c>
      <c r="L2412" t="n">
        <v>0</v>
      </c>
      <c r="M2412" t="n">
        <v>0</v>
      </c>
      <c r="N2412" t="n">
        <v>0</v>
      </c>
      <c r="O2412" t="n">
        <v>0</v>
      </c>
      <c r="P2412" t="n">
        <v>0</v>
      </c>
      <c r="Q2412" t="n">
        <v>0</v>
      </c>
      <c r="R2412" s="2" t="inlineStr"/>
    </row>
    <row r="2413" ht="15" customHeight="1">
      <c r="A2413" t="inlineStr">
        <is>
          <t>A 61122-2019</t>
        </is>
      </c>
      <c r="B2413" s="1" t="n">
        <v>43782</v>
      </c>
      <c r="C2413" s="1" t="n">
        <v>45182</v>
      </c>
      <c r="D2413" t="inlineStr">
        <is>
          <t>JÄMTLANDS LÄN</t>
        </is>
      </c>
      <c r="E2413" t="inlineStr">
        <is>
          <t>STRÖMSUND</t>
        </is>
      </c>
      <c r="F2413" t="inlineStr">
        <is>
          <t>Holmen skog AB</t>
        </is>
      </c>
      <c r="G2413" t="n">
        <v>0.9</v>
      </c>
      <c r="H2413" t="n">
        <v>0</v>
      </c>
      <c r="I2413" t="n">
        <v>0</v>
      </c>
      <c r="J2413" t="n">
        <v>0</v>
      </c>
      <c r="K2413" t="n">
        <v>0</v>
      </c>
      <c r="L2413" t="n">
        <v>0</v>
      </c>
      <c r="M2413" t="n">
        <v>0</v>
      </c>
      <c r="N2413" t="n">
        <v>0</v>
      </c>
      <c r="O2413" t="n">
        <v>0</v>
      </c>
      <c r="P2413" t="n">
        <v>0</v>
      </c>
      <c r="Q2413" t="n">
        <v>0</v>
      </c>
      <c r="R2413" s="2" t="inlineStr"/>
    </row>
    <row r="2414" ht="15" customHeight="1">
      <c r="A2414" t="inlineStr">
        <is>
          <t>A 62256-2019</t>
        </is>
      </c>
      <c r="B2414" s="1" t="n">
        <v>43782</v>
      </c>
      <c r="C2414" s="1" t="n">
        <v>45182</v>
      </c>
      <c r="D2414" t="inlineStr">
        <is>
          <t>JÄMTLANDS LÄN</t>
        </is>
      </c>
      <c r="E2414" t="inlineStr">
        <is>
          <t>STRÖMSUND</t>
        </is>
      </c>
      <c r="G2414" t="n">
        <v>1.6</v>
      </c>
      <c r="H2414" t="n">
        <v>0</v>
      </c>
      <c r="I2414" t="n">
        <v>0</v>
      </c>
      <c r="J2414" t="n">
        <v>0</v>
      </c>
      <c r="K2414" t="n">
        <v>0</v>
      </c>
      <c r="L2414" t="n">
        <v>0</v>
      </c>
      <c r="M2414" t="n">
        <v>0</v>
      </c>
      <c r="N2414" t="n">
        <v>0</v>
      </c>
      <c r="O2414" t="n">
        <v>0</v>
      </c>
      <c r="P2414" t="n">
        <v>0</v>
      </c>
      <c r="Q2414" t="n">
        <v>0</v>
      </c>
      <c r="R2414" s="2" t="inlineStr"/>
    </row>
    <row r="2415" ht="15" customHeight="1">
      <c r="A2415" t="inlineStr">
        <is>
          <t>A 61082-2019</t>
        </is>
      </c>
      <c r="B2415" s="1" t="n">
        <v>43782</v>
      </c>
      <c r="C2415" s="1" t="n">
        <v>45182</v>
      </c>
      <c r="D2415" t="inlineStr">
        <is>
          <t>JÄMTLANDS LÄN</t>
        </is>
      </c>
      <c r="E2415" t="inlineStr">
        <is>
          <t>BRÄCKE</t>
        </is>
      </c>
      <c r="G2415" t="n">
        <v>20.1</v>
      </c>
      <c r="H2415" t="n">
        <v>0</v>
      </c>
      <c r="I2415" t="n">
        <v>0</v>
      </c>
      <c r="J2415" t="n">
        <v>0</v>
      </c>
      <c r="K2415" t="n">
        <v>0</v>
      </c>
      <c r="L2415" t="n">
        <v>0</v>
      </c>
      <c r="M2415" t="n">
        <v>0</v>
      </c>
      <c r="N2415" t="n">
        <v>0</v>
      </c>
      <c r="O2415" t="n">
        <v>0</v>
      </c>
      <c r="P2415" t="n">
        <v>0</v>
      </c>
      <c r="Q2415" t="n">
        <v>0</v>
      </c>
      <c r="R2415" s="2" t="inlineStr"/>
    </row>
    <row r="2416" ht="15" customHeight="1">
      <c r="A2416" t="inlineStr">
        <is>
          <t>A 62335-2019</t>
        </is>
      </c>
      <c r="B2416" s="1" t="n">
        <v>43782</v>
      </c>
      <c r="C2416" s="1" t="n">
        <v>45182</v>
      </c>
      <c r="D2416" t="inlineStr">
        <is>
          <t>JÄMTLANDS LÄN</t>
        </is>
      </c>
      <c r="E2416" t="inlineStr">
        <is>
          <t>BRÄCKE</t>
        </is>
      </c>
      <c r="G2416" t="n">
        <v>5.7</v>
      </c>
      <c r="H2416" t="n">
        <v>0</v>
      </c>
      <c r="I2416" t="n">
        <v>0</v>
      </c>
      <c r="J2416" t="n">
        <v>0</v>
      </c>
      <c r="K2416" t="n">
        <v>0</v>
      </c>
      <c r="L2416" t="n">
        <v>0</v>
      </c>
      <c r="M2416" t="n">
        <v>0</v>
      </c>
      <c r="N2416" t="n">
        <v>0</v>
      </c>
      <c r="O2416" t="n">
        <v>0</v>
      </c>
      <c r="P2416" t="n">
        <v>0</v>
      </c>
      <c r="Q2416" t="n">
        <v>0</v>
      </c>
      <c r="R2416" s="2" t="inlineStr"/>
    </row>
    <row r="2417" ht="15" customHeight="1">
      <c r="A2417" t="inlineStr">
        <is>
          <t>A 62342-2019</t>
        </is>
      </c>
      <c r="B2417" s="1" t="n">
        <v>43782</v>
      </c>
      <c r="C2417" s="1" t="n">
        <v>45182</v>
      </c>
      <c r="D2417" t="inlineStr">
        <is>
          <t>JÄMTLANDS LÄN</t>
        </is>
      </c>
      <c r="E2417" t="inlineStr">
        <is>
          <t>HÄRJEDALEN</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61514-2019</t>
        </is>
      </c>
      <c r="B2418" s="1" t="n">
        <v>43783</v>
      </c>
      <c r="C2418" s="1" t="n">
        <v>45182</v>
      </c>
      <c r="D2418" t="inlineStr">
        <is>
          <t>JÄMTLANDS LÄN</t>
        </is>
      </c>
      <c r="E2418" t="inlineStr">
        <is>
          <t>RAGUNDA</t>
        </is>
      </c>
      <c r="G2418" t="n">
        <v>2.3</v>
      </c>
      <c r="H2418" t="n">
        <v>0</v>
      </c>
      <c r="I2418" t="n">
        <v>0</v>
      </c>
      <c r="J2418" t="n">
        <v>0</v>
      </c>
      <c r="K2418" t="n">
        <v>0</v>
      </c>
      <c r="L2418" t="n">
        <v>0</v>
      </c>
      <c r="M2418" t="n">
        <v>0</v>
      </c>
      <c r="N2418" t="n">
        <v>0</v>
      </c>
      <c r="O2418" t="n">
        <v>0</v>
      </c>
      <c r="P2418" t="n">
        <v>0</v>
      </c>
      <c r="Q2418" t="n">
        <v>0</v>
      </c>
      <c r="R2418" s="2" t="inlineStr"/>
    </row>
    <row r="2419" ht="15" customHeight="1">
      <c r="A2419" t="inlineStr">
        <is>
          <t>A 61424-2019</t>
        </is>
      </c>
      <c r="B2419" s="1" t="n">
        <v>43783</v>
      </c>
      <c r="C2419" s="1" t="n">
        <v>45182</v>
      </c>
      <c r="D2419" t="inlineStr">
        <is>
          <t>JÄMTLANDS LÄN</t>
        </is>
      </c>
      <c r="E2419" t="inlineStr">
        <is>
          <t>KROKOM</t>
        </is>
      </c>
      <c r="F2419" t="inlineStr">
        <is>
          <t>Övriga Aktiebolag</t>
        </is>
      </c>
      <c r="G2419" t="n">
        <v>4.6</v>
      </c>
      <c r="H2419" t="n">
        <v>0</v>
      </c>
      <c r="I2419" t="n">
        <v>0</v>
      </c>
      <c r="J2419" t="n">
        <v>0</v>
      </c>
      <c r="K2419" t="n">
        <v>0</v>
      </c>
      <c r="L2419" t="n">
        <v>0</v>
      </c>
      <c r="M2419" t="n">
        <v>0</v>
      </c>
      <c r="N2419" t="n">
        <v>0</v>
      </c>
      <c r="O2419" t="n">
        <v>0</v>
      </c>
      <c r="P2419" t="n">
        <v>0</v>
      </c>
      <c r="Q2419" t="n">
        <v>0</v>
      </c>
      <c r="R2419" s="2" t="inlineStr"/>
    </row>
    <row r="2420" ht="15" customHeight="1">
      <c r="A2420" t="inlineStr">
        <is>
          <t>A 61472-2019</t>
        </is>
      </c>
      <c r="B2420" s="1" t="n">
        <v>43783</v>
      </c>
      <c r="C2420" s="1" t="n">
        <v>45182</v>
      </c>
      <c r="D2420" t="inlineStr">
        <is>
          <t>JÄMTLANDS LÄN</t>
        </is>
      </c>
      <c r="E2420" t="inlineStr">
        <is>
          <t>KROKOM</t>
        </is>
      </c>
      <c r="G2420" t="n">
        <v>13.8</v>
      </c>
      <c r="H2420" t="n">
        <v>0</v>
      </c>
      <c r="I2420" t="n">
        <v>0</v>
      </c>
      <c r="J2420" t="n">
        <v>0</v>
      </c>
      <c r="K2420" t="n">
        <v>0</v>
      </c>
      <c r="L2420" t="n">
        <v>0</v>
      </c>
      <c r="M2420" t="n">
        <v>0</v>
      </c>
      <c r="N2420" t="n">
        <v>0</v>
      </c>
      <c r="O2420" t="n">
        <v>0</v>
      </c>
      <c r="P2420" t="n">
        <v>0</v>
      </c>
      <c r="Q2420" t="n">
        <v>0</v>
      </c>
      <c r="R2420" s="2" t="inlineStr"/>
    </row>
    <row r="2421" ht="15" customHeight="1">
      <c r="A2421" t="inlineStr">
        <is>
          <t>A 62908-2019</t>
        </is>
      </c>
      <c r="B2421" s="1" t="n">
        <v>43783</v>
      </c>
      <c r="C2421" s="1" t="n">
        <v>45182</v>
      </c>
      <c r="D2421" t="inlineStr">
        <is>
          <t>JÄMTLANDS LÄN</t>
        </is>
      </c>
      <c r="E2421" t="inlineStr">
        <is>
          <t>BERG</t>
        </is>
      </c>
      <c r="G2421" t="n">
        <v>1.7</v>
      </c>
      <c r="H2421" t="n">
        <v>0</v>
      </c>
      <c r="I2421" t="n">
        <v>0</v>
      </c>
      <c r="J2421" t="n">
        <v>0</v>
      </c>
      <c r="K2421" t="n">
        <v>0</v>
      </c>
      <c r="L2421" t="n">
        <v>0</v>
      </c>
      <c r="M2421" t="n">
        <v>0</v>
      </c>
      <c r="N2421" t="n">
        <v>0</v>
      </c>
      <c r="O2421" t="n">
        <v>0</v>
      </c>
      <c r="P2421" t="n">
        <v>0</v>
      </c>
      <c r="Q2421" t="n">
        <v>0</v>
      </c>
      <c r="R2421" s="2" t="inlineStr"/>
    </row>
    <row r="2422" ht="15" customHeight="1">
      <c r="A2422" t="inlineStr">
        <is>
          <t>A 62400-2019</t>
        </is>
      </c>
      <c r="B2422" s="1" t="n">
        <v>43783</v>
      </c>
      <c r="C2422" s="1" t="n">
        <v>45182</v>
      </c>
      <c r="D2422" t="inlineStr">
        <is>
          <t>JÄMTLANDS LÄN</t>
        </is>
      </c>
      <c r="E2422" t="inlineStr">
        <is>
          <t>KROKOM</t>
        </is>
      </c>
      <c r="G2422" t="n">
        <v>6.4</v>
      </c>
      <c r="H2422" t="n">
        <v>0</v>
      </c>
      <c r="I2422" t="n">
        <v>0</v>
      </c>
      <c r="J2422" t="n">
        <v>0</v>
      </c>
      <c r="K2422" t="n">
        <v>0</v>
      </c>
      <c r="L2422" t="n">
        <v>0</v>
      </c>
      <c r="M2422" t="n">
        <v>0</v>
      </c>
      <c r="N2422" t="n">
        <v>0</v>
      </c>
      <c r="O2422" t="n">
        <v>0</v>
      </c>
      <c r="P2422" t="n">
        <v>0</v>
      </c>
      <c r="Q2422" t="n">
        <v>0</v>
      </c>
      <c r="R2422" s="2" t="inlineStr"/>
    </row>
    <row r="2423" ht="15" customHeight="1">
      <c r="A2423" t="inlineStr">
        <is>
          <t>A 62943-2019</t>
        </is>
      </c>
      <c r="B2423" s="1" t="n">
        <v>43783</v>
      </c>
      <c r="C2423" s="1" t="n">
        <v>45182</v>
      </c>
      <c r="D2423" t="inlineStr">
        <is>
          <t>JÄMTLANDS LÄN</t>
        </is>
      </c>
      <c r="E2423" t="inlineStr">
        <is>
          <t>BERG</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62234-2019</t>
        </is>
      </c>
      <c r="B2424" s="1" t="n">
        <v>43784</v>
      </c>
      <c r="C2424" s="1" t="n">
        <v>45182</v>
      </c>
      <c r="D2424" t="inlineStr">
        <is>
          <t>JÄMTLANDS LÄN</t>
        </is>
      </c>
      <c r="E2424" t="inlineStr">
        <is>
          <t>ÖSTERSUND</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62927-2019</t>
        </is>
      </c>
      <c r="B2425" s="1" t="n">
        <v>43784</v>
      </c>
      <c r="C2425" s="1" t="n">
        <v>45182</v>
      </c>
      <c r="D2425" t="inlineStr">
        <is>
          <t>JÄMTLANDS LÄN</t>
        </is>
      </c>
      <c r="E2425" t="inlineStr">
        <is>
          <t>KROKOM</t>
        </is>
      </c>
      <c r="G2425" t="n">
        <v>9</v>
      </c>
      <c r="H2425" t="n">
        <v>0</v>
      </c>
      <c r="I2425" t="n">
        <v>0</v>
      </c>
      <c r="J2425" t="n">
        <v>0</v>
      </c>
      <c r="K2425" t="n">
        <v>0</v>
      </c>
      <c r="L2425" t="n">
        <v>0</v>
      </c>
      <c r="M2425" t="n">
        <v>0</v>
      </c>
      <c r="N2425" t="n">
        <v>0</v>
      </c>
      <c r="O2425" t="n">
        <v>0</v>
      </c>
      <c r="P2425" t="n">
        <v>0</v>
      </c>
      <c r="Q2425" t="n">
        <v>0</v>
      </c>
      <c r="R2425" s="2" t="inlineStr"/>
    </row>
    <row r="2426" ht="15" customHeight="1">
      <c r="A2426" t="inlineStr">
        <is>
          <t>A 61690-2019</t>
        </is>
      </c>
      <c r="B2426" s="1" t="n">
        <v>43784</v>
      </c>
      <c r="C2426" s="1" t="n">
        <v>45182</v>
      </c>
      <c r="D2426" t="inlineStr">
        <is>
          <t>JÄMTLANDS LÄN</t>
        </is>
      </c>
      <c r="E2426" t="inlineStr">
        <is>
          <t>STRÖMSUND</t>
        </is>
      </c>
      <c r="G2426" t="n">
        <v>6</v>
      </c>
      <c r="H2426" t="n">
        <v>0</v>
      </c>
      <c r="I2426" t="n">
        <v>0</v>
      </c>
      <c r="J2426" t="n">
        <v>0</v>
      </c>
      <c r="K2426" t="n">
        <v>0</v>
      </c>
      <c r="L2426" t="n">
        <v>0</v>
      </c>
      <c r="M2426" t="n">
        <v>0</v>
      </c>
      <c r="N2426" t="n">
        <v>0</v>
      </c>
      <c r="O2426" t="n">
        <v>0</v>
      </c>
      <c r="P2426" t="n">
        <v>0</v>
      </c>
      <c r="Q2426" t="n">
        <v>0</v>
      </c>
      <c r="R2426" s="2" t="inlineStr"/>
    </row>
    <row r="2427" ht="15" customHeight="1">
      <c r="A2427" t="inlineStr">
        <is>
          <t>A 61778-2019</t>
        </is>
      </c>
      <c r="B2427" s="1" t="n">
        <v>43784</v>
      </c>
      <c r="C2427" s="1" t="n">
        <v>45182</v>
      </c>
      <c r="D2427" t="inlineStr">
        <is>
          <t>JÄMTLANDS LÄN</t>
        </is>
      </c>
      <c r="E2427" t="inlineStr">
        <is>
          <t>STRÖMSUND</t>
        </is>
      </c>
      <c r="G2427" t="n">
        <v>1</v>
      </c>
      <c r="H2427" t="n">
        <v>0</v>
      </c>
      <c r="I2427" t="n">
        <v>0</v>
      </c>
      <c r="J2427" t="n">
        <v>0</v>
      </c>
      <c r="K2427" t="n">
        <v>0</v>
      </c>
      <c r="L2427" t="n">
        <v>0</v>
      </c>
      <c r="M2427" t="n">
        <v>0</v>
      </c>
      <c r="N2427" t="n">
        <v>0</v>
      </c>
      <c r="O2427" t="n">
        <v>0</v>
      </c>
      <c r="P2427" t="n">
        <v>0</v>
      </c>
      <c r="Q2427" t="n">
        <v>0</v>
      </c>
      <c r="R2427" s="2" t="inlineStr"/>
    </row>
    <row r="2428" ht="15" customHeight="1">
      <c r="A2428" t="inlineStr">
        <is>
          <t>A 61830-2019</t>
        </is>
      </c>
      <c r="B2428" s="1" t="n">
        <v>43786</v>
      </c>
      <c r="C2428" s="1" t="n">
        <v>45182</v>
      </c>
      <c r="D2428" t="inlineStr">
        <is>
          <t>JÄMTLANDS LÄN</t>
        </is>
      </c>
      <c r="E2428" t="inlineStr">
        <is>
          <t>STRÖMSUND</t>
        </is>
      </c>
      <c r="G2428" t="n">
        <v>8</v>
      </c>
      <c r="H2428" t="n">
        <v>0</v>
      </c>
      <c r="I2428" t="n">
        <v>0</v>
      </c>
      <c r="J2428" t="n">
        <v>0</v>
      </c>
      <c r="K2428" t="n">
        <v>0</v>
      </c>
      <c r="L2428" t="n">
        <v>0</v>
      </c>
      <c r="M2428" t="n">
        <v>0</v>
      </c>
      <c r="N2428" t="n">
        <v>0</v>
      </c>
      <c r="O2428" t="n">
        <v>0</v>
      </c>
      <c r="P2428" t="n">
        <v>0</v>
      </c>
      <c r="Q2428" t="n">
        <v>0</v>
      </c>
      <c r="R2428" s="2" t="inlineStr"/>
    </row>
    <row r="2429" ht="15" customHeight="1">
      <c r="A2429" t="inlineStr">
        <is>
          <t>A 61835-2019</t>
        </is>
      </c>
      <c r="B2429" s="1" t="n">
        <v>43786</v>
      </c>
      <c r="C2429" s="1" t="n">
        <v>45182</v>
      </c>
      <c r="D2429" t="inlineStr">
        <is>
          <t>JÄMTLANDS LÄN</t>
        </is>
      </c>
      <c r="E2429" t="inlineStr">
        <is>
          <t>STRÖMSUND</t>
        </is>
      </c>
      <c r="G2429" t="n">
        <v>6</v>
      </c>
      <c r="H2429" t="n">
        <v>0</v>
      </c>
      <c r="I2429" t="n">
        <v>0</v>
      </c>
      <c r="J2429" t="n">
        <v>0</v>
      </c>
      <c r="K2429" t="n">
        <v>0</v>
      </c>
      <c r="L2429" t="n">
        <v>0</v>
      </c>
      <c r="M2429" t="n">
        <v>0</v>
      </c>
      <c r="N2429" t="n">
        <v>0</v>
      </c>
      <c r="O2429" t="n">
        <v>0</v>
      </c>
      <c r="P2429" t="n">
        <v>0</v>
      </c>
      <c r="Q2429" t="n">
        <v>0</v>
      </c>
      <c r="R2429" s="2" t="inlineStr"/>
    </row>
    <row r="2430" ht="15" customHeight="1">
      <c r="A2430" t="inlineStr">
        <is>
          <t>A 61832-2019</t>
        </is>
      </c>
      <c r="B2430" s="1" t="n">
        <v>43786</v>
      </c>
      <c r="C2430" s="1" t="n">
        <v>45182</v>
      </c>
      <c r="D2430" t="inlineStr">
        <is>
          <t>JÄMTLANDS LÄN</t>
        </is>
      </c>
      <c r="E2430" t="inlineStr">
        <is>
          <t>STRÖMSUND</t>
        </is>
      </c>
      <c r="G2430" t="n">
        <v>19.9</v>
      </c>
      <c r="H2430" t="n">
        <v>0</v>
      </c>
      <c r="I2430" t="n">
        <v>0</v>
      </c>
      <c r="J2430" t="n">
        <v>0</v>
      </c>
      <c r="K2430" t="n">
        <v>0</v>
      </c>
      <c r="L2430" t="n">
        <v>0</v>
      </c>
      <c r="M2430" t="n">
        <v>0</v>
      </c>
      <c r="N2430" t="n">
        <v>0</v>
      </c>
      <c r="O2430" t="n">
        <v>0</v>
      </c>
      <c r="P2430" t="n">
        <v>0</v>
      </c>
      <c r="Q2430" t="n">
        <v>0</v>
      </c>
      <c r="R2430" s="2" t="inlineStr"/>
    </row>
    <row r="2431" ht="15" customHeight="1">
      <c r="A2431" t="inlineStr">
        <is>
          <t>A 61836-2019</t>
        </is>
      </c>
      <c r="B2431" s="1" t="n">
        <v>43786</v>
      </c>
      <c r="C2431" s="1" t="n">
        <v>45182</v>
      </c>
      <c r="D2431" t="inlineStr">
        <is>
          <t>JÄMTLANDS LÄN</t>
        </is>
      </c>
      <c r="E2431" t="inlineStr">
        <is>
          <t>STRÖMSUND</t>
        </is>
      </c>
      <c r="G2431" t="n">
        <v>3.1</v>
      </c>
      <c r="H2431" t="n">
        <v>0</v>
      </c>
      <c r="I2431" t="n">
        <v>0</v>
      </c>
      <c r="J2431" t="n">
        <v>0</v>
      </c>
      <c r="K2431" t="n">
        <v>0</v>
      </c>
      <c r="L2431" t="n">
        <v>0</v>
      </c>
      <c r="M2431" t="n">
        <v>0</v>
      </c>
      <c r="N2431" t="n">
        <v>0</v>
      </c>
      <c r="O2431" t="n">
        <v>0</v>
      </c>
      <c r="P2431" t="n">
        <v>0</v>
      </c>
      <c r="Q2431" t="n">
        <v>0</v>
      </c>
      <c r="R2431" s="2" t="inlineStr"/>
    </row>
    <row r="2432" ht="15" customHeight="1">
      <c r="A2432" t="inlineStr">
        <is>
          <t>A 61833-2019</t>
        </is>
      </c>
      <c r="B2432" s="1" t="n">
        <v>43786</v>
      </c>
      <c r="C2432" s="1" t="n">
        <v>45182</v>
      </c>
      <c r="D2432" t="inlineStr">
        <is>
          <t>JÄMTLANDS LÄN</t>
        </is>
      </c>
      <c r="E2432" t="inlineStr">
        <is>
          <t>STRÖMSUND</t>
        </is>
      </c>
      <c r="G2432" t="n">
        <v>11.5</v>
      </c>
      <c r="H2432" t="n">
        <v>0</v>
      </c>
      <c r="I2432" t="n">
        <v>0</v>
      </c>
      <c r="J2432" t="n">
        <v>0</v>
      </c>
      <c r="K2432" t="n">
        <v>0</v>
      </c>
      <c r="L2432" t="n">
        <v>0</v>
      </c>
      <c r="M2432" t="n">
        <v>0</v>
      </c>
      <c r="N2432" t="n">
        <v>0</v>
      </c>
      <c r="O2432" t="n">
        <v>0</v>
      </c>
      <c r="P2432" t="n">
        <v>0</v>
      </c>
      <c r="Q2432" t="n">
        <v>0</v>
      </c>
      <c r="R2432" s="2" t="inlineStr"/>
    </row>
    <row r="2433" ht="15" customHeight="1">
      <c r="A2433" t="inlineStr">
        <is>
          <t>A 61838-2019</t>
        </is>
      </c>
      <c r="B2433" s="1" t="n">
        <v>43786</v>
      </c>
      <c r="C2433" s="1" t="n">
        <v>45182</v>
      </c>
      <c r="D2433" t="inlineStr">
        <is>
          <t>JÄMTLANDS LÄN</t>
        </is>
      </c>
      <c r="E2433" t="inlineStr">
        <is>
          <t>STRÖMSUND</t>
        </is>
      </c>
      <c r="G2433" t="n">
        <v>0.8</v>
      </c>
      <c r="H2433" t="n">
        <v>0</v>
      </c>
      <c r="I2433" t="n">
        <v>0</v>
      </c>
      <c r="J2433" t="n">
        <v>0</v>
      </c>
      <c r="K2433" t="n">
        <v>0</v>
      </c>
      <c r="L2433" t="n">
        <v>0</v>
      </c>
      <c r="M2433" t="n">
        <v>0</v>
      </c>
      <c r="N2433" t="n">
        <v>0</v>
      </c>
      <c r="O2433" t="n">
        <v>0</v>
      </c>
      <c r="P2433" t="n">
        <v>0</v>
      </c>
      <c r="Q2433" t="n">
        <v>0</v>
      </c>
      <c r="R2433" s="2" t="inlineStr"/>
    </row>
    <row r="2434" ht="15" customHeight="1">
      <c r="A2434" t="inlineStr">
        <is>
          <t>A 61829-2019</t>
        </is>
      </c>
      <c r="B2434" s="1" t="n">
        <v>43786</v>
      </c>
      <c r="C2434" s="1" t="n">
        <v>45182</v>
      </c>
      <c r="D2434" t="inlineStr">
        <is>
          <t>JÄMTLANDS LÄN</t>
        </is>
      </c>
      <c r="E2434" t="inlineStr">
        <is>
          <t>STRÖMSUND</t>
        </is>
      </c>
      <c r="G2434" t="n">
        <v>4.3</v>
      </c>
      <c r="H2434" t="n">
        <v>0</v>
      </c>
      <c r="I2434" t="n">
        <v>0</v>
      </c>
      <c r="J2434" t="n">
        <v>0</v>
      </c>
      <c r="K2434" t="n">
        <v>0</v>
      </c>
      <c r="L2434" t="n">
        <v>0</v>
      </c>
      <c r="M2434" t="n">
        <v>0</v>
      </c>
      <c r="N2434" t="n">
        <v>0</v>
      </c>
      <c r="O2434" t="n">
        <v>0</v>
      </c>
      <c r="P2434" t="n">
        <v>0</v>
      </c>
      <c r="Q2434" t="n">
        <v>0</v>
      </c>
      <c r="R2434" s="2" t="inlineStr"/>
    </row>
    <row r="2435" ht="15" customHeight="1">
      <c r="A2435" t="inlineStr">
        <is>
          <t>A 61834-2019</t>
        </is>
      </c>
      <c r="B2435" s="1" t="n">
        <v>43786</v>
      </c>
      <c r="C2435" s="1" t="n">
        <v>45182</v>
      </c>
      <c r="D2435" t="inlineStr">
        <is>
          <t>JÄMTLANDS LÄN</t>
        </is>
      </c>
      <c r="E2435" t="inlineStr">
        <is>
          <t>STRÖMSUND</t>
        </is>
      </c>
      <c r="G2435" t="n">
        <v>6.7</v>
      </c>
      <c r="H2435" t="n">
        <v>0</v>
      </c>
      <c r="I2435" t="n">
        <v>0</v>
      </c>
      <c r="J2435" t="n">
        <v>0</v>
      </c>
      <c r="K2435" t="n">
        <v>0</v>
      </c>
      <c r="L2435" t="n">
        <v>0</v>
      </c>
      <c r="M2435" t="n">
        <v>0</v>
      </c>
      <c r="N2435" t="n">
        <v>0</v>
      </c>
      <c r="O2435" t="n">
        <v>0</v>
      </c>
      <c r="P2435" t="n">
        <v>0</v>
      </c>
      <c r="Q2435" t="n">
        <v>0</v>
      </c>
      <c r="R2435" s="2" t="inlineStr"/>
    </row>
    <row r="2436" ht="15" customHeight="1">
      <c r="A2436" t="inlineStr">
        <is>
          <t>A 62115-2019</t>
        </is>
      </c>
      <c r="B2436" s="1" t="n">
        <v>43787</v>
      </c>
      <c r="C2436" s="1" t="n">
        <v>45182</v>
      </c>
      <c r="D2436" t="inlineStr">
        <is>
          <t>JÄMTLANDS LÄN</t>
        </is>
      </c>
      <c r="E2436" t="inlineStr">
        <is>
          <t>HÄRJEDALEN</t>
        </is>
      </c>
      <c r="G2436" t="n">
        <v>0.5</v>
      </c>
      <c r="H2436" t="n">
        <v>0</v>
      </c>
      <c r="I2436" t="n">
        <v>0</v>
      </c>
      <c r="J2436" t="n">
        <v>0</v>
      </c>
      <c r="K2436" t="n">
        <v>0</v>
      </c>
      <c r="L2436" t="n">
        <v>0</v>
      </c>
      <c r="M2436" t="n">
        <v>0</v>
      </c>
      <c r="N2436" t="n">
        <v>0</v>
      </c>
      <c r="O2436" t="n">
        <v>0</v>
      </c>
      <c r="P2436" t="n">
        <v>0</v>
      </c>
      <c r="Q2436" t="n">
        <v>0</v>
      </c>
      <c r="R2436" s="2" t="inlineStr"/>
    </row>
    <row r="2437" ht="15" customHeight="1">
      <c r="A2437" t="inlineStr">
        <is>
          <t>A 62187-2019</t>
        </is>
      </c>
      <c r="B2437" s="1" t="n">
        <v>43787</v>
      </c>
      <c r="C2437" s="1" t="n">
        <v>45182</v>
      </c>
      <c r="D2437" t="inlineStr">
        <is>
          <t>JÄMTLANDS LÄN</t>
        </is>
      </c>
      <c r="E2437" t="inlineStr">
        <is>
          <t>KROKOM</t>
        </is>
      </c>
      <c r="G2437" t="n">
        <v>1.9</v>
      </c>
      <c r="H2437" t="n">
        <v>0</v>
      </c>
      <c r="I2437" t="n">
        <v>0</v>
      </c>
      <c r="J2437" t="n">
        <v>0</v>
      </c>
      <c r="K2437" t="n">
        <v>0</v>
      </c>
      <c r="L2437" t="n">
        <v>0</v>
      </c>
      <c r="M2437" t="n">
        <v>0</v>
      </c>
      <c r="N2437" t="n">
        <v>0</v>
      </c>
      <c r="O2437" t="n">
        <v>0</v>
      </c>
      <c r="P2437" t="n">
        <v>0</v>
      </c>
      <c r="Q2437" t="n">
        <v>0</v>
      </c>
      <c r="R2437" s="2" t="inlineStr"/>
    </row>
    <row r="2438" ht="15" customHeight="1">
      <c r="A2438" t="inlineStr">
        <is>
          <t>A 62136-2019</t>
        </is>
      </c>
      <c r="B2438" s="1" t="n">
        <v>43787</v>
      </c>
      <c r="C2438" s="1" t="n">
        <v>45182</v>
      </c>
      <c r="D2438" t="inlineStr">
        <is>
          <t>JÄMTLANDS LÄN</t>
        </is>
      </c>
      <c r="E2438" t="inlineStr">
        <is>
          <t>ÖSTERSUND</t>
        </is>
      </c>
      <c r="F2438" t="inlineStr">
        <is>
          <t>Övriga Aktiebolag</t>
        </is>
      </c>
      <c r="G2438" t="n">
        <v>35.2</v>
      </c>
      <c r="H2438" t="n">
        <v>0</v>
      </c>
      <c r="I2438" t="n">
        <v>0</v>
      </c>
      <c r="J2438" t="n">
        <v>0</v>
      </c>
      <c r="K2438" t="n">
        <v>0</v>
      </c>
      <c r="L2438" t="n">
        <v>0</v>
      </c>
      <c r="M2438" t="n">
        <v>0</v>
      </c>
      <c r="N2438" t="n">
        <v>0</v>
      </c>
      <c r="O2438" t="n">
        <v>0</v>
      </c>
      <c r="P2438" t="n">
        <v>0</v>
      </c>
      <c r="Q2438" t="n">
        <v>0</v>
      </c>
      <c r="R2438" s="2" t="inlineStr"/>
    </row>
    <row r="2439" ht="15" customHeight="1">
      <c r="A2439" t="inlineStr">
        <is>
          <t>A 62194-2019</t>
        </is>
      </c>
      <c r="B2439" s="1" t="n">
        <v>43787</v>
      </c>
      <c r="C2439" s="1" t="n">
        <v>45182</v>
      </c>
      <c r="D2439" t="inlineStr">
        <is>
          <t>JÄMTLANDS LÄN</t>
        </is>
      </c>
      <c r="E2439" t="inlineStr">
        <is>
          <t>KROKOM</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62056-2019</t>
        </is>
      </c>
      <c r="B2440" s="1" t="n">
        <v>43787</v>
      </c>
      <c r="C2440" s="1" t="n">
        <v>45182</v>
      </c>
      <c r="D2440" t="inlineStr">
        <is>
          <t>JÄMTLANDS LÄN</t>
        </is>
      </c>
      <c r="E2440" t="inlineStr">
        <is>
          <t>KROKOM</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62110-2019</t>
        </is>
      </c>
      <c r="B2441" s="1" t="n">
        <v>43787</v>
      </c>
      <c r="C2441" s="1" t="n">
        <v>45182</v>
      </c>
      <c r="D2441" t="inlineStr">
        <is>
          <t>JÄMTLANDS LÄN</t>
        </is>
      </c>
      <c r="E2441" t="inlineStr">
        <is>
          <t>KROKOM</t>
        </is>
      </c>
      <c r="G2441" t="n">
        <v>2.5</v>
      </c>
      <c r="H2441" t="n">
        <v>0</v>
      </c>
      <c r="I2441" t="n">
        <v>0</v>
      </c>
      <c r="J2441" t="n">
        <v>0</v>
      </c>
      <c r="K2441" t="n">
        <v>0</v>
      </c>
      <c r="L2441" t="n">
        <v>0</v>
      </c>
      <c r="M2441" t="n">
        <v>0</v>
      </c>
      <c r="N2441" t="n">
        <v>0</v>
      </c>
      <c r="O2441" t="n">
        <v>0</v>
      </c>
      <c r="P2441" t="n">
        <v>0</v>
      </c>
      <c r="Q2441" t="n">
        <v>0</v>
      </c>
      <c r="R2441" s="2" t="inlineStr"/>
    </row>
    <row r="2442" ht="15" customHeight="1">
      <c r="A2442" t="inlineStr">
        <is>
          <t>A 62484-2019</t>
        </is>
      </c>
      <c r="B2442" s="1" t="n">
        <v>43788</v>
      </c>
      <c r="C2442" s="1" t="n">
        <v>45182</v>
      </c>
      <c r="D2442" t="inlineStr">
        <is>
          <t>JÄMTLANDS LÄN</t>
        </is>
      </c>
      <c r="E2442" t="inlineStr">
        <is>
          <t>RAGUNDA</t>
        </is>
      </c>
      <c r="G2442" t="n">
        <v>11.9</v>
      </c>
      <c r="H2442" t="n">
        <v>0</v>
      </c>
      <c r="I2442" t="n">
        <v>0</v>
      </c>
      <c r="J2442" t="n">
        <v>0</v>
      </c>
      <c r="K2442" t="n">
        <v>0</v>
      </c>
      <c r="L2442" t="n">
        <v>0</v>
      </c>
      <c r="M2442" t="n">
        <v>0</v>
      </c>
      <c r="N2442" t="n">
        <v>0</v>
      </c>
      <c r="O2442" t="n">
        <v>0</v>
      </c>
      <c r="P2442" t="n">
        <v>0</v>
      </c>
      <c r="Q2442" t="n">
        <v>0</v>
      </c>
      <c r="R2442" s="2" t="inlineStr"/>
      <c r="U2442">
        <f>HYPERLINK("https://klasma.github.io/Logging_RAGUNDA/knärot/A 62484-2019.png")</f>
        <v/>
      </c>
      <c r="V2442">
        <f>HYPERLINK("https://klasma.github.io/Logging_RAGUNDA/klagomål/A 62484-2019.docx")</f>
        <v/>
      </c>
      <c r="W2442">
        <f>HYPERLINK("https://klasma.github.io/Logging_RAGUNDA/klagomålsmail/A 62484-2019.docx")</f>
        <v/>
      </c>
      <c r="X2442">
        <f>HYPERLINK("https://klasma.github.io/Logging_RAGUNDA/tillsyn/A 62484-2019.docx")</f>
        <v/>
      </c>
      <c r="Y2442">
        <f>HYPERLINK("https://klasma.github.io/Logging_RAGUNDA/tillsynsmail/A 62484-2019.docx")</f>
        <v/>
      </c>
    </row>
    <row r="2443" ht="15" customHeight="1">
      <c r="A2443" t="inlineStr">
        <is>
          <t>A 62326-2019</t>
        </is>
      </c>
      <c r="B2443" s="1" t="n">
        <v>43788</v>
      </c>
      <c r="C2443" s="1" t="n">
        <v>45182</v>
      </c>
      <c r="D2443" t="inlineStr">
        <is>
          <t>JÄMTLANDS LÄN</t>
        </is>
      </c>
      <c r="E2443" t="inlineStr">
        <is>
          <t>ÅRE</t>
        </is>
      </c>
      <c r="G2443" t="n">
        <v>3.7</v>
      </c>
      <c r="H2443" t="n">
        <v>0</v>
      </c>
      <c r="I2443" t="n">
        <v>0</v>
      </c>
      <c r="J2443" t="n">
        <v>0</v>
      </c>
      <c r="K2443" t="n">
        <v>0</v>
      </c>
      <c r="L2443" t="n">
        <v>0</v>
      </c>
      <c r="M2443" t="n">
        <v>0</v>
      </c>
      <c r="N2443" t="n">
        <v>0</v>
      </c>
      <c r="O2443" t="n">
        <v>0</v>
      </c>
      <c r="P2443" t="n">
        <v>0</v>
      </c>
      <c r="Q2443" t="n">
        <v>0</v>
      </c>
      <c r="R2443" s="2" t="inlineStr"/>
    </row>
    <row r="2444" ht="15" customHeight="1">
      <c r="A2444" t="inlineStr">
        <is>
          <t>A 62359-2019</t>
        </is>
      </c>
      <c r="B2444" s="1" t="n">
        <v>43788</v>
      </c>
      <c r="C2444" s="1" t="n">
        <v>45182</v>
      </c>
      <c r="D2444" t="inlineStr">
        <is>
          <t>JÄMTLANDS LÄN</t>
        </is>
      </c>
      <c r="E2444" t="inlineStr">
        <is>
          <t>ÅRE</t>
        </is>
      </c>
      <c r="F2444" t="inlineStr">
        <is>
          <t>Övriga Aktiebolag</t>
        </is>
      </c>
      <c r="G2444" t="n">
        <v>7</v>
      </c>
      <c r="H2444" t="n">
        <v>0</v>
      </c>
      <c r="I2444" t="n">
        <v>0</v>
      </c>
      <c r="J2444" t="n">
        <v>0</v>
      </c>
      <c r="K2444" t="n">
        <v>0</v>
      </c>
      <c r="L2444" t="n">
        <v>0</v>
      </c>
      <c r="M2444" t="n">
        <v>0</v>
      </c>
      <c r="N2444" t="n">
        <v>0</v>
      </c>
      <c r="O2444" t="n">
        <v>0</v>
      </c>
      <c r="P2444" t="n">
        <v>0</v>
      </c>
      <c r="Q2444" t="n">
        <v>0</v>
      </c>
      <c r="R2444" s="2" t="inlineStr"/>
    </row>
    <row r="2445" ht="15" customHeight="1">
      <c r="A2445" t="inlineStr">
        <is>
          <t>A 62451-2019</t>
        </is>
      </c>
      <c r="B2445" s="1" t="n">
        <v>43788</v>
      </c>
      <c r="C2445" s="1" t="n">
        <v>45182</v>
      </c>
      <c r="D2445" t="inlineStr">
        <is>
          <t>JÄMTLANDS LÄN</t>
        </is>
      </c>
      <c r="E2445" t="inlineStr">
        <is>
          <t>HÄRJEDALEN</t>
        </is>
      </c>
      <c r="F2445" t="inlineStr">
        <is>
          <t>Bergvik skog väst AB</t>
        </is>
      </c>
      <c r="G2445" t="n">
        <v>22.2</v>
      </c>
      <c r="H2445" t="n">
        <v>0</v>
      </c>
      <c r="I2445" t="n">
        <v>0</v>
      </c>
      <c r="J2445" t="n">
        <v>0</v>
      </c>
      <c r="K2445" t="n">
        <v>0</v>
      </c>
      <c r="L2445" t="n">
        <v>0</v>
      </c>
      <c r="M2445" t="n">
        <v>0</v>
      </c>
      <c r="N2445" t="n">
        <v>0</v>
      </c>
      <c r="O2445" t="n">
        <v>0</v>
      </c>
      <c r="P2445" t="n">
        <v>0</v>
      </c>
      <c r="Q2445" t="n">
        <v>0</v>
      </c>
      <c r="R2445" s="2" t="inlineStr"/>
    </row>
    <row r="2446" ht="15" customHeight="1">
      <c r="A2446" t="inlineStr">
        <is>
          <t>A 62492-2019</t>
        </is>
      </c>
      <c r="B2446" s="1" t="n">
        <v>43788</v>
      </c>
      <c r="C2446" s="1" t="n">
        <v>45182</v>
      </c>
      <c r="D2446" t="inlineStr">
        <is>
          <t>JÄMTLANDS LÄN</t>
        </is>
      </c>
      <c r="E2446" t="inlineStr">
        <is>
          <t>STRÖMSUND</t>
        </is>
      </c>
      <c r="F2446" t="inlineStr">
        <is>
          <t>SCA</t>
        </is>
      </c>
      <c r="G2446" t="n">
        <v>6.3</v>
      </c>
      <c r="H2446" t="n">
        <v>0</v>
      </c>
      <c r="I2446" t="n">
        <v>0</v>
      </c>
      <c r="J2446" t="n">
        <v>0</v>
      </c>
      <c r="K2446" t="n">
        <v>0</v>
      </c>
      <c r="L2446" t="n">
        <v>0</v>
      </c>
      <c r="M2446" t="n">
        <v>0</v>
      </c>
      <c r="N2446" t="n">
        <v>0</v>
      </c>
      <c r="O2446" t="n">
        <v>0</v>
      </c>
      <c r="P2446" t="n">
        <v>0</v>
      </c>
      <c r="Q2446" t="n">
        <v>0</v>
      </c>
      <c r="R2446" s="2" t="inlineStr"/>
    </row>
    <row r="2447" ht="15" customHeight="1">
      <c r="A2447" t="inlineStr">
        <is>
          <t>A 63729-2019</t>
        </is>
      </c>
      <c r="B2447" s="1" t="n">
        <v>43788</v>
      </c>
      <c r="C2447" s="1" t="n">
        <v>45182</v>
      </c>
      <c r="D2447" t="inlineStr">
        <is>
          <t>JÄMTLANDS LÄN</t>
        </is>
      </c>
      <c r="E2447" t="inlineStr">
        <is>
          <t>ÅRE</t>
        </is>
      </c>
      <c r="F2447" t="inlineStr">
        <is>
          <t>Övriga Aktiebolag</t>
        </is>
      </c>
      <c r="G2447" t="n">
        <v>8.699999999999999</v>
      </c>
      <c r="H2447" t="n">
        <v>0</v>
      </c>
      <c r="I2447" t="n">
        <v>0</v>
      </c>
      <c r="J2447" t="n">
        <v>0</v>
      </c>
      <c r="K2447" t="n">
        <v>0</v>
      </c>
      <c r="L2447" t="n">
        <v>0</v>
      </c>
      <c r="M2447" t="n">
        <v>0</v>
      </c>
      <c r="N2447" t="n">
        <v>0</v>
      </c>
      <c r="O2447" t="n">
        <v>0</v>
      </c>
      <c r="P2447" t="n">
        <v>0</v>
      </c>
      <c r="Q2447" t="n">
        <v>0</v>
      </c>
      <c r="R2447" s="2" t="inlineStr"/>
    </row>
    <row r="2448" ht="15" customHeight="1">
      <c r="A2448" t="inlineStr">
        <is>
          <t>A 62511-2019</t>
        </is>
      </c>
      <c r="B2448" s="1" t="n">
        <v>43789</v>
      </c>
      <c r="C2448" s="1" t="n">
        <v>45182</v>
      </c>
      <c r="D2448" t="inlineStr">
        <is>
          <t>JÄMTLANDS LÄN</t>
        </is>
      </c>
      <c r="E2448" t="inlineStr">
        <is>
          <t>STRÖMSUND</t>
        </is>
      </c>
      <c r="F2448" t="inlineStr">
        <is>
          <t>Sveaskog</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63715-2019</t>
        </is>
      </c>
      <c r="B2449" s="1" t="n">
        <v>43789</v>
      </c>
      <c r="C2449" s="1" t="n">
        <v>45182</v>
      </c>
      <c r="D2449" t="inlineStr">
        <is>
          <t>JÄMTLANDS LÄN</t>
        </is>
      </c>
      <c r="E2449" t="inlineStr">
        <is>
          <t>STRÖMSUND</t>
        </is>
      </c>
      <c r="G2449" t="n">
        <v>5.8</v>
      </c>
      <c r="H2449" t="n">
        <v>0</v>
      </c>
      <c r="I2449" t="n">
        <v>0</v>
      </c>
      <c r="J2449" t="n">
        <v>0</v>
      </c>
      <c r="K2449" t="n">
        <v>0</v>
      </c>
      <c r="L2449" t="n">
        <v>0</v>
      </c>
      <c r="M2449" t="n">
        <v>0</v>
      </c>
      <c r="N2449" t="n">
        <v>0</v>
      </c>
      <c r="O2449" t="n">
        <v>0</v>
      </c>
      <c r="P2449" t="n">
        <v>0</v>
      </c>
      <c r="Q2449" t="n">
        <v>0</v>
      </c>
      <c r="R2449" s="2" t="inlineStr"/>
    </row>
    <row r="2450" ht="15" customHeight="1">
      <c r="A2450" t="inlineStr">
        <is>
          <t>A 62568-2019</t>
        </is>
      </c>
      <c r="B2450" s="1" t="n">
        <v>43789</v>
      </c>
      <c r="C2450" s="1" t="n">
        <v>45182</v>
      </c>
      <c r="D2450" t="inlineStr">
        <is>
          <t>JÄMTLANDS LÄN</t>
        </is>
      </c>
      <c r="E2450" t="inlineStr">
        <is>
          <t>KROKOM</t>
        </is>
      </c>
      <c r="F2450" t="inlineStr">
        <is>
          <t>Övriga Aktiebolag</t>
        </is>
      </c>
      <c r="G2450" t="n">
        <v>1.7</v>
      </c>
      <c r="H2450" t="n">
        <v>0</v>
      </c>
      <c r="I2450" t="n">
        <v>0</v>
      </c>
      <c r="J2450" t="n">
        <v>0</v>
      </c>
      <c r="K2450" t="n">
        <v>0</v>
      </c>
      <c r="L2450" t="n">
        <v>0</v>
      </c>
      <c r="M2450" t="n">
        <v>0</v>
      </c>
      <c r="N2450" t="n">
        <v>0</v>
      </c>
      <c r="O2450" t="n">
        <v>0</v>
      </c>
      <c r="P2450" t="n">
        <v>0</v>
      </c>
      <c r="Q2450" t="n">
        <v>0</v>
      </c>
      <c r="R2450" s="2" t="inlineStr"/>
    </row>
    <row r="2451" ht="15" customHeight="1">
      <c r="A2451" t="inlineStr">
        <is>
          <t>A 62656-2019</t>
        </is>
      </c>
      <c r="B2451" s="1" t="n">
        <v>43789</v>
      </c>
      <c r="C2451" s="1" t="n">
        <v>45182</v>
      </c>
      <c r="D2451" t="inlineStr">
        <is>
          <t>JÄMTLANDS LÄN</t>
        </is>
      </c>
      <c r="E2451" t="inlineStr">
        <is>
          <t>KROKOM</t>
        </is>
      </c>
      <c r="F2451" t="inlineStr">
        <is>
          <t>Övriga Aktiebolag</t>
        </is>
      </c>
      <c r="G2451" t="n">
        <v>58.5</v>
      </c>
      <c r="H2451" t="n">
        <v>0</v>
      </c>
      <c r="I2451" t="n">
        <v>0</v>
      </c>
      <c r="J2451" t="n">
        <v>0</v>
      </c>
      <c r="K2451" t="n">
        <v>0</v>
      </c>
      <c r="L2451" t="n">
        <v>0</v>
      </c>
      <c r="M2451" t="n">
        <v>0</v>
      </c>
      <c r="N2451" t="n">
        <v>0</v>
      </c>
      <c r="O2451" t="n">
        <v>0</v>
      </c>
      <c r="P2451" t="n">
        <v>0</v>
      </c>
      <c r="Q2451" t="n">
        <v>0</v>
      </c>
      <c r="R2451" s="2" t="inlineStr"/>
    </row>
    <row r="2452" ht="15" customHeight="1">
      <c r="A2452" t="inlineStr">
        <is>
          <t>A 62971-2019</t>
        </is>
      </c>
      <c r="B2452" s="1" t="n">
        <v>43790</v>
      </c>
      <c r="C2452" s="1" t="n">
        <v>45182</v>
      </c>
      <c r="D2452" t="inlineStr">
        <is>
          <t>JÄMTLANDS LÄN</t>
        </is>
      </c>
      <c r="E2452" t="inlineStr">
        <is>
          <t>HÄRJEDALEN</t>
        </is>
      </c>
      <c r="F2452" t="inlineStr">
        <is>
          <t>Bergvik skog väst AB</t>
        </is>
      </c>
      <c r="G2452" t="n">
        <v>18.2</v>
      </c>
      <c r="H2452" t="n">
        <v>0</v>
      </c>
      <c r="I2452" t="n">
        <v>0</v>
      </c>
      <c r="J2452" t="n">
        <v>0</v>
      </c>
      <c r="K2452" t="n">
        <v>0</v>
      </c>
      <c r="L2452" t="n">
        <v>0</v>
      </c>
      <c r="M2452" t="n">
        <v>0</v>
      </c>
      <c r="N2452" t="n">
        <v>0</v>
      </c>
      <c r="O2452" t="n">
        <v>0</v>
      </c>
      <c r="P2452" t="n">
        <v>0</v>
      </c>
      <c r="Q2452" t="n">
        <v>0</v>
      </c>
      <c r="R2452" s="2" t="inlineStr"/>
    </row>
    <row r="2453" ht="15" customHeight="1">
      <c r="A2453" t="inlineStr">
        <is>
          <t>A 62973-2019</t>
        </is>
      </c>
      <c r="B2453" s="1" t="n">
        <v>43790</v>
      </c>
      <c r="C2453" s="1" t="n">
        <v>45182</v>
      </c>
      <c r="D2453" t="inlineStr">
        <is>
          <t>JÄMTLANDS LÄN</t>
        </is>
      </c>
      <c r="E2453" t="inlineStr">
        <is>
          <t>BERG</t>
        </is>
      </c>
      <c r="G2453" t="n">
        <v>1.6</v>
      </c>
      <c r="H2453" t="n">
        <v>0</v>
      </c>
      <c r="I2453" t="n">
        <v>0</v>
      </c>
      <c r="J2453" t="n">
        <v>0</v>
      </c>
      <c r="K2453" t="n">
        <v>0</v>
      </c>
      <c r="L2453" t="n">
        <v>0</v>
      </c>
      <c r="M2453" t="n">
        <v>0</v>
      </c>
      <c r="N2453" t="n">
        <v>0</v>
      </c>
      <c r="O2453" t="n">
        <v>0</v>
      </c>
      <c r="P2453" t="n">
        <v>0</v>
      </c>
      <c r="Q2453" t="n">
        <v>0</v>
      </c>
      <c r="R2453" s="2" t="inlineStr"/>
    </row>
    <row r="2454" ht="15" customHeight="1">
      <c r="A2454" t="inlineStr">
        <is>
          <t>A 63918-2019</t>
        </is>
      </c>
      <c r="B2454" s="1" t="n">
        <v>43790</v>
      </c>
      <c r="C2454" s="1" t="n">
        <v>45182</v>
      </c>
      <c r="D2454" t="inlineStr">
        <is>
          <t>JÄMTLANDS LÄN</t>
        </is>
      </c>
      <c r="E2454" t="inlineStr">
        <is>
          <t>STRÖMSUND</t>
        </is>
      </c>
      <c r="G2454" t="n">
        <v>1.5</v>
      </c>
      <c r="H2454" t="n">
        <v>0</v>
      </c>
      <c r="I2454" t="n">
        <v>0</v>
      </c>
      <c r="J2454" t="n">
        <v>0</v>
      </c>
      <c r="K2454" t="n">
        <v>0</v>
      </c>
      <c r="L2454" t="n">
        <v>0</v>
      </c>
      <c r="M2454" t="n">
        <v>0</v>
      </c>
      <c r="N2454" t="n">
        <v>0</v>
      </c>
      <c r="O2454" t="n">
        <v>0</v>
      </c>
      <c r="P2454" t="n">
        <v>0</v>
      </c>
      <c r="Q2454" t="n">
        <v>0</v>
      </c>
      <c r="R2454" s="2" t="inlineStr"/>
    </row>
    <row r="2455" ht="15" customHeight="1">
      <c r="A2455" t="inlineStr">
        <is>
          <t>A 62864-2019</t>
        </is>
      </c>
      <c r="B2455" s="1" t="n">
        <v>43790</v>
      </c>
      <c r="C2455" s="1" t="n">
        <v>45182</v>
      </c>
      <c r="D2455" t="inlineStr">
        <is>
          <t>JÄMTLANDS LÄN</t>
        </is>
      </c>
      <c r="E2455" t="inlineStr">
        <is>
          <t>KROKOM</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63927-2019</t>
        </is>
      </c>
      <c r="B2456" s="1" t="n">
        <v>43790</v>
      </c>
      <c r="C2456" s="1" t="n">
        <v>45182</v>
      </c>
      <c r="D2456" t="inlineStr">
        <is>
          <t>JÄMTLANDS LÄN</t>
        </is>
      </c>
      <c r="E2456" t="inlineStr">
        <is>
          <t>STRÖMSUND</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63987-2019</t>
        </is>
      </c>
      <c r="B2457" s="1" t="n">
        <v>43791</v>
      </c>
      <c r="C2457" s="1" t="n">
        <v>45182</v>
      </c>
      <c r="D2457" t="inlineStr">
        <is>
          <t>JÄMTLANDS LÄN</t>
        </is>
      </c>
      <c r="E2457" t="inlineStr">
        <is>
          <t>KROKOM</t>
        </is>
      </c>
      <c r="G2457" t="n">
        <v>2</v>
      </c>
      <c r="H2457" t="n">
        <v>0</v>
      </c>
      <c r="I2457" t="n">
        <v>0</v>
      </c>
      <c r="J2457" t="n">
        <v>0</v>
      </c>
      <c r="K2457" t="n">
        <v>0</v>
      </c>
      <c r="L2457" t="n">
        <v>0</v>
      </c>
      <c r="M2457" t="n">
        <v>0</v>
      </c>
      <c r="N2457" t="n">
        <v>0</v>
      </c>
      <c r="O2457" t="n">
        <v>0</v>
      </c>
      <c r="P2457" t="n">
        <v>0</v>
      </c>
      <c r="Q2457" t="n">
        <v>0</v>
      </c>
      <c r="R2457" s="2" t="inlineStr"/>
    </row>
    <row r="2458" ht="15" customHeight="1">
      <c r="A2458" t="inlineStr">
        <is>
          <t>A 63144-2019</t>
        </is>
      </c>
      <c r="B2458" s="1" t="n">
        <v>43791</v>
      </c>
      <c r="C2458" s="1" t="n">
        <v>45182</v>
      </c>
      <c r="D2458" t="inlineStr">
        <is>
          <t>JÄMTLANDS LÄN</t>
        </is>
      </c>
      <c r="E2458" t="inlineStr">
        <is>
          <t>BERG</t>
        </is>
      </c>
      <c r="G2458" t="n">
        <v>1.9</v>
      </c>
      <c r="H2458" t="n">
        <v>0</v>
      </c>
      <c r="I2458" t="n">
        <v>0</v>
      </c>
      <c r="J2458" t="n">
        <v>0</v>
      </c>
      <c r="K2458" t="n">
        <v>0</v>
      </c>
      <c r="L2458" t="n">
        <v>0</v>
      </c>
      <c r="M2458" t="n">
        <v>0</v>
      </c>
      <c r="N2458" t="n">
        <v>0</v>
      </c>
      <c r="O2458" t="n">
        <v>0</v>
      </c>
      <c r="P2458" t="n">
        <v>0</v>
      </c>
      <c r="Q2458" t="n">
        <v>0</v>
      </c>
      <c r="R2458" s="2" t="inlineStr"/>
    </row>
    <row r="2459" ht="15" customHeight="1">
      <c r="A2459" t="inlineStr">
        <is>
          <t>A 64097-2019</t>
        </is>
      </c>
      <c r="B2459" s="1" t="n">
        <v>43791</v>
      </c>
      <c r="C2459" s="1" t="n">
        <v>45182</v>
      </c>
      <c r="D2459" t="inlineStr">
        <is>
          <t>JÄMTLANDS LÄN</t>
        </is>
      </c>
      <c r="E2459" t="inlineStr">
        <is>
          <t>RAGUNDA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63426-2019</t>
        </is>
      </c>
      <c r="B2460" s="1" t="n">
        <v>43794</v>
      </c>
      <c r="C2460" s="1" t="n">
        <v>45182</v>
      </c>
      <c r="D2460" t="inlineStr">
        <is>
          <t>JÄMTLANDS LÄN</t>
        </is>
      </c>
      <c r="E2460" t="inlineStr">
        <is>
          <t>STRÖMSUND</t>
        </is>
      </c>
      <c r="G2460" t="n">
        <v>1.2</v>
      </c>
      <c r="H2460" t="n">
        <v>0</v>
      </c>
      <c r="I2460" t="n">
        <v>0</v>
      </c>
      <c r="J2460" t="n">
        <v>0</v>
      </c>
      <c r="K2460" t="n">
        <v>0</v>
      </c>
      <c r="L2460" t="n">
        <v>0</v>
      </c>
      <c r="M2460" t="n">
        <v>0</v>
      </c>
      <c r="N2460" t="n">
        <v>0</v>
      </c>
      <c r="O2460" t="n">
        <v>0</v>
      </c>
      <c r="P2460" t="n">
        <v>0</v>
      </c>
      <c r="Q2460" t="n">
        <v>0</v>
      </c>
      <c r="R2460" s="2" t="inlineStr"/>
    </row>
    <row r="2461" ht="15" customHeight="1">
      <c r="A2461" t="inlineStr">
        <is>
          <t>A 64417-2019</t>
        </is>
      </c>
      <c r="B2461" s="1" t="n">
        <v>43794</v>
      </c>
      <c r="C2461" s="1" t="n">
        <v>45182</v>
      </c>
      <c r="D2461" t="inlineStr">
        <is>
          <t>JÄMTLANDS LÄN</t>
        </is>
      </c>
      <c r="E2461" t="inlineStr">
        <is>
          <t>HÄRJEDALEN</t>
        </is>
      </c>
      <c r="G2461" t="n">
        <v>6.9</v>
      </c>
      <c r="H2461" t="n">
        <v>0</v>
      </c>
      <c r="I2461" t="n">
        <v>0</v>
      </c>
      <c r="J2461" t="n">
        <v>0</v>
      </c>
      <c r="K2461" t="n">
        <v>0</v>
      </c>
      <c r="L2461" t="n">
        <v>0</v>
      </c>
      <c r="M2461" t="n">
        <v>0</v>
      </c>
      <c r="N2461" t="n">
        <v>0</v>
      </c>
      <c r="O2461" t="n">
        <v>0</v>
      </c>
      <c r="P2461" t="n">
        <v>0</v>
      </c>
      <c r="Q2461" t="n">
        <v>0</v>
      </c>
      <c r="R2461" s="2" t="inlineStr"/>
    </row>
    <row r="2462" ht="15" customHeight="1">
      <c r="A2462" t="inlineStr">
        <is>
          <t>A 63338-2019</t>
        </is>
      </c>
      <c r="B2462" s="1" t="n">
        <v>43794</v>
      </c>
      <c r="C2462" s="1" t="n">
        <v>45182</v>
      </c>
      <c r="D2462" t="inlineStr">
        <is>
          <t>JÄMTLANDS LÄN</t>
        </is>
      </c>
      <c r="E2462" t="inlineStr">
        <is>
          <t>KROKOM</t>
        </is>
      </c>
      <c r="F2462" t="inlineStr">
        <is>
          <t>Övriga Aktiebolag</t>
        </is>
      </c>
      <c r="G2462" t="n">
        <v>3.5</v>
      </c>
      <c r="H2462" t="n">
        <v>0</v>
      </c>
      <c r="I2462" t="n">
        <v>0</v>
      </c>
      <c r="J2462" t="n">
        <v>0</v>
      </c>
      <c r="K2462" t="n">
        <v>0</v>
      </c>
      <c r="L2462" t="n">
        <v>0</v>
      </c>
      <c r="M2462" t="n">
        <v>0</v>
      </c>
      <c r="N2462" t="n">
        <v>0</v>
      </c>
      <c r="O2462" t="n">
        <v>0</v>
      </c>
      <c r="P2462" t="n">
        <v>0</v>
      </c>
      <c r="Q2462" t="n">
        <v>0</v>
      </c>
      <c r="R2462" s="2" t="inlineStr"/>
    </row>
    <row r="2463" ht="15" customHeight="1">
      <c r="A2463" t="inlineStr">
        <is>
          <t>A 64622-2019</t>
        </is>
      </c>
      <c r="B2463" s="1" t="n">
        <v>43794</v>
      </c>
      <c r="C2463" s="1" t="n">
        <v>45182</v>
      </c>
      <c r="D2463" t="inlineStr">
        <is>
          <t>JÄMTLANDS LÄN</t>
        </is>
      </c>
      <c r="E2463" t="inlineStr">
        <is>
          <t>ÖSTERSUND</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63429-2019</t>
        </is>
      </c>
      <c r="B2464" s="1" t="n">
        <v>43794</v>
      </c>
      <c r="C2464" s="1" t="n">
        <v>45182</v>
      </c>
      <c r="D2464" t="inlineStr">
        <is>
          <t>JÄMTLANDS LÄN</t>
        </is>
      </c>
      <c r="E2464" t="inlineStr">
        <is>
          <t>STRÖMSUND</t>
        </is>
      </c>
      <c r="G2464" t="n">
        <v>11</v>
      </c>
      <c r="H2464" t="n">
        <v>0</v>
      </c>
      <c r="I2464" t="n">
        <v>0</v>
      </c>
      <c r="J2464" t="n">
        <v>0</v>
      </c>
      <c r="K2464" t="n">
        <v>0</v>
      </c>
      <c r="L2464" t="n">
        <v>0</v>
      </c>
      <c r="M2464" t="n">
        <v>0</v>
      </c>
      <c r="N2464" t="n">
        <v>0</v>
      </c>
      <c r="O2464" t="n">
        <v>0</v>
      </c>
      <c r="P2464" t="n">
        <v>0</v>
      </c>
      <c r="Q2464" t="n">
        <v>0</v>
      </c>
      <c r="R2464" s="2" t="inlineStr"/>
    </row>
    <row r="2465" ht="15" customHeight="1">
      <c r="A2465" t="inlineStr">
        <is>
          <t>A 63444-2019</t>
        </is>
      </c>
      <c r="B2465" s="1" t="n">
        <v>43794</v>
      </c>
      <c r="C2465" s="1" t="n">
        <v>45182</v>
      </c>
      <c r="D2465" t="inlineStr">
        <is>
          <t>JÄMTLANDS LÄN</t>
        </is>
      </c>
      <c r="E2465" t="inlineStr">
        <is>
          <t>STRÖMSUND</t>
        </is>
      </c>
      <c r="G2465" t="n">
        <v>5.6</v>
      </c>
      <c r="H2465" t="n">
        <v>0</v>
      </c>
      <c r="I2465" t="n">
        <v>0</v>
      </c>
      <c r="J2465" t="n">
        <v>0</v>
      </c>
      <c r="K2465" t="n">
        <v>0</v>
      </c>
      <c r="L2465" t="n">
        <v>0</v>
      </c>
      <c r="M2465" t="n">
        <v>0</v>
      </c>
      <c r="N2465" t="n">
        <v>0</v>
      </c>
      <c r="O2465" t="n">
        <v>0</v>
      </c>
      <c r="P2465" t="n">
        <v>0</v>
      </c>
      <c r="Q2465" t="n">
        <v>0</v>
      </c>
      <c r="R2465" s="2" t="inlineStr"/>
    </row>
    <row r="2466" ht="15" customHeight="1">
      <c r="A2466" t="inlineStr">
        <is>
          <t>A 63345-2019</t>
        </is>
      </c>
      <c r="B2466" s="1" t="n">
        <v>43794</v>
      </c>
      <c r="C2466" s="1" t="n">
        <v>45182</v>
      </c>
      <c r="D2466" t="inlineStr">
        <is>
          <t>JÄMTLANDS LÄN</t>
        </is>
      </c>
      <c r="E2466" t="inlineStr">
        <is>
          <t>KROKOM</t>
        </is>
      </c>
      <c r="F2466" t="inlineStr">
        <is>
          <t>Övriga Aktiebolag</t>
        </is>
      </c>
      <c r="G2466" t="n">
        <v>3.7</v>
      </c>
      <c r="H2466" t="n">
        <v>0</v>
      </c>
      <c r="I2466" t="n">
        <v>0</v>
      </c>
      <c r="J2466" t="n">
        <v>0</v>
      </c>
      <c r="K2466" t="n">
        <v>0</v>
      </c>
      <c r="L2466" t="n">
        <v>0</v>
      </c>
      <c r="M2466" t="n">
        <v>0</v>
      </c>
      <c r="N2466" t="n">
        <v>0</v>
      </c>
      <c r="O2466" t="n">
        <v>0</v>
      </c>
      <c r="P2466" t="n">
        <v>0</v>
      </c>
      <c r="Q2466" t="n">
        <v>0</v>
      </c>
      <c r="R2466" s="2" t="inlineStr"/>
    </row>
    <row r="2467" ht="15" customHeight="1">
      <c r="A2467" t="inlineStr">
        <is>
          <t>A 63443-2019</t>
        </is>
      </c>
      <c r="B2467" s="1" t="n">
        <v>43794</v>
      </c>
      <c r="C2467" s="1" t="n">
        <v>45182</v>
      </c>
      <c r="D2467" t="inlineStr">
        <is>
          <t>JÄMTLANDS LÄN</t>
        </is>
      </c>
      <c r="E2467" t="inlineStr">
        <is>
          <t>STRÖMSUND</t>
        </is>
      </c>
      <c r="G2467" t="n">
        <v>13.8</v>
      </c>
      <c r="H2467" t="n">
        <v>0</v>
      </c>
      <c r="I2467" t="n">
        <v>0</v>
      </c>
      <c r="J2467" t="n">
        <v>0</v>
      </c>
      <c r="K2467" t="n">
        <v>0</v>
      </c>
      <c r="L2467" t="n">
        <v>0</v>
      </c>
      <c r="M2467" t="n">
        <v>0</v>
      </c>
      <c r="N2467" t="n">
        <v>0</v>
      </c>
      <c r="O2467" t="n">
        <v>0</v>
      </c>
      <c r="P2467" t="n">
        <v>0</v>
      </c>
      <c r="Q2467" t="n">
        <v>0</v>
      </c>
      <c r="R2467" s="2" t="inlineStr"/>
    </row>
    <row r="2468" ht="15" customHeight="1">
      <c r="A2468" t="inlineStr">
        <is>
          <t>A 64133-2019</t>
        </is>
      </c>
      <c r="B2468" s="1" t="n">
        <v>43796</v>
      </c>
      <c r="C2468" s="1" t="n">
        <v>45182</v>
      </c>
      <c r="D2468" t="inlineStr">
        <is>
          <t>JÄMTLANDS LÄN</t>
        </is>
      </c>
      <c r="E2468" t="inlineStr">
        <is>
          <t>BRÄCKE</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64138-2019</t>
        </is>
      </c>
      <c r="B2469" s="1" t="n">
        <v>43796</v>
      </c>
      <c r="C2469" s="1" t="n">
        <v>45182</v>
      </c>
      <c r="D2469" t="inlineStr">
        <is>
          <t>JÄMTLANDS LÄN</t>
        </is>
      </c>
      <c r="E2469" t="inlineStr">
        <is>
          <t>STRÖMSUND</t>
        </is>
      </c>
      <c r="F2469" t="inlineStr">
        <is>
          <t>SCA</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64475-2019</t>
        </is>
      </c>
      <c r="B2470" s="1" t="n">
        <v>43797</v>
      </c>
      <c r="C2470" s="1" t="n">
        <v>45182</v>
      </c>
      <c r="D2470" t="inlineStr">
        <is>
          <t>JÄMTLANDS LÄN</t>
        </is>
      </c>
      <c r="E2470" t="inlineStr">
        <is>
          <t>BRÄCKE</t>
        </is>
      </c>
      <c r="F2470" t="inlineStr">
        <is>
          <t>SCA</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65390-2019</t>
        </is>
      </c>
      <c r="B2471" s="1" t="n">
        <v>43797</v>
      </c>
      <c r="C2471" s="1" t="n">
        <v>45182</v>
      </c>
      <c r="D2471" t="inlineStr">
        <is>
          <t>JÄMTLANDS LÄN</t>
        </is>
      </c>
      <c r="E2471" t="inlineStr">
        <is>
          <t>STRÖMSUND</t>
        </is>
      </c>
      <c r="G2471" t="n">
        <v>0.9</v>
      </c>
      <c r="H2471" t="n">
        <v>0</v>
      </c>
      <c r="I2471" t="n">
        <v>0</v>
      </c>
      <c r="J2471" t="n">
        <v>0</v>
      </c>
      <c r="K2471" t="n">
        <v>0</v>
      </c>
      <c r="L2471" t="n">
        <v>0</v>
      </c>
      <c r="M2471" t="n">
        <v>0</v>
      </c>
      <c r="N2471" t="n">
        <v>0</v>
      </c>
      <c r="O2471" t="n">
        <v>0</v>
      </c>
      <c r="P2471" t="n">
        <v>0</v>
      </c>
      <c r="Q2471" t="n">
        <v>0</v>
      </c>
      <c r="R2471" s="2" t="inlineStr"/>
    </row>
    <row r="2472" ht="15" customHeight="1">
      <c r="A2472" t="inlineStr">
        <is>
          <t>A 64316-2019</t>
        </is>
      </c>
      <c r="B2472" s="1" t="n">
        <v>43797</v>
      </c>
      <c r="C2472" s="1" t="n">
        <v>45182</v>
      </c>
      <c r="D2472" t="inlineStr">
        <is>
          <t>JÄMTLANDS LÄN</t>
        </is>
      </c>
      <c r="E2472" t="inlineStr">
        <is>
          <t>RAGUNDA</t>
        </is>
      </c>
      <c r="G2472" t="n">
        <v>1.7</v>
      </c>
      <c r="H2472" t="n">
        <v>0</v>
      </c>
      <c r="I2472" t="n">
        <v>0</v>
      </c>
      <c r="J2472" t="n">
        <v>0</v>
      </c>
      <c r="K2472" t="n">
        <v>0</v>
      </c>
      <c r="L2472" t="n">
        <v>0</v>
      </c>
      <c r="M2472" t="n">
        <v>0</v>
      </c>
      <c r="N2472" t="n">
        <v>0</v>
      </c>
      <c r="O2472" t="n">
        <v>0</v>
      </c>
      <c r="P2472" t="n">
        <v>0</v>
      </c>
      <c r="Q2472" t="n">
        <v>0</v>
      </c>
      <c r="R2472" s="2" t="inlineStr"/>
    </row>
    <row r="2473" ht="15" customHeight="1">
      <c r="A2473" t="inlineStr">
        <is>
          <t>A 64463-2019</t>
        </is>
      </c>
      <c r="B2473" s="1" t="n">
        <v>43797</v>
      </c>
      <c r="C2473" s="1" t="n">
        <v>45182</v>
      </c>
      <c r="D2473" t="inlineStr">
        <is>
          <t>JÄMTLANDS LÄN</t>
        </is>
      </c>
      <c r="E2473" t="inlineStr">
        <is>
          <t>STRÖMSUND</t>
        </is>
      </c>
      <c r="F2473" t="inlineStr">
        <is>
          <t>SCA</t>
        </is>
      </c>
      <c r="G2473" t="n">
        <v>4.1</v>
      </c>
      <c r="H2473" t="n">
        <v>0</v>
      </c>
      <c r="I2473" t="n">
        <v>0</v>
      </c>
      <c r="J2473" t="n">
        <v>0</v>
      </c>
      <c r="K2473" t="n">
        <v>0</v>
      </c>
      <c r="L2473" t="n">
        <v>0</v>
      </c>
      <c r="M2473" t="n">
        <v>0</v>
      </c>
      <c r="N2473" t="n">
        <v>0</v>
      </c>
      <c r="O2473" t="n">
        <v>0</v>
      </c>
      <c r="P2473" t="n">
        <v>0</v>
      </c>
      <c r="Q2473" t="n">
        <v>0</v>
      </c>
      <c r="R2473" s="2" t="inlineStr"/>
    </row>
    <row r="2474" ht="15" customHeight="1">
      <c r="A2474" t="inlineStr">
        <is>
          <t>A 64229-2019</t>
        </is>
      </c>
      <c r="B2474" s="1" t="n">
        <v>43797</v>
      </c>
      <c r="C2474" s="1" t="n">
        <v>45182</v>
      </c>
      <c r="D2474" t="inlineStr">
        <is>
          <t>JÄMTLANDS LÄN</t>
        </is>
      </c>
      <c r="E2474" t="inlineStr">
        <is>
          <t>HÄRJEDALEN</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65415-2019</t>
        </is>
      </c>
      <c r="B2475" s="1" t="n">
        <v>43797</v>
      </c>
      <c r="C2475" s="1" t="n">
        <v>45182</v>
      </c>
      <c r="D2475" t="inlineStr">
        <is>
          <t>JÄMTLANDS LÄN</t>
        </is>
      </c>
      <c r="E2475" t="inlineStr">
        <is>
          <t>STRÖMSUND</t>
        </is>
      </c>
      <c r="G2475" t="n">
        <v>1.2</v>
      </c>
      <c r="H2475" t="n">
        <v>0</v>
      </c>
      <c r="I2475" t="n">
        <v>0</v>
      </c>
      <c r="J2475" t="n">
        <v>0</v>
      </c>
      <c r="K2475" t="n">
        <v>0</v>
      </c>
      <c r="L2475" t="n">
        <v>0</v>
      </c>
      <c r="M2475" t="n">
        <v>0</v>
      </c>
      <c r="N2475" t="n">
        <v>0</v>
      </c>
      <c r="O2475" t="n">
        <v>0</v>
      </c>
      <c r="P2475" t="n">
        <v>0</v>
      </c>
      <c r="Q2475" t="n">
        <v>0</v>
      </c>
      <c r="R2475" s="2" t="inlineStr"/>
    </row>
    <row r="2476" ht="15" customHeight="1">
      <c r="A2476" t="inlineStr">
        <is>
          <t>A 64432-2019</t>
        </is>
      </c>
      <c r="B2476" s="1" t="n">
        <v>43797</v>
      </c>
      <c r="C2476" s="1" t="n">
        <v>45182</v>
      </c>
      <c r="D2476" t="inlineStr">
        <is>
          <t>JÄMTLANDS LÄN</t>
        </is>
      </c>
      <c r="E2476" t="inlineStr">
        <is>
          <t>RAGUNDA</t>
        </is>
      </c>
      <c r="G2476" t="n">
        <v>3.1</v>
      </c>
      <c r="H2476" t="n">
        <v>0</v>
      </c>
      <c r="I2476" t="n">
        <v>0</v>
      </c>
      <c r="J2476" t="n">
        <v>0</v>
      </c>
      <c r="K2476" t="n">
        <v>0</v>
      </c>
      <c r="L2476" t="n">
        <v>0</v>
      </c>
      <c r="M2476" t="n">
        <v>0</v>
      </c>
      <c r="N2476" t="n">
        <v>0</v>
      </c>
      <c r="O2476" t="n">
        <v>0</v>
      </c>
      <c r="P2476" t="n">
        <v>0</v>
      </c>
      <c r="Q2476" t="n">
        <v>0</v>
      </c>
      <c r="R2476" s="2" t="inlineStr"/>
    </row>
    <row r="2477" ht="15" customHeight="1">
      <c r="A2477" t="inlineStr">
        <is>
          <t>A 64689-2019</t>
        </is>
      </c>
      <c r="B2477" s="1" t="n">
        <v>43798</v>
      </c>
      <c r="C2477" s="1" t="n">
        <v>45182</v>
      </c>
      <c r="D2477" t="inlineStr">
        <is>
          <t>JÄMTLANDS LÄN</t>
        </is>
      </c>
      <c r="E2477" t="inlineStr">
        <is>
          <t>HÄRJEDALEN</t>
        </is>
      </c>
      <c r="F2477" t="inlineStr">
        <is>
          <t>Holmen skog AB</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65065-2019</t>
        </is>
      </c>
      <c r="B2478" s="1" t="n">
        <v>43801</v>
      </c>
      <c r="C2478" s="1" t="n">
        <v>45182</v>
      </c>
      <c r="D2478" t="inlineStr">
        <is>
          <t>JÄMTLANDS LÄN</t>
        </is>
      </c>
      <c r="E2478" t="inlineStr">
        <is>
          <t>KROKOM</t>
        </is>
      </c>
      <c r="F2478" t="inlineStr">
        <is>
          <t>Övriga Aktiebolag</t>
        </is>
      </c>
      <c r="G2478" t="n">
        <v>30.7</v>
      </c>
      <c r="H2478" t="n">
        <v>0</v>
      </c>
      <c r="I2478" t="n">
        <v>0</v>
      </c>
      <c r="J2478" t="n">
        <v>0</v>
      </c>
      <c r="K2478" t="n">
        <v>0</v>
      </c>
      <c r="L2478" t="n">
        <v>0</v>
      </c>
      <c r="M2478" t="n">
        <v>0</v>
      </c>
      <c r="N2478" t="n">
        <v>0</v>
      </c>
      <c r="O2478" t="n">
        <v>0</v>
      </c>
      <c r="P2478" t="n">
        <v>0</v>
      </c>
      <c r="Q2478" t="n">
        <v>0</v>
      </c>
      <c r="R2478" s="2" t="inlineStr"/>
    </row>
    <row r="2479" ht="15" customHeight="1">
      <c r="A2479" t="inlineStr">
        <is>
          <t>A 65038-2019</t>
        </is>
      </c>
      <c r="B2479" s="1" t="n">
        <v>43801</v>
      </c>
      <c r="C2479" s="1" t="n">
        <v>45182</v>
      </c>
      <c r="D2479" t="inlineStr">
        <is>
          <t>JÄMTLANDS LÄN</t>
        </is>
      </c>
      <c r="E2479" t="inlineStr">
        <is>
          <t>BRÄCKE</t>
        </is>
      </c>
      <c r="F2479" t="inlineStr">
        <is>
          <t>SCA</t>
        </is>
      </c>
      <c r="G2479" t="n">
        <v>3.6</v>
      </c>
      <c r="H2479" t="n">
        <v>0</v>
      </c>
      <c r="I2479" t="n">
        <v>0</v>
      </c>
      <c r="J2479" t="n">
        <v>0</v>
      </c>
      <c r="K2479" t="n">
        <v>0</v>
      </c>
      <c r="L2479" t="n">
        <v>0</v>
      </c>
      <c r="M2479" t="n">
        <v>0</v>
      </c>
      <c r="N2479" t="n">
        <v>0</v>
      </c>
      <c r="O2479" t="n">
        <v>0</v>
      </c>
      <c r="P2479" t="n">
        <v>0</v>
      </c>
      <c r="Q2479" t="n">
        <v>0</v>
      </c>
      <c r="R2479" s="2" t="inlineStr"/>
    </row>
    <row r="2480" ht="15" customHeight="1">
      <c r="A2480" t="inlineStr">
        <is>
          <t>A 65986-2019</t>
        </is>
      </c>
      <c r="B2480" s="1" t="n">
        <v>43801</v>
      </c>
      <c r="C2480" s="1" t="n">
        <v>45182</v>
      </c>
      <c r="D2480" t="inlineStr">
        <is>
          <t>JÄMTLANDS LÄN</t>
        </is>
      </c>
      <c r="E2480" t="inlineStr">
        <is>
          <t>ÅRE</t>
        </is>
      </c>
      <c r="G2480" t="n">
        <v>3</v>
      </c>
      <c r="H2480" t="n">
        <v>0</v>
      </c>
      <c r="I2480" t="n">
        <v>0</v>
      </c>
      <c r="J2480" t="n">
        <v>0</v>
      </c>
      <c r="K2480" t="n">
        <v>0</v>
      </c>
      <c r="L2480" t="n">
        <v>0</v>
      </c>
      <c r="M2480" t="n">
        <v>0</v>
      </c>
      <c r="N2480" t="n">
        <v>0</v>
      </c>
      <c r="O2480" t="n">
        <v>0</v>
      </c>
      <c r="P2480" t="n">
        <v>0</v>
      </c>
      <c r="Q2480" t="n">
        <v>0</v>
      </c>
      <c r="R2480" s="2" t="inlineStr"/>
    </row>
    <row r="2481" ht="15" customHeight="1">
      <c r="A2481" t="inlineStr">
        <is>
          <t>A 65322-2019</t>
        </is>
      </c>
      <c r="B2481" s="1" t="n">
        <v>43802</v>
      </c>
      <c r="C2481" s="1" t="n">
        <v>45182</v>
      </c>
      <c r="D2481" t="inlineStr">
        <is>
          <t>JÄMTLANDS LÄN</t>
        </is>
      </c>
      <c r="E2481" t="inlineStr">
        <is>
          <t>KROKOM</t>
        </is>
      </c>
      <c r="F2481" t="inlineStr">
        <is>
          <t>SCA</t>
        </is>
      </c>
      <c r="G2481" t="n">
        <v>6</v>
      </c>
      <c r="H2481" t="n">
        <v>0</v>
      </c>
      <c r="I2481" t="n">
        <v>0</v>
      </c>
      <c r="J2481" t="n">
        <v>0</v>
      </c>
      <c r="K2481" t="n">
        <v>0</v>
      </c>
      <c r="L2481" t="n">
        <v>0</v>
      </c>
      <c r="M2481" t="n">
        <v>0</v>
      </c>
      <c r="N2481" t="n">
        <v>0</v>
      </c>
      <c r="O2481" t="n">
        <v>0</v>
      </c>
      <c r="P2481" t="n">
        <v>0</v>
      </c>
      <c r="Q2481" t="n">
        <v>0</v>
      </c>
      <c r="R2481" s="2" t="inlineStr"/>
    </row>
    <row r="2482" ht="15" customHeight="1">
      <c r="A2482" t="inlineStr">
        <is>
          <t>A 65335-2019</t>
        </is>
      </c>
      <c r="B2482" s="1" t="n">
        <v>43802</v>
      </c>
      <c r="C2482" s="1" t="n">
        <v>45182</v>
      </c>
      <c r="D2482" t="inlineStr">
        <is>
          <t>JÄMTLANDS LÄN</t>
        </is>
      </c>
      <c r="E2482" t="inlineStr">
        <is>
          <t>ÖSTERSUND</t>
        </is>
      </c>
      <c r="G2482" t="n">
        <v>2.8</v>
      </c>
      <c r="H2482" t="n">
        <v>0</v>
      </c>
      <c r="I2482" t="n">
        <v>0</v>
      </c>
      <c r="J2482" t="n">
        <v>0</v>
      </c>
      <c r="K2482" t="n">
        <v>0</v>
      </c>
      <c r="L2482" t="n">
        <v>0</v>
      </c>
      <c r="M2482" t="n">
        <v>0</v>
      </c>
      <c r="N2482" t="n">
        <v>0</v>
      </c>
      <c r="O2482" t="n">
        <v>0</v>
      </c>
      <c r="P2482" t="n">
        <v>0</v>
      </c>
      <c r="Q2482" t="n">
        <v>0</v>
      </c>
      <c r="R2482" s="2" t="inlineStr"/>
    </row>
    <row r="2483" ht="15" customHeight="1">
      <c r="A2483" t="inlineStr">
        <is>
          <t>A 65323-2019</t>
        </is>
      </c>
      <c r="B2483" s="1" t="n">
        <v>43802</v>
      </c>
      <c r="C2483" s="1" t="n">
        <v>45182</v>
      </c>
      <c r="D2483" t="inlineStr">
        <is>
          <t>JÄMTLANDS LÄN</t>
        </is>
      </c>
      <c r="E2483" t="inlineStr">
        <is>
          <t>KROKOM</t>
        </is>
      </c>
      <c r="G2483" t="n">
        <v>1.8</v>
      </c>
      <c r="H2483" t="n">
        <v>0</v>
      </c>
      <c r="I2483" t="n">
        <v>0</v>
      </c>
      <c r="J2483" t="n">
        <v>0</v>
      </c>
      <c r="K2483" t="n">
        <v>0</v>
      </c>
      <c r="L2483" t="n">
        <v>0</v>
      </c>
      <c r="M2483" t="n">
        <v>0</v>
      </c>
      <c r="N2483" t="n">
        <v>0</v>
      </c>
      <c r="O2483" t="n">
        <v>0</v>
      </c>
      <c r="P2483" t="n">
        <v>0</v>
      </c>
      <c r="Q2483" t="n">
        <v>0</v>
      </c>
      <c r="R2483" s="2" t="inlineStr"/>
    </row>
    <row r="2484" ht="15" customHeight="1">
      <c r="A2484" t="inlineStr">
        <is>
          <t>A 66475-2019</t>
        </is>
      </c>
      <c r="B2484" s="1" t="n">
        <v>43803</v>
      </c>
      <c r="C2484" s="1" t="n">
        <v>45182</v>
      </c>
      <c r="D2484" t="inlineStr">
        <is>
          <t>JÄMTLANDS LÄN</t>
        </is>
      </c>
      <c r="E2484" t="inlineStr">
        <is>
          <t>RAGUNDA</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66574-2019</t>
        </is>
      </c>
      <c r="B2485" s="1" t="n">
        <v>43803</v>
      </c>
      <c r="C2485" s="1" t="n">
        <v>45182</v>
      </c>
      <c r="D2485" t="inlineStr">
        <is>
          <t>JÄMTLANDS LÄN</t>
        </is>
      </c>
      <c r="E2485" t="inlineStr">
        <is>
          <t>STRÖMSUND</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65759-2019</t>
        </is>
      </c>
      <c r="B2486" s="1" t="n">
        <v>43804</v>
      </c>
      <c r="C2486" s="1" t="n">
        <v>45182</v>
      </c>
      <c r="D2486" t="inlineStr">
        <is>
          <t>JÄMTLANDS LÄN</t>
        </is>
      </c>
      <c r="E2486" t="inlineStr">
        <is>
          <t>HÄRJEDALEN</t>
        </is>
      </c>
      <c r="G2486" t="n">
        <v>0.2</v>
      </c>
      <c r="H2486" t="n">
        <v>0</v>
      </c>
      <c r="I2486" t="n">
        <v>0</v>
      </c>
      <c r="J2486" t="n">
        <v>0</v>
      </c>
      <c r="K2486" t="n">
        <v>0</v>
      </c>
      <c r="L2486" t="n">
        <v>0</v>
      </c>
      <c r="M2486" t="n">
        <v>0</v>
      </c>
      <c r="N2486" t="n">
        <v>0</v>
      </c>
      <c r="O2486" t="n">
        <v>0</v>
      </c>
      <c r="P2486" t="n">
        <v>0</v>
      </c>
      <c r="Q2486" t="n">
        <v>0</v>
      </c>
      <c r="R2486" s="2" t="inlineStr"/>
    </row>
    <row r="2487" ht="15" customHeight="1">
      <c r="A2487" t="inlineStr">
        <is>
          <t>A 65786-2019</t>
        </is>
      </c>
      <c r="B2487" s="1" t="n">
        <v>43804</v>
      </c>
      <c r="C2487" s="1" t="n">
        <v>45182</v>
      </c>
      <c r="D2487" t="inlineStr">
        <is>
          <t>JÄMTLANDS LÄN</t>
        </is>
      </c>
      <c r="E2487" t="inlineStr">
        <is>
          <t>KROKOM</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65780-2019</t>
        </is>
      </c>
      <c r="B2488" s="1" t="n">
        <v>43804</v>
      </c>
      <c r="C2488" s="1" t="n">
        <v>45182</v>
      </c>
      <c r="D2488" t="inlineStr">
        <is>
          <t>JÄMTLANDS LÄN</t>
        </is>
      </c>
      <c r="E2488" t="inlineStr">
        <is>
          <t>KROKOM</t>
        </is>
      </c>
      <c r="G2488" t="n">
        <v>0.2</v>
      </c>
      <c r="H2488" t="n">
        <v>0</v>
      </c>
      <c r="I2488" t="n">
        <v>0</v>
      </c>
      <c r="J2488" t="n">
        <v>0</v>
      </c>
      <c r="K2488" t="n">
        <v>0</v>
      </c>
      <c r="L2488" t="n">
        <v>0</v>
      </c>
      <c r="M2488" t="n">
        <v>0</v>
      </c>
      <c r="N2488" t="n">
        <v>0</v>
      </c>
      <c r="O2488" t="n">
        <v>0</v>
      </c>
      <c r="P2488" t="n">
        <v>0</v>
      </c>
      <c r="Q2488" t="n">
        <v>0</v>
      </c>
      <c r="R2488" s="2" t="inlineStr"/>
    </row>
    <row r="2489" ht="15" customHeight="1">
      <c r="A2489" t="inlineStr">
        <is>
          <t>A 65781-2019</t>
        </is>
      </c>
      <c r="B2489" s="1" t="n">
        <v>43804</v>
      </c>
      <c r="C2489" s="1" t="n">
        <v>45182</v>
      </c>
      <c r="D2489" t="inlineStr">
        <is>
          <t>JÄMTLANDS LÄN</t>
        </is>
      </c>
      <c r="E2489" t="inlineStr">
        <is>
          <t>STRÖMSUND</t>
        </is>
      </c>
      <c r="G2489" t="n">
        <v>4.3</v>
      </c>
      <c r="H2489" t="n">
        <v>0</v>
      </c>
      <c r="I2489" t="n">
        <v>0</v>
      </c>
      <c r="J2489" t="n">
        <v>0</v>
      </c>
      <c r="K2489" t="n">
        <v>0</v>
      </c>
      <c r="L2489" t="n">
        <v>0</v>
      </c>
      <c r="M2489" t="n">
        <v>0</v>
      </c>
      <c r="N2489" t="n">
        <v>0</v>
      </c>
      <c r="O2489" t="n">
        <v>0</v>
      </c>
      <c r="P2489" t="n">
        <v>0</v>
      </c>
      <c r="Q2489" t="n">
        <v>0</v>
      </c>
      <c r="R2489" s="2" t="inlineStr"/>
    </row>
    <row r="2490" ht="15" customHeight="1">
      <c r="A2490" t="inlineStr">
        <is>
          <t>A 66051-2019</t>
        </is>
      </c>
      <c r="B2490" s="1" t="n">
        <v>43805</v>
      </c>
      <c r="C2490" s="1" t="n">
        <v>45182</v>
      </c>
      <c r="D2490" t="inlineStr">
        <is>
          <t>JÄMTLANDS LÄN</t>
        </is>
      </c>
      <c r="E2490" t="inlineStr">
        <is>
          <t>KROKOM</t>
        </is>
      </c>
      <c r="G2490" t="n">
        <v>12.1</v>
      </c>
      <c r="H2490" t="n">
        <v>0</v>
      </c>
      <c r="I2490" t="n">
        <v>0</v>
      </c>
      <c r="J2490" t="n">
        <v>0</v>
      </c>
      <c r="K2490" t="n">
        <v>0</v>
      </c>
      <c r="L2490" t="n">
        <v>0</v>
      </c>
      <c r="M2490" t="n">
        <v>0</v>
      </c>
      <c r="N2490" t="n">
        <v>0</v>
      </c>
      <c r="O2490" t="n">
        <v>0</v>
      </c>
      <c r="P2490" t="n">
        <v>0</v>
      </c>
      <c r="Q2490" t="n">
        <v>0</v>
      </c>
      <c r="R2490" s="2" t="inlineStr"/>
    </row>
    <row r="2491" ht="15" customHeight="1">
      <c r="A2491" t="inlineStr">
        <is>
          <t>A 67010-2019</t>
        </is>
      </c>
      <c r="B2491" s="1" t="n">
        <v>43805</v>
      </c>
      <c r="C2491" s="1" t="n">
        <v>45182</v>
      </c>
      <c r="D2491" t="inlineStr">
        <is>
          <t>JÄMTLANDS LÄN</t>
        </is>
      </c>
      <c r="E2491" t="inlineStr">
        <is>
          <t>ÖSTERSUND</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65893-2019</t>
        </is>
      </c>
      <c r="B2492" s="1" t="n">
        <v>43805</v>
      </c>
      <c r="C2492" s="1" t="n">
        <v>45182</v>
      </c>
      <c r="D2492" t="inlineStr">
        <is>
          <t>JÄMTLANDS LÄN</t>
        </is>
      </c>
      <c r="E2492" t="inlineStr">
        <is>
          <t>BERG</t>
        </is>
      </c>
      <c r="G2492" t="n">
        <v>6.7</v>
      </c>
      <c r="H2492" t="n">
        <v>0</v>
      </c>
      <c r="I2492" t="n">
        <v>0</v>
      </c>
      <c r="J2492" t="n">
        <v>0</v>
      </c>
      <c r="K2492" t="n">
        <v>0</v>
      </c>
      <c r="L2492" t="n">
        <v>0</v>
      </c>
      <c r="M2492" t="n">
        <v>0</v>
      </c>
      <c r="N2492" t="n">
        <v>0</v>
      </c>
      <c r="O2492" t="n">
        <v>0</v>
      </c>
      <c r="P2492" t="n">
        <v>0</v>
      </c>
      <c r="Q2492" t="n">
        <v>0</v>
      </c>
      <c r="R2492" s="2" t="inlineStr"/>
    </row>
    <row r="2493" ht="15" customHeight="1">
      <c r="A2493" t="inlineStr">
        <is>
          <t>A 67064-2019</t>
        </is>
      </c>
      <c r="B2493" s="1" t="n">
        <v>43805</v>
      </c>
      <c r="C2493" s="1" t="n">
        <v>45182</v>
      </c>
      <c r="D2493" t="inlineStr">
        <is>
          <t>JÄMTLANDS LÄN</t>
        </is>
      </c>
      <c r="E2493" t="inlineStr">
        <is>
          <t>STRÖMSUND</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67122-2019</t>
        </is>
      </c>
      <c r="B2494" s="1" t="n">
        <v>43805</v>
      </c>
      <c r="C2494" s="1" t="n">
        <v>45182</v>
      </c>
      <c r="D2494" t="inlineStr">
        <is>
          <t>JÄMTLANDS LÄN</t>
        </is>
      </c>
      <c r="E2494" t="inlineStr">
        <is>
          <t>RAGUNDA</t>
        </is>
      </c>
      <c r="G2494" t="n">
        <v>0.2</v>
      </c>
      <c r="H2494" t="n">
        <v>0</v>
      </c>
      <c r="I2494" t="n">
        <v>0</v>
      </c>
      <c r="J2494" t="n">
        <v>0</v>
      </c>
      <c r="K2494" t="n">
        <v>0</v>
      </c>
      <c r="L2494" t="n">
        <v>0</v>
      </c>
      <c r="M2494" t="n">
        <v>0</v>
      </c>
      <c r="N2494" t="n">
        <v>0</v>
      </c>
      <c r="O2494" t="n">
        <v>0</v>
      </c>
      <c r="P2494" t="n">
        <v>0</v>
      </c>
      <c r="Q2494" t="n">
        <v>0</v>
      </c>
      <c r="R2494" s="2" t="inlineStr"/>
    </row>
    <row r="2495" ht="15" customHeight="1">
      <c r="A2495" t="inlineStr">
        <is>
          <t>A 66255-2019</t>
        </is>
      </c>
      <c r="B2495" s="1" t="n">
        <v>43808</v>
      </c>
      <c r="C2495" s="1" t="n">
        <v>45182</v>
      </c>
      <c r="D2495" t="inlineStr">
        <is>
          <t>JÄMTLANDS LÄN</t>
        </is>
      </c>
      <c r="E2495" t="inlineStr">
        <is>
          <t>HÄRJEDALEN</t>
        </is>
      </c>
      <c r="F2495" t="inlineStr">
        <is>
          <t>Sveaskog</t>
        </is>
      </c>
      <c r="G2495" t="n">
        <v>0.9</v>
      </c>
      <c r="H2495" t="n">
        <v>0</v>
      </c>
      <c r="I2495" t="n">
        <v>0</v>
      </c>
      <c r="J2495" t="n">
        <v>0</v>
      </c>
      <c r="K2495" t="n">
        <v>0</v>
      </c>
      <c r="L2495" t="n">
        <v>0</v>
      </c>
      <c r="M2495" t="n">
        <v>0</v>
      </c>
      <c r="N2495" t="n">
        <v>0</v>
      </c>
      <c r="O2495" t="n">
        <v>0</v>
      </c>
      <c r="P2495" t="n">
        <v>0</v>
      </c>
      <c r="Q2495" t="n">
        <v>0</v>
      </c>
      <c r="R2495" s="2" t="inlineStr"/>
    </row>
    <row r="2496" ht="15" customHeight="1">
      <c r="A2496" t="inlineStr">
        <is>
          <t>A 67556-2019</t>
        </is>
      </c>
      <c r="B2496" s="1" t="n">
        <v>43808</v>
      </c>
      <c r="C2496" s="1" t="n">
        <v>45182</v>
      </c>
      <c r="D2496" t="inlineStr">
        <is>
          <t>JÄMTLANDS LÄN</t>
        </is>
      </c>
      <c r="E2496" t="inlineStr">
        <is>
          <t>BERG</t>
        </is>
      </c>
      <c r="G2496" t="n">
        <v>1</v>
      </c>
      <c r="H2496" t="n">
        <v>0</v>
      </c>
      <c r="I2496" t="n">
        <v>0</v>
      </c>
      <c r="J2496" t="n">
        <v>0</v>
      </c>
      <c r="K2496" t="n">
        <v>0</v>
      </c>
      <c r="L2496" t="n">
        <v>0</v>
      </c>
      <c r="M2496" t="n">
        <v>0</v>
      </c>
      <c r="N2496" t="n">
        <v>0</v>
      </c>
      <c r="O2496" t="n">
        <v>0</v>
      </c>
      <c r="P2496" t="n">
        <v>0</v>
      </c>
      <c r="Q2496" t="n">
        <v>0</v>
      </c>
      <c r="R2496" s="2" t="inlineStr"/>
    </row>
    <row r="2497" ht="15" customHeight="1">
      <c r="A2497" t="inlineStr">
        <is>
          <t>A 66275-2019</t>
        </is>
      </c>
      <c r="B2497" s="1" t="n">
        <v>43808</v>
      </c>
      <c r="C2497" s="1" t="n">
        <v>45182</v>
      </c>
      <c r="D2497" t="inlineStr">
        <is>
          <t>JÄMTLANDS LÄN</t>
        </is>
      </c>
      <c r="E2497" t="inlineStr">
        <is>
          <t>BERG</t>
        </is>
      </c>
      <c r="G2497" t="n">
        <v>4.5</v>
      </c>
      <c r="H2497" t="n">
        <v>0</v>
      </c>
      <c r="I2497" t="n">
        <v>0</v>
      </c>
      <c r="J2497" t="n">
        <v>0</v>
      </c>
      <c r="K2497" t="n">
        <v>0</v>
      </c>
      <c r="L2497" t="n">
        <v>0</v>
      </c>
      <c r="M2497" t="n">
        <v>0</v>
      </c>
      <c r="N2497" t="n">
        <v>0</v>
      </c>
      <c r="O2497" t="n">
        <v>0</v>
      </c>
      <c r="P2497" t="n">
        <v>0</v>
      </c>
      <c r="Q2497" t="n">
        <v>0</v>
      </c>
      <c r="R2497" s="2" t="inlineStr"/>
    </row>
    <row r="2498" ht="15" customHeight="1">
      <c r="A2498" t="inlineStr">
        <is>
          <t>A 66377-2019</t>
        </is>
      </c>
      <c r="B2498" s="1" t="n">
        <v>43808</v>
      </c>
      <c r="C2498" s="1" t="n">
        <v>45182</v>
      </c>
      <c r="D2498" t="inlineStr">
        <is>
          <t>JÄMTLANDS LÄN</t>
        </is>
      </c>
      <c r="E2498" t="inlineStr">
        <is>
          <t>BRÄCKE</t>
        </is>
      </c>
      <c r="G2498" t="n">
        <v>0.7</v>
      </c>
      <c r="H2498" t="n">
        <v>0</v>
      </c>
      <c r="I2498" t="n">
        <v>0</v>
      </c>
      <c r="J2498" t="n">
        <v>0</v>
      </c>
      <c r="K2498" t="n">
        <v>0</v>
      </c>
      <c r="L2498" t="n">
        <v>0</v>
      </c>
      <c r="M2498" t="n">
        <v>0</v>
      </c>
      <c r="N2498" t="n">
        <v>0</v>
      </c>
      <c r="O2498" t="n">
        <v>0</v>
      </c>
      <c r="P2498" t="n">
        <v>0</v>
      </c>
      <c r="Q2498" t="n">
        <v>0</v>
      </c>
      <c r="R2498" s="2" t="inlineStr"/>
    </row>
    <row r="2499" ht="15" customHeight="1">
      <c r="A2499" t="inlineStr">
        <is>
          <t>A 66395-2019</t>
        </is>
      </c>
      <c r="B2499" s="1" t="n">
        <v>43808</v>
      </c>
      <c r="C2499" s="1" t="n">
        <v>45182</v>
      </c>
      <c r="D2499" t="inlineStr">
        <is>
          <t>JÄMTLANDS LÄN</t>
        </is>
      </c>
      <c r="E2499" t="inlineStr">
        <is>
          <t>ÅRE</t>
        </is>
      </c>
      <c r="G2499" t="n">
        <v>1.6</v>
      </c>
      <c r="H2499" t="n">
        <v>0</v>
      </c>
      <c r="I2499" t="n">
        <v>0</v>
      </c>
      <c r="J2499" t="n">
        <v>0</v>
      </c>
      <c r="K2499" t="n">
        <v>0</v>
      </c>
      <c r="L2499" t="n">
        <v>0</v>
      </c>
      <c r="M2499" t="n">
        <v>0</v>
      </c>
      <c r="N2499" t="n">
        <v>0</v>
      </c>
      <c r="O2499" t="n">
        <v>0</v>
      </c>
      <c r="P2499" t="n">
        <v>0</v>
      </c>
      <c r="Q2499" t="n">
        <v>0</v>
      </c>
      <c r="R2499" s="2" t="inlineStr"/>
    </row>
    <row r="2500" ht="15" customHeight="1">
      <c r="A2500" t="inlineStr">
        <is>
          <t>A 66349-2019</t>
        </is>
      </c>
      <c r="B2500" s="1" t="n">
        <v>43808</v>
      </c>
      <c r="C2500" s="1" t="n">
        <v>45182</v>
      </c>
      <c r="D2500" t="inlineStr">
        <is>
          <t>JÄMTLANDS LÄN</t>
        </is>
      </c>
      <c r="E2500" t="inlineStr">
        <is>
          <t>STRÖMSUND</t>
        </is>
      </c>
      <c r="F2500" t="inlineStr">
        <is>
          <t>Sveaskog</t>
        </is>
      </c>
      <c r="G2500" t="n">
        <v>3.7</v>
      </c>
      <c r="H2500" t="n">
        <v>0</v>
      </c>
      <c r="I2500" t="n">
        <v>0</v>
      </c>
      <c r="J2500" t="n">
        <v>0</v>
      </c>
      <c r="K2500" t="n">
        <v>0</v>
      </c>
      <c r="L2500" t="n">
        <v>0</v>
      </c>
      <c r="M2500" t="n">
        <v>0</v>
      </c>
      <c r="N2500" t="n">
        <v>0</v>
      </c>
      <c r="O2500" t="n">
        <v>0</v>
      </c>
      <c r="P2500" t="n">
        <v>0</v>
      </c>
      <c r="Q2500" t="n">
        <v>0</v>
      </c>
      <c r="R2500" s="2" t="inlineStr"/>
    </row>
    <row r="2501" ht="15" customHeight="1">
      <c r="A2501" t="inlineStr">
        <is>
          <t>A 67863-2019</t>
        </is>
      </c>
      <c r="B2501" s="1" t="n">
        <v>43809</v>
      </c>
      <c r="C2501" s="1" t="n">
        <v>45182</v>
      </c>
      <c r="D2501" t="inlineStr">
        <is>
          <t>JÄMTLANDS LÄN</t>
        </is>
      </c>
      <c r="E2501" t="inlineStr">
        <is>
          <t>ÖSTERSUND</t>
        </is>
      </c>
      <c r="G2501" t="n">
        <v>2.3</v>
      </c>
      <c r="H2501" t="n">
        <v>0</v>
      </c>
      <c r="I2501" t="n">
        <v>0</v>
      </c>
      <c r="J2501" t="n">
        <v>0</v>
      </c>
      <c r="K2501" t="n">
        <v>0</v>
      </c>
      <c r="L2501" t="n">
        <v>0</v>
      </c>
      <c r="M2501" t="n">
        <v>0</v>
      </c>
      <c r="N2501" t="n">
        <v>0</v>
      </c>
      <c r="O2501" t="n">
        <v>0</v>
      </c>
      <c r="P2501" t="n">
        <v>0</v>
      </c>
      <c r="Q2501" t="n">
        <v>0</v>
      </c>
      <c r="R2501" s="2" t="inlineStr"/>
    </row>
    <row r="2502" ht="15" customHeight="1">
      <c r="A2502" t="inlineStr">
        <is>
          <t>A 66444-2019</t>
        </is>
      </c>
      <c r="B2502" s="1" t="n">
        <v>43809</v>
      </c>
      <c r="C2502" s="1" t="n">
        <v>45182</v>
      </c>
      <c r="D2502" t="inlineStr">
        <is>
          <t>JÄMTLANDS LÄN</t>
        </is>
      </c>
      <c r="E2502" t="inlineStr">
        <is>
          <t>KROKOM</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66592-2019</t>
        </is>
      </c>
      <c r="B2503" s="1" t="n">
        <v>43809</v>
      </c>
      <c r="C2503" s="1" t="n">
        <v>45182</v>
      </c>
      <c r="D2503" t="inlineStr">
        <is>
          <t>JÄMTLANDS LÄN</t>
        </is>
      </c>
      <c r="E2503" t="inlineStr">
        <is>
          <t>ÖSTERSUND</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66735-2019</t>
        </is>
      </c>
      <c r="B2504" s="1" t="n">
        <v>43810</v>
      </c>
      <c r="C2504" s="1" t="n">
        <v>45182</v>
      </c>
      <c r="D2504" t="inlineStr">
        <is>
          <t>JÄMTLANDS LÄN</t>
        </is>
      </c>
      <c r="E2504" t="inlineStr">
        <is>
          <t>HÄRJEDALEN</t>
        </is>
      </c>
      <c r="F2504" t="inlineStr">
        <is>
          <t>Sveaskog</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67323-2019</t>
        </is>
      </c>
      <c r="B2505" s="1" t="n">
        <v>43810</v>
      </c>
      <c r="C2505" s="1" t="n">
        <v>45182</v>
      </c>
      <c r="D2505" t="inlineStr">
        <is>
          <t>JÄMTLANDS LÄN</t>
        </is>
      </c>
      <c r="E2505" t="inlineStr">
        <is>
          <t>KROKOM</t>
        </is>
      </c>
      <c r="G2505" t="n">
        <v>4.3</v>
      </c>
      <c r="H2505" t="n">
        <v>0</v>
      </c>
      <c r="I2505" t="n">
        <v>0</v>
      </c>
      <c r="J2505" t="n">
        <v>0</v>
      </c>
      <c r="K2505" t="n">
        <v>0</v>
      </c>
      <c r="L2505" t="n">
        <v>0</v>
      </c>
      <c r="M2505" t="n">
        <v>0</v>
      </c>
      <c r="N2505" t="n">
        <v>0</v>
      </c>
      <c r="O2505" t="n">
        <v>0</v>
      </c>
      <c r="P2505" t="n">
        <v>0</v>
      </c>
      <c r="Q2505" t="n">
        <v>0</v>
      </c>
      <c r="R2505" s="2" t="inlineStr"/>
    </row>
    <row r="2506" ht="15" customHeight="1">
      <c r="A2506" t="inlineStr">
        <is>
          <t>A 66774-2019</t>
        </is>
      </c>
      <c r="B2506" s="1" t="n">
        <v>43810</v>
      </c>
      <c r="C2506" s="1" t="n">
        <v>45182</v>
      </c>
      <c r="D2506" t="inlineStr">
        <is>
          <t>JÄMTLANDS LÄN</t>
        </is>
      </c>
      <c r="E2506" t="inlineStr">
        <is>
          <t>ÅRE</t>
        </is>
      </c>
      <c r="G2506" t="n">
        <v>7.4</v>
      </c>
      <c r="H2506" t="n">
        <v>0</v>
      </c>
      <c r="I2506" t="n">
        <v>0</v>
      </c>
      <c r="J2506" t="n">
        <v>0</v>
      </c>
      <c r="K2506" t="n">
        <v>0</v>
      </c>
      <c r="L2506" t="n">
        <v>0</v>
      </c>
      <c r="M2506" t="n">
        <v>0</v>
      </c>
      <c r="N2506" t="n">
        <v>0</v>
      </c>
      <c r="O2506" t="n">
        <v>0</v>
      </c>
      <c r="P2506" t="n">
        <v>0</v>
      </c>
      <c r="Q2506" t="n">
        <v>0</v>
      </c>
      <c r="R2506" s="2" t="inlineStr"/>
    </row>
    <row r="2507" ht="15" customHeight="1">
      <c r="A2507" t="inlineStr">
        <is>
          <t>A 66787-2019</t>
        </is>
      </c>
      <c r="B2507" s="1" t="n">
        <v>43810</v>
      </c>
      <c r="C2507" s="1" t="n">
        <v>45182</v>
      </c>
      <c r="D2507" t="inlineStr">
        <is>
          <t>JÄMTLANDS LÄN</t>
        </is>
      </c>
      <c r="E2507" t="inlineStr">
        <is>
          <t>ÅRE</t>
        </is>
      </c>
      <c r="G2507" t="n">
        <v>2.7</v>
      </c>
      <c r="H2507" t="n">
        <v>0</v>
      </c>
      <c r="I2507" t="n">
        <v>0</v>
      </c>
      <c r="J2507" t="n">
        <v>0</v>
      </c>
      <c r="K2507" t="n">
        <v>0</v>
      </c>
      <c r="L2507" t="n">
        <v>0</v>
      </c>
      <c r="M2507" t="n">
        <v>0</v>
      </c>
      <c r="N2507" t="n">
        <v>0</v>
      </c>
      <c r="O2507" t="n">
        <v>0</v>
      </c>
      <c r="P2507" t="n">
        <v>0</v>
      </c>
      <c r="Q2507" t="n">
        <v>0</v>
      </c>
      <c r="R2507" s="2" t="inlineStr"/>
    </row>
    <row r="2508" ht="15" customHeight="1">
      <c r="A2508" t="inlineStr">
        <is>
          <t>A 68001-2019</t>
        </is>
      </c>
      <c r="B2508" s="1" t="n">
        <v>43810</v>
      </c>
      <c r="C2508" s="1" t="n">
        <v>45182</v>
      </c>
      <c r="D2508" t="inlineStr">
        <is>
          <t>JÄMTLANDS LÄN</t>
        </is>
      </c>
      <c r="E2508" t="inlineStr">
        <is>
          <t>BRÄCKE</t>
        </is>
      </c>
      <c r="G2508" t="n">
        <v>3.6</v>
      </c>
      <c r="H2508" t="n">
        <v>0</v>
      </c>
      <c r="I2508" t="n">
        <v>0</v>
      </c>
      <c r="J2508" t="n">
        <v>0</v>
      </c>
      <c r="K2508" t="n">
        <v>0</v>
      </c>
      <c r="L2508" t="n">
        <v>0</v>
      </c>
      <c r="M2508" t="n">
        <v>0</v>
      </c>
      <c r="N2508" t="n">
        <v>0</v>
      </c>
      <c r="O2508" t="n">
        <v>0</v>
      </c>
      <c r="P2508" t="n">
        <v>0</v>
      </c>
      <c r="Q2508" t="n">
        <v>0</v>
      </c>
      <c r="R2508" s="2" t="inlineStr"/>
    </row>
    <row r="2509" ht="15" customHeight="1">
      <c r="A2509" t="inlineStr">
        <is>
          <t>A 67225-2019</t>
        </is>
      </c>
      <c r="B2509" s="1" t="n">
        <v>43811</v>
      </c>
      <c r="C2509" s="1" t="n">
        <v>45182</v>
      </c>
      <c r="D2509" t="inlineStr">
        <is>
          <t>JÄMTLANDS LÄN</t>
        </is>
      </c>
      <c r="E2509" t="inlineStr">
        <is>
          <t>BERG</t>
        </is>
      </c>
      <c r="G2509" t="n">
        <v>1.4</v>
      </c>
      <c r="H2509" t="n">
        <v>0</v>
      </c>
      <c r="I2509" t="n">
        <v>0</v>
      </c>
      <c r="J2509" t="n">
        <v>0</v>
      </c>
      <c r="K2509" t="n">
        <v>0</v>
      </c>
      <c r="L2509" t="n">
        <v>0</v>
      </c>
      <c r="M2509" t="n">
        <v>0</v>
      </c>
      <c r="N2509" t="n">
        <v>0</v>
      </c>
      <c r="O2509" t="n">
        <v>0</v>
      </c>
      <c r="P2509" t="n">
        <v>0</v>
      </c>
      <c r="Q2509" t="n">
        <v>0</v>
      </c>
      <c r="R2509" s="2" t="inlineStr"/>
    </row>
    <row r="2510" ht="15" customHeight="1">
      <c r="A2510" t="inlineStr">
        <is>
          <t>A 68480-2019</t>
        </is>
      </c>
      <c r="B2510" s="1" t="n">
        <v>43811</v>
      </c>
      <c r="C2510" s="1" t="n">
        <v>45182</v>
      </c>
      <c r="D2510" t="inlineStr">
        <is>
          <t>JÄMTLANDS LÄN</t>
        </is>
      </c>
      <c r="E2510" t="inlineStr">
        <is>
          <t>KROKOM</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67098-2019</t>
        </is>
      </c>
      <c r="B2511" s="1" t="n">
        <v>43811</v>
      </c>
      <c r="C2511" s="1" t="n">
        <v>45182</v>
      </c>
      <c r="D2511" t="inlineStr">
        <is>
          <t>JÄMTLANDS LÄN</t>
        </is>
      </c>
      <c r="E2511" t="inlineStr">
        <is>
          <t>KROKOM</t>
        </is>
      </c>
      <c r="F2511" t="inlineStr">
        <is>
          <t>Övriga Aktiebolag</t>
        </is>
      </c>
      <c r="G2511" t="n">
        <v>0.4</v>
      </c>
      <c r="H2511" t="n">
        <v>0</v>
      </c>
      <c r="I2511" t="n">
        <v>0</v>
      </c>
      <c r="J2511" t="n">
        <v>0</v>
      </c>
      <c r="K2511" t="n">
        <v>0</v>
      </c>
      <c r="L2511" t="n">
        <v>0</v>
      </c>
      <c r="M2511" t="n">
        <v>0</v>
      </c>
      <c r="N2511" t="n">
        <v>0</v>
      </c>
      <c r="O2511" t="n">
        <v>0</v>
      </c>
      <c r="P2511" t="n">
        <v>0</v>
      </c>
      <c r="Q2511" t="n">
        <v>0</v>
      </c>
      <c r="R2511" s="2" t="inlineStr"/>
    </row>
    <row r="2512" ht="15" customHeight="1">
      <c r="A2512" t="inlineStr">
        <is>
          <t>A 67898-2019</t>
        </is>
      </c>
      <c r="B2512" s="1" t="n">
        <v>43811</v>
      </c>
      <c r="C2512" s="1" t="n">
        <v>45182</v>
      </c>
      <c r="D2512" t="inlineStr">
        <is>
          <t>JÄMTLANDS LÄN</t>
        </is>
      </c>
      <c r="E2512" t="inlineStr">
        <is>
          <t>BERG</t>
        </is>
      </c>
      <c r="G2512" t="n">
        <v>3.2</v>
      </c>
      <c r="H2512" t="n">
        <v>0</v>
      </c>
      <c r="I2512" t="n">
        <v>0</v>
      </c>
      <c r="J2512" t="n">
        <v>0</v>
      </c>
      <c r="K2512" t="n">
        <v>0</v>
      </c>
      <c r="L2512" t="n">
        <v>0</v>
      </c>
      <c r="M2512" t="n">
        <v>0</v>
      </c>
      <c r="N2512" t="n">
        <v>0</v>
      </c>
      <c r="O2512" t="n">
        <v>0</v>
      </c>
      <c r="P2512" t="n">
        <v>0</v>
      </c>
      <c r="Q2512" t="n">
        <v>0</v>
      </c>
      <c r="R2512" s="2" t="inlineStr"/>
    </row>
    <row r="2513" ht="15" customHeight="1">
      <c r="A2513" t="inlineStr">
        <is>
          <t>A 67102-2019</t>
        </is>
      </c>
      <c r="B2513" s="1" t="n">
        <v>43811</v>
      </c>
      <c r="C2513" s="1" t="n">
        <v>45182</v>
      </c>
      <c r="D2513" t="inlineStr">
        <is>
          <t>JÄMTLANDS LÄN</t>
        </is>
      </c>
      <c r="E2513" t="inlineStr">
        <is>
          <t>KROKOM</t>
        </is>
      </c>
      <c r="F2513" t="inlineStr">
        <is>
          <t>Övriga Aktiebolag</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67988-2019</t>
        </is>
      </c>
      <c r="B2514" s="1" t="n">
        <v>43811</v>
      </c>
      <c r="C2514" s="1" t="n">
        <v>45182</v>
      </c>
      <c r="D2514" t="inlineStr">
        <is>
          <t>JÄMTLANDS LÄN</t>
        </is>
      </c>
      <c r="E2514" t="inlineStr">
        <is>
          <t>ÅRE</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67071-2019</t>
        </is>
      </c>
      <c r="B2515" s="1" t="n">
        <v>43811</v>
      </c>
      <c r="C2515" s="1" t="n">
        <v>45182</v>
      </c>
      <c r="D2515" t="inlineStr">
        <is>
          <t>JÄMTLANDS LÄN</t>
        </is>
      </c>
      <c r="E2515" t="inlineStr">
        <is>
          <t>KROKOM</t>
        </is>
      </c>
      <c r="F2515" t="inlineStr">
        <is>
          <t>Övriga Aktiebolag</t>
        </is>
      </c>
      <c r="G2515" t="n">
        <v>0.4</v>
      </c>
      <c r="H2515" t="n">
        <v>0</v>
      </c>
      <c r="I2515" t="n">
        <v>0</v>
      </c>
      <c r="J2515" t="n">
        <v>0</v>
      </c>
      <c r="K2515" t="n">
        <v>0</v>
      </c>
      <c r="L2515" t="n">
        <v>0</v>
      </c>
      <c r="M2515" t="n">
        <v>0</v>
      </c>
      <c r="N2515" t="n">
        <v>0</v>
      </c>
      <c r="O2515" t="n">
        <v>0</v>
      </c>
      <c r="P2515" t="n">
        <v>0</v>
      </c>
      <c r="Q2515" t="n">
        <v>0</v>
      </c>
      <c r="R2515" s="2" t="inlineStr"/>
    </row>
    <row r="2516" ht="15" customHeight="1">
      <c r="A2516" t="inlineStr">
        <is>
          <t>A 67081-2019</t>
        </is>
      </c>
      <c r="B2516" s="1" t="n">
        <v>43811</v>
      </c>
      <c r="C2516" s="1" t="n">
        <v>45182</v>
      </c>
      <c r="D2516" t="inlineStr">
        <is>
          <t>JÄMTLANDS LÄN</t>
        </is>
      </c>
      <c r="E2516" t="inlineStr">
        <is>
          <t>KROKOM</t>
        </is>
      </c>
      <c r="F2516" t="inlineStr">
        <is>
          <t>Övriga Aktiebolag</t>
        </is>
      </c>
      <c r="G2516" t="n">
        <v>0.3</v>
      </c>
      <c r="H2516" t="n">
        <v>0</v>
      </c>
      <c r="I2516" t="n">
        <v>0</v>
      </c>
      <c r="J2516" t="n">
        <v>0</v>
      </c>
      <c r="K2516" t="n">
        <v>0</v>
      </c>
      <c r="L2516" t="n">
        <v>0</v>
      </c>
      <c r="M2516" t="n">
        <v>0</v>
      </c>
      <c r="N2516" t="n">
        <v>0</v>
      </c>
      <c r="O2516" t="n">
        <v>0</v>
      </c>
      <c r="P2516" t="n">
        <v>0</v>
      </c>
      <c r="Q2516" t="n">
        <v>0</v>
      </c>
      <c r="R2516" s="2" t="inlineStr"/>
    </row>
    <row r="2517" ht="15" customHeight="1">
      <c r="A2517" t="inlineStr">
        <is>
          <t>A 67214-2019</t>
        </is>
      </c>
      <c r="B2517" s="1" t="n">
        <v>43811</v>
      </c>
      <c r="C2517" s="1" t="n">
        <v>45182</v>
      </c>
      <c r="D2517" t="inlineStr">
        <is>
          <t>JÄMTLANDS LÄN</t>
        </is>
      </c>
      <c r="E2517" t="inlineStr">
        <is>
          <t>BRÄCKE</t>
        </is>
      </c>
      <c r="G2517" t="n">
        <v>0.2</v>
      </c>
      <c r="H2517" t="n">
        <v>0</v>
      </c>
      <c r="I2517" t="n">
        <v>0</v>
      </c>
      <c r="J2517" t="n">
        <v>0</v>
      </c>
      <c r="K2517" t="n">
        <v>0</v>
      </c>
      <c r="L2517" t="n">
        <v>0</v>
      </c>
      <c r="M2517" t="n">
        <v>0</v>
      </c>
      <c r="N2517" t="n">
        <v>0</v>
      </c>
      <c r="O2517" t="n">
        <v>0</v>
      </c>
      <c r="P2517" t="n">
        <v>0</v>
      </c>
      <c r="Q2517" t="n">
        <v>0</v>
      </c>
      <c r="R2517" s="2" t="inlineStr"/>
    </row>
    <row r="2518" ht="15" customHeight="1">
      <c r="A2518" t="inlineStr">
        <is>
          <t>A 67255-2019</t>
        </is>
      </c>
      <c r="B2518" s="1" t="n">
        <v>43812</v>
      </c>
      <c r="C2518" s="1" t="n">
        <v>45182</v>
      </c>
      <c r="D2518" t="inlineStr">
        <is>
          <t>JÄMTLANDS LÄN</t>
        </is>
      </c>
      <c r="E2518" t="inlineStr">
        <is>
          <t>BERG</t>
        </is>
      </c>
      <c r="G2518" t="n">
        <v>14.7</v>
      </c>
      <c r="H2518" t="n">
        <v>0</v>
      </c>
      <c r="I2518" t="n">
        <v>0</v>
      </c>
      <c r="J2518" t="n">
        <v>0</v>
      </c>
      <c r="K2518" t="n">
        <v>0</v>
      </c>
      <c r="L2518" t="n">
        <v>0</v>
      </c>
      <c r="M2518" t="n">
        <v>0</v>
      </c>
      <c r="N2518" t="n">
        <v>0</v>
      </c>
      <c r="O2518" t="n">
        <v>0</v>
      </c>
      <c r="P2518" t="n">
        <v>0</v>
      </c>
      <c r="Q2518" t="n">
        <v>0</v>
      </c>
      <c r="R2518" s="2" t="inlineStr"/>
    </row>
    <row r="2519" ht="15" customHeight="1">
      <c r="A2519" t="inlineStr">
        <is>
          <t>A 67342-2019</t>
        </is>
      </c>
      <c r="B2519" s="1" t="n">
        <v>43812</v>
      </c>
      <c r="C2519" s="1" t="n">
        <v>45182</v>
      </c>
      <c r="D2519" t="inlineStr">
        <is>
          <t>JÄMTLANDS LÄN</t>
        </is>
      </c>
      <c r="E2519" t="inlineStr">
        <is>
          <t>BERG</t>
        </is>
      </c>
      <c r="G2519" t="n">
        <v>5</v>
      </c>
      <c r="H2519" t="n">
        <v>0</v>
      </c>
      <c r="I2519" t="n">
        <v>0</v>
      </c>
      <c r="J2519" t="n">
        <v>0</v>
      </c>
      <c r="K2519" t="n">
        <v>0</v>
      </c>
      <c r="L2519" t="n">
        <v>0</v>
      </c>
      <c r="M2519" t="n">
        <v>0</v>
      </c>
      <c r="N2519" t="n">
        <v>0</v>
      </c>
      <c r="O2519" t="n">
        <v>0</v>
      </c>
      <c r="P2519" t="n">
        <v>0</v>
      </c>
      <c r="Q2519" t="n">
        <v>0</v>
      </c>
      <c r="R2519" s="2" t="inlineStr"/>
    </row>
    <row r="2520" ht="15" customHeight="1">
      <c r="A2520" t="inlineStr">
        <is>
          <t>A 67285-2019</t>
        </is>
      </c>
      <c r="B2520" s="1" t="n">
        <v>43812</v>
      </c>
      <c r="C2520" s="1" t="n">
        <v>45182</v>
      </c>
      <c r="D2520" t="inlineStr">
        <is>
          <t>JÄMTLANDS LÄN</t>
        </is>
      </c>
      <c r="E2520" t="inlineStr">
        <is>
          <t>RAGUNDA</t>
        </is>
      </c>
      <c r="G2520" t="n">
        <v>2.5</v>
      </c>
      <c r="H2520" t="n">
        <v>0</v>
      </c>
      <c r="I2520" t="n">
        <v>0</v>
      </c>
      <c r="J2520" t="n">
        <v>0</v>
      </c>
      <c r="K2520" t="n">
        <v>0</v>
      </c>
      <c r="L2520" t="n">
        <v>0</v>
      </c>
      <c r="M2520" t="n">
        <v>0</v>
      </c>
      <c r="N2520" t="n">
        <v>0</v>
      </c>
      <c r="O2520" t="n">
        <v>0</v>
      </c>
      <c r="P2520" t="n">
        <v>0</v>
      </c>
      <c r="Q2520" t="n">
        <v>0</v>
      </c>
      <c r="R2520" s="2" t="inlineStr"/>
    </row>
    <row r="2521" ht="15" customHeight="1">
      <c r="A2521" t="inlineStr">
        <is>
          <t>A 67506-2019</t>
        </is>
      </c>
      <c r="B2521" s="1" t="n">
        <v>43815</v>
      </c>
      <c r="C2521" s="1" t="n">
        <v>45182</v>
      </c>
      <c r="D2521" t="inlineStr">
        <is>
          <t>JÄMTLANDS LÄN</t>
        </is>
      </c>
      <c r="E2521" t="inlineStr">
        <is>
          <t>HÄRJEDALEN</t>
        </is>
      </c>
      <c r="F2521" t="inlineStr">
        <is>
          <t>Holmen skog AB</t>
        </is>
      </c>
      <c r="G2521" t="n">
        <v>27</v>
      </c>
      <c r="H2521" t="n">
        <v>0</v>
      </c>
      <c r="I2521" t="n">
        <v>0</v>
      </c>
      <c r="J2521" t="n">
        <v>0</v>
      </c>
      <c r="K2521" t="n">
        <v>0</v>
      </c>
      <c r="L2521" t="n">
        <v>0</v>
      </c>
      <c r="M2521" t="n">
        <v>0</v>
      </c>
      <c r="N2521" t="n">
        <v>0</v>
      </c>
      <c r="O2521" t="n">
        <v>0</v>
      </c>
      <c r="P2521" t="n">
        <v>0</v>
      </c>
      <c r="Q2521" t="n">
        <v>0</v>
      </c>
      <c r="R2521" s="2" t="inlineStr"/>
    </row>
    <row r="2522" ht="15" customHeight="1">
      <c r="A2522" t="inlineStr">
        <is>
          <t>A 67695-2019</t>
        </is>
      </c>
      <c r="B2522" s="1" t="n">
        <v>43815</v>
      </c>
      <c r="C2522" s="1" t="n">
        <v>45182</v>
      </c>
      <c r="D2522" t="inlineStr">
        <is>
          <t>JÄMTLANDS LÄN</t>
        </is>
      </c>
      <c r="E2522" t="inlineStr">
        <is>
          <t>HÄRJEDALEN</t>
        </is>
      </c>
      <c r="F2522" t="inlineStr">
        <is>
          <t>Holmen skog AB</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67757-2019</t>
        </is>
      </c>
      <c r="B2523" s="1" t="n">
        <v>43815</v>
      </c>
      <c r="C2523" s="1" t="n">
        <v>45182</v>
      </c>
      <c r="D2523" t="inlineStr">
        <is>
          <t>JÄMTLANDS LÄN</t>
        </is>
      </c>
      <c r="E2523" t="inlineStr">
        <is>
          <t>HÄRJEDALEN</t>
        </is>
      </c>
      <c r="F2523" t="inlineStr">
        <is>
          <t>Holmen skog AB</t>
        </is>
      </c>
      <c r="G2523" t="n">
        <v>4</v>
      </c>
      <c r="H2523" t="n">
        <v>0</v>
      </c>
      <c r="I2523" t="n">
        <v>0</v>
      </c>
      <c r="J2523" t="n">
        <v>0</v>
      </c>
      <c r="K2523" t="n">
        <v>0</v>
      </c>
      <c r="L2523" t="n">
        <v>0</v>
      </c>
      <c r="M2523" t="n">
        <v>0</v>
      </c>
      <c r="N2523" t="n">
        <v>0</v>
      </c>
      <c r="O2523" t="n">
        <v>0</v>
      </c>
      <c r="P2523" t="n">
        <v>0</v>
      </c>
      <c r="Q2523" t="n">
        <v>0</v>
      </c>
      <c r="R2523" s="2" t="inlineStr"/>
    </row>
    <row r="2524" ht="15" customHeight="1">
      <c r="A2524" t="inlineStr">
        <is>
          <t>A 67820-2019</t>
        </is>
      </c>
      <c r="B2524" s="1" t="n">
        <v>43815</v>
      </c>
      <c r="C2524" s="1" t="n">
        <v>45182</v>
      </c>
      <c r="D2524" t="inlineStr">
        <is>
          <t>JÄMTLANDS LÄN</t>
        </is>
      </c>
      <c r="E2524" t="inlineStr">
        <is>
          <t>STRÖMSUND</t>
        </is>
      </c>
      <c r="F2524" t="inlineStr">
        <is>
          <t>SCA</t>
        </is>
      </c>
      <c r="G2524" t="n">
        <v>28.7</v>
      </c>
      <c r="H2524" t="n">
        <v>0</v>
      </c>
      <c r="I2524" t="n">
        <v>0</v>
      </c>
      <c r="J2524" t="n">
        <v>0</v>
      </c>
      <c r="K2524" t="n">
        <v>0</v>
      </c>
      <c r="L2524" t="n">
        <v>0</v>
      </c>
      <c r="M2524" t="n">
        <v>0</v>
      </c>
      <c r="N2524" t="n">
        <v>0</v>
      </c>
      <c r="O2524" t="n">
        <v>0</v>
      </c>
      <c r="P2524" t="n">
        <v>0</v>
      </c>
      <c r="Q2524" t="n">
        <v>0</v>
      </c>
      <c r="R2524" s="2" t="inlineStr"/>
    </row>
    <row r="2525" ht="15" customHeight="1">
      <c r="A2525" t="inlineStr">
        <is>
          <t>A 67619-2019</t>
        </is>
      </c>
      <c r="B2525" s="1" t="n">
        <v>43815</v>
      </c>
      <c r="C2525" s="1" t="n">
        <v>45182</v>
      </c>
      <c r="D2525" t="inlineStr">
        <is>
          <t>JÄMTLANDS LÄN</t>
        </is>
      </c>
      <c r="E2525" t="inlineStr">
        <is>
          <t>HÄRJEDALEN</t>
        </is>
      </c>
      <c r="F2525" t="inlineStr">
        <is>
          <t>Holmen skog AB</t>
        </is>
      </c>
      <c r="G2525" t="n">
        <v>6.4</v>
      </c>
      <c r="H2525" t="n">
        <v>0</v>
      </c>
      <c r="I2525" t="n">
        <v>0</v>
      </c>
      <c r="J2525" t="n">
        <v>0</v>
      </c>
      <c r="K2525" t="n">
        <v>0</v>
      </c>
      <c r="L2525" t="n">
        <v>0</v>
      </c>
      <c r="M2525" t="n">
        <v>0</v>
      </c>
      <c r="N2525" t="n">
        <v>0</v>
      </c>
      <c r="O2525" t="n">
        <v>0</v>
      </c>
      <c r="P2525" t="n">
        <v>0</v>
      </c>
      <c r="Q2525" t="n">
        <v>0</v>
      </c>
      <c r="R2525" s="2" t="inlineStr"/>
    </row>
    <row r="2526" ht="15" customHeight="1">
      <c r="A2526" t="inlineStr">
        <is>
          <t>A 67693-2019</t>
        </is>
      </c>
      <c r="B2526" s="1" t="n">
        <v>43815</v>
      </c>
      <c r="C2526" s="1" t="n">
        <v>45182</v>
      </c>
      <c r="D2526" t="inlineStr">
        <is>
          <t>JÄMTLANDS LÄN</t>
        </is>
      </c>
      <c r="E2526" t="inlineStr">
        <is>
          <t>HÄRJEDALEN</t>
        </is>
      </c>
      <c r="F2526" t="inlineStr">
        <is>
          <t>Holmen skog AB</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67733-2019</t>
        </is>
      </c>
      <c r="B2527" s="1" t="n">
        <v>43815</v>
      </c>
      <c r="C2527" s="1" t="n">
        <v>45182</v>
      </c>
      <c r="D2527" t="inlineStr">
        <is>
          <t>JÄMTLANDS LÄN</t>
        </is>
      </c>
      <c r="E2527" t="inlineStr">
        <is>
          <t>HÄRJEDALEN</t>
        </is>
      </c>
      <c r="F2527" t="inlineStr">
        <is>
          <t>Holmen skog AB</t>
        </is>
      </c>
      <c r="G2527" t="n">
        <v>15.5</v>
      </c>
      <c r="H2527" t="n">
        <v>0</v>
      </c>
      <c r="I2527" t="n">
        <v>0</v>
      </c>
      <c r="J2527" t="n">
        <v>0</v>
      </c>
      <c r="K2527" t="n">
        <v>0</v>
      </c>
      <c r="L2527" t="n">
        <v>0</v>
      </c>
      <c r="M2527" t="n">
        <v>0</v>
      </c>
      <c r="N2527" t="n">
        <v>0</v>
      </c>
      <c r="O2527" t="n">
        <v>0</v>
      </c>
      <c r="P2527" t="n">
        <v>0</v>
      </c>
      <c r="Q2527" t="n">
        <v>0</v>
      </c>
      <c r="R2527" s="2" t="inlineStr"/>
    </row>
    <row r="2528" ht="15" customHeight="1">
      <c r="A2528" t="inlineStr">
        <is>
          <t>A 67818-2019</t>
        </is>
      </c>
      <c r="B2528" s="1" t="n">
        <v>43815</v>
      </c>
      <c r="C2528" s="1" t="n">
        <v>45182</v>
      </c>
      <c r="D2528" t="inlineStr">
        <is>
          <t>JÄMTLANDS LÄN</t>
        </is>
      </c>
      <c r="E2528" t="inlineStr">
        <is>
          <t>BRÄCKE</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67688-2019</t>
        </is>
      </c>
      <c r="B2529" s="1" t="n">
        <v>43815</v>
      </c>
      <c r="C2529" s="1" t="n">
        <v>45182</v>
      </c>
      <c r="D2529" t="inlineStr">
        <is>
          <t>JÄMTLANDS LÄN</t>
        </is>
      </c>
      <c r="E2529" t="inlineStr">
        <is>
          <t>HÄRJEDALEN</t>
        </is>
      </c>
      <c r="F2529" t="inlineStr">
        <is>
          <t>Holmen skog AB</t>
        </is>
      </c>
      <c r="G2529" t="n">
        <v>4.2</v>
      </c>
      <c r="H2529" t="n">
        <v>0</v>
      </c>
      <c r="I2529" t="n">
        <v>0</v>
      </c>
      <c r="J2529" t="n">
        <v>0</v>
      </c>
      <c r="K2529" t="n">
        <v>0</v>
      </c>
      <c r="L2529" t="n">
        <v>0</v>
      </c>
      <c r="M2529" t="n">
        <v>0</v>
      </c>
      <c r="N2529" t="n">
        <v>0</v>
      </c>
      <c r="O2529" t="n">
        <v>0</v>
      </c>
      <c r="P2529" t="n">
        <v>0</v>
      </c>
      <c r="Q2529" t="n">
        <v>0</v>
      </c>
      <c r="R2529" s="2" t="inlineStr"/>
    </row>
    <row r="2530" ht="15" customHeight="1">
      <c r="A2530" t="inlineStr">
        <is>
          <t>A 67738-2019</t>
        </is>
      </c>
      <c r="B2530" s="1" t="n">
        <v>43815</v>
      </c>
      <c r="C2530" s="1" t="n">
        <v>45182</v>
      </c>
      <c r="D2530" t="inlineStr">
        <is>
          <t>JÄMTLANDS LÄN</t>
        </is>
      </c>
      <c r="E2530" t="inlineStr">
        <is>
          <t>HÄRJEDALEN</t>
        </is>
      </c>
      <c r="F2530" t="inlineStr">
        <is>
          <t>Holmen skog AB</t>
        </is>
      </c>
      <c r="G2530" t="n">
        <v>15.9</v>
      </c>
      <c r="H2530" t="n">
        <v>0</v>
      </c>
      <c r="I2530" t="n">
        <v>0</v>
      </c>
      <c r="J2530" t="n">
        <v>0</v>
      </c>
      <c r="K2530" t="n">
        <v>0</v>
      </c>
      <c r="L2530" t="n">
        <v>0</v>
      </c>
      <c r="M2530" t="n">
        <v>0</v>
      </c>
      <c r="N2530" t="n">
        <v>0</v>
      </c>
      <c r="O2530" t="n">
        <v>0</v>
      </c>
      <c r="P2530" t="n">
        <v>0</v>
      </c>
      <c r="Q2530" t="n">
        <v>0</v>
      </c>
      <c r="R2530" s="2" t="inlineStr"/>
    </row>
    <row r="2531" ht="15" customHeight="1">
      <c r="A2531" t="inlineStr">
        <is>
          <t>A 67500-2019</t>
        </is>
      </c>
      <c r="B2531" s="1" t="n">
        <v>43815</v>
      </c>
      <c r="C2531" s="1" t="n">
        <v>45182</v>
      </c>
      <c r="D2531" t="inlineStr">
        <is>
          <t>JÄMTLANDS LÄN</t>
        </is>
      </c>
      <c r="E2531" t="inlineStr">
        <is>
          <t>HÄRJEDALEN</t>
        </is>
      </c>
      <c r="F2531" t="inlineStr">
        <is>
          <t>Holmen skog AB</t>
        </is>
      </c>
      <c r="G2531" t="n">
        <v>1.3</v>
      </c>
      <c r="H2531" t="n">
        <v>0</v>
      </c>
      <c r="I2531" t="n">
        <v>0</v>
      </c>
      <c r="J2531" t="n">
        <v>0</v>
      </c>
      <c r="K2531" t="n">
        <v>0</v>
      </c>
      <c r="L2531" t="n">
        <v>0</v>
      </c>
      <c r="M2531" t="n">
        <v>0</v>
      </c>
      <c r="N2531" t="n">
        <v>0</v>
      </c>
      <c r="O2531" t="n">
        <v>0</v>
      </c>
      <c r="P2531" t="n">
        <v>0</v>
      </c>
      <c r="Q2531" t="n">
        <v>0</v>
      </c>
      <c r="R2531" s="2" t="inlineStr"/>
    </row>
    <row r="2532" ht="15" customHeight="1">
      <c r="A2532" t="inlineStr">
        <is>
          <t>A 67535-2019</t>
        </is>
      </c>
      <c r="B2532" s="1" t="n">
        <v>43815</v>
      </c>
      <c r="C2532" s="1" t="n">
        <v>45182</v>
      </c>
      <c r="D2532" t="inlineStr">
        <is>
          <t>JÄMTLANDS LÄN</t>
        </is>
      </c>
      <c r="E2532" t="inlineStr">
        <is>
          <t>HÄRJEDALEN</t>
        </is>
      </c>
      <c r="F2532" t="inlineStr">
        <is>
          <t>Holmen skog AB</t>
        </is>
      </c>
      <c r="G2532" t="n">
        <v>34.3</v>
      </c>
      <c r="H2532" t="n">
        <v>0</v>
      </c>
      <c r="I2532" t="n">
        <v>0</v>
      </c>
      <c r="J2532" t="n">
        <v>0</v>
      </c>
      <c r="K2532" t="n">
        <v>0</v>
      </c>
      <c r="L2532" t="n">
        <v>0</v>
      </c>
      <c r="M2532" t="n">
        <v>0</v>
      </c>
      <c r="N2532" t="n">
        <v>0</v>
      </c>
      <c r="O2532" t="n">
        <v>0</v>
      </c>
      <c r="P2532" t="n">
        <v>0</v>
      </c>
      <c r="Q2532" t="n">
        <v>0</v>
      </c>
      <c r="R2532" s="2" t="inlineStr"/>
    </row>
    <row r="2533" ht="15" customHeight="1">
      <c r="A2533" t="inlineStr">
        <is>
          <t>A 67593-2019</t>
        </is>
      </c>
      <c r="B2533" s="1" t="n">
        <v>43815</v>
      </c>
      <c r="C2533" s="1" t="n">
        <v>45182</v>
      </c>
      <c r="D2533" t="inlineStr">
        <is>
          <t>JÄMTLANDS LÄN</t>
        </is>
      </c>
      <c r="E2533" t="inlineStr">
        <is>
          <t>HÄRJEDALEN</t>
        </is>
      </c>
      <c r="F2533" t="inlineStr">
        <is>
          <t>Holmen skog AB</t>
        </is>
      </c>
      <c r="G2533" t="n">
        <v>7.9</v>
      </c>
      <c r="H2533" t="n">
        <v>0</v>
      </c>
      <c r="I2533" t="n">
        <v>0</v>
      </c>
      <c r="J2533" t="n">
        <v>0</v>
      </c>
      <c r="K2533" t="n">
        <v>0</v>
      </c>
      <c r="L2533" t="n">
        <v>0</v>
      </c>
      <c r="M2533" t="n">
        <v>0</v>
      </c>
      <c r="N2533" t="n">
        <v>0</v>
      </c>
      <c r="O2533" t="n">
        <v>0</v>
      </c>
      <c r="P2533" t="n">
        <v>0</v>
      </c>
      <c r="Q2533" t="n">
        <v>0</v>
      </c>
      <c r="R2533" s="2" t="inlineStr"/>
    </row>
    <row r="2534" ht="15" customHeight="1">
      <c r="A2534" t="inlineStr">
        <is>
          <t>A 67692-2019</t>
        </is>
      </c>
      <c r="B2534" s="1" t="n">
        <v>43815</v>
      </c>
      <c r="C2534" s="1" t="n">
        <v>45182</v>
      </c>
      <c r="D2534" t="inlineStr">
        <is>
          <t>JÄMTLANDS LÄN</t>
        </is>
      </c>
      <c r="E2534" t="inlineStr">
        <is>
          <t>HÄRJEDALEN</t>
        </is>
      </c>
      <c r="F2534" t="inlineStr">
        <is>
          <t>Holmen skog AB</t>
        </is>
      </c>
      <c r="G2534" t="n">
        <v>12.9</v>
      </c>
      <c r="H2534" t="n">
        <v>0</v>
      </c>
      <c r="I2534" t="n">
        <v>0</v>
      </c>
      <c r="J2534" t="n">
        <v>0</v>
      </c>
      <c r="K2534" t="n">
        <v>0</v>
      </c>
      <c r="L2534" t="n">
        <v>0</v>
      </c>
      <c r="M2534" t="n">
        <v>0</v>
      </c>
      <c r="N2534" t="n">
        <v>0</v>
      </c>
      <c r="O2534" t="n">
        <v>0</v>
      </c>
      <c r="P2534" t="n">
        <v>0</v>
      </c>
      <c r="Q2534" t="n">
        <v>0</v>
      </c>
      <c r="R2534" s="2" t="inlineStr"/>
    </row>
    <row r="2535" ht="15" customHeight="1">
      <c r="A2535" t="inlineStr">
        <is>
          <t>A 67907-2019</t>
        </is>
      </c>
      <c r="B2535" s="1" t="n">
        <v>43816</v>
      </c>
      <c r="C2535" s="1" t="n">
        <v>45182</v>
      </c>
      <c r="D2535" t="inlineStr">
        <is>
          <t>JÄMTLANDS LÄN</t>
        </is>
      </c>
      <c r="E2535" t="inlineStr">
        <is>
          <t>HÄRJEDALEN</t>
        </is>
      </c>
      <c r="F2535" t="inlineStr">
        <is>
          <t>Holmen skog AB</t>
        </is>
      </c>
      <c r="G2535" t="n">
        <v>8.300000000000001</v>
      </c>
      <c r="H2535" t="n">
        <v>0</v>
      </c>
      <c r="I2535" t="n">
        <v>0</v>
      </c>
      <c r="J2535" t="n">
        <v>0</v>
      </c>
      <c r="K2535" t="n">
        <v>0</v>
      </c>
      <c r="L2535" t="n">
        <v>0</v>
      </c>
      <c r="M2535" t="n">
        <v>0</v>
      </c>
      <c r="N2535" t="n">
        <v>0</v>
      </c>
      <c r="O2535" t="n">
        <v>0</v>
      </c>
      <c r="P2535" t="n">
        <v>0</v>
      </c>
      <c r="Q2535" t="n">
        <v>0</v>
      </c>
      <c r="R2535" s="2" t="inlineStr"/>
    </row>
    <row r="2536" ht="15" customHeight="1">
      <c r="A2536" t="inlineStr">
        <is>
          <t>A 67914-2019</t>
        </is>
      </c>
      <c r="B2536" s="1" t="n">
        <v>43816</v>
      </c>
      <c r="C2536" s="1" t="n">
        <v>45182</v>
      </c>
      <c r="D2536" t="inlineStr">
        <is>
          <t>JÄMTLANDS LÄN</t>
        </is>
      </c>
      <c r="E2536" t="inlineStr">
        <is>
          <t>STRÖMSUND</t>
        </is>
      </c>
      <c r="F2536" t="inlineStr">
        <is>
          <t>Holmen skog AB</t>
        </is>
      </c>
      <c r="G2536" t="n">
        <v>27.7</v>
      </c>
      <c r="H2536" t="n">
        <v>0</v>
      </c>
      <c r="I2536" t="n">
        <v>0</v>
      </c>
      <c r="J2536" t="n">
        <v>0</v>
      </c>
      <c r="K2536" t="n">
        <v>0</v>
      </c>
      <c r="L2536" t="n">
        <v>0</v>
      </c>
      <c r="M2536" t="n">
        <v>0</v>
      </c>
      <c r="N2536" t="n">
        <v>0</v>
      </c>
      <c r="O2536" t="n">
        <v>0</v>
      </c>
      <c r="P2536" t="n">
        <v>0</v>
      </c>
      <c r="Q2536" t="n">
        <v>0</v>
      </c>
      <c r="R2536" s="2" t="inlineStr"/>
    </row>
    <row r="2537" ht="15" customHeight="1">
      <c r="A2537" t="inlineStr">
        <is>
          <t>A 68081-2019</t>
        </is>
      </c>
      <c r="B2537" s="1" t="n">
        <v>43816</v>
      </c>
      <c r="C2537" s="1" t="n">
        <v>45182</v>
      </c>
      <c r="D2537" t="inlineStr">
        <is>
          <t>JÄMTLANDS LÄN</t>
        </is>
      </c>
      <c r="E2537" t="inlineStr">
        <is>
          <t>KROKOM</t>
        </is>
      </c>
      <c r="F2537" t="inlineStr">
        <is>
          <t>SCA</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68076-2019</t>
        </is>
      </c>
      <c r="B2538" s="1" t="n">
        <v>43816</v>
      </c>
      <c r="C2538" s="1" t="n">
        <v>45182</v>
      </c>
      <c r="D2538" t="inlineStr">
        <is>
          <t>JÄMTLANDS LÄN</t>
        </is>
      </c>
      <c r="E2538" t="inlineStr">
        <is>
          <t>ÅRE</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67972-2019</t>
        </is>
      </c>
      <c r="B2539" s="1" t="n">
        <v>43816</v>
      </c>
      <c r="C2539" s="1" t="n">
        <v>45182</v>
      </c>
      <c r="D2539" t="inlineStr">
        <is>
          <t>JÄMTLANDS LÄN</t>
        </is>
      </c>
      <c r="E2539" t="inlineStr">
        <is>
          <t>HÄRJEDALEN</t>
        </is>
      </c>
      <c r="F2539" t="inlineStr">
        <is>
          <t>Holmen skog AB</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68080-2019</t>
        </is>
      </c>
      <c r="B2540" s="1" t="n">
        <v>43816</v>
      </c>
      <c r="C2540" s="1" t="n">
        <v>45182</v>
      </c>
      <c r="D2540" t="inlineStr">
        <is>
          <t>JÄMTLANDS LÄN</t>
        </is>
      </c>
      <c r="E2540" t="inlineStr">
        <is>
          <t>STRÖMSUND</t>
        </is>
      </c>
      <c r="F2540" t="inlineStr">
        <is>
          <t>SCA</t>
        </is>
      </c>
      <c r="G2540" t="n">
        <v>3.1</v>
      </c>
      <c r="H2540" t="n">
        <v>0</v>
      </c>
      <c r="I2540" t="n">
        <v>0</v>
      </c>
      <c r="J2540" t="n">
        <v>0</v>
      </c>
      <c r="K2540" t="n">
        <v>0</v>
      </c>
      <c r="L2540" t="n">
        <v>0</v>
      </c>
      <c r="M2540" t="n">
        <v>0</v>
      </c>
      <c r="N2540" t="n">
        <v>0</v>
      </c>
      <c r="O2540" t="n">
        <v>0</v>
      </c>
      <c r="P2540" t="n">
        <v>0</v>
      </c>
      <c r="Q2540" t="n">
        <v>0</v>
      </c>
      <c r="R2540" s="2" t="inlineStr"/>
    </row>
    <row r="2541" ht="15" customHeight="1">
      <c r="A2541" t="inlineStr">
        <is>
          <t>A 642-2020</t>
        </is>
      </c>
      <c r="B2541" s="1" t="n">
        <v>43817</v>
      </c>
      <c r="C2541" s="1" t="n">
        <v>45182</v>
      </c>
      <c r="D2541" t="inlineStr">
        <is>
          <t>JÄMTLANDS LÄN</t>
        </is>
      </c>
      <c r="E2541" t="inlineStr">
        <is>
          <t>HÄRJEDALEN</t>
        </is>
      </c>
      <c r="G2541" t="n">
        <v>15.5</v>
      </c>
      <c r="H2541" t="n">
        <v>0</v>
      </c>
      <c r="I2541" t="n">
        <v>0</v>
      </c>
      <c r="J2541" t="n">
        <v>0</v>
      </c>
      <c r="K2541" t="n">
        <v>0</v>
      </c>
      <c r="L2541" t="n">
        <v>0</v>
      </c>
      <c r="M2541" t="n">
        <v>0</v>
      </c>
      <c r="N2541" t="n">
        <v>0</v>
      </c>
      <c r="O2541" t="n">
        <v>0</v>
      </c>
      <c r="P2541" t="n">
        <v>0</v>
      </c>
      <c r="Q2541" t="n">
        <v>0</v>
      </c>
      <c r="R2541" s="2" t="inlineStr"/>
    </row>
    <row r="2542" ht="15" customHeight="1">
      <c r="A2542" t="inlineStr">
        <is>
          <t>A 68238-2019</t>
        </is>
      </c>
      <c r="B2542" s="1" t="n">
        <v>43817</v>
      </c>
      <c r="C2542" s="1" t="n">
        <v>45182</v>
      </c>
      <c r="D2542" t="inlineStr">
        <is>
          <t>JÄMTLANDS LÄN</t>
        </is>
      </c>
      <c r="E2542" t="inlineStr">
        <is>
          <t>ÖSTERSUND</t>
        </is>
      </c>
      <c r="G2542" t="n">
        <v>2.7</v>
      </c>
      <c r="H2542" t="n">
        <v>0</v>
      </c>
      <c r="I2542" t="n">
        <v>0</v>
      </c>
      <c r="J2542" t="n">
        <v>0</v>
      </c>
      <c r="K2542" t="n">
        <v>0</v>
      </c>
      <c r="L2542" t="n">
        <v>0</v>
      </c>
      <c r="M2542" t="n">
        <v>0</v>
      </c>
      <c r="N2542" t="n">
        <v>0</v>
      </c>
      <c r="O2542" t="n">
        <v>0</v>
      </c>
      <c r="P2542" t="n">
        <v>0</v>
      </c>
      <c r="Q2542" t="n">
        <v>0</v>
      </c>
      <c r="R2542" s="2" t="inlineStr"/>
    </row>
    <row r="2543" ht="15" customHeight="1">
      <c r="A2543" t="inlineStr">
        <is>
          <t>A 68315-2019</t>
        </is>
      </c>
      <c r="B2543" s="1" t="n">
        <v>43817</v>
      </c>
      <c r="C2543" s="1" t="n">
        <v>45182</v>
      </c>
      <c r="D2543" t="inlineStr">
        <is>
          <t>JÄMTLANDS LÄN</t>
        </is>
      </c>
      <c r="E2543" t="inlineStr">
        <is>
          <t>ÅRE</t>
        </is>
      </c>
      <c r="G2543" t="n">
        <v>1.7</v>
      </c>
      <c r="H2543" t="n">
        <v>0</v>
      </c>
      <c r="I2543" t="n">
        <v>0</v>
      </c>
      <c r="J2543" t="n">
        <v>0</v>
      </c>
      <c r="K2543" t="n">
        <v>0</v>
      </c>
      <c r="L2543" t="n">
        <v>0</v>
      </c>
      <c r="M2543" t="n">
        <v>0</v>
      </c>
      <c r="N2543" t="n">
        <v>0</v>
      </c>
      <c r="O2543" t="n">
        <v>0</v>
      </c>
      <c r="P2543" t="n">
        <v>0</v>
      </c>
      <c r="Q2543" t="n">
        <v>0</v>
      </c>
      <c r="R2543" s="2" t="inlineStr"/>
    </row>
    <row r="2544" ht="15" customHeight="1">
      <c r="A2544" t="inlineStr">
        <is>
          <t>A 68601-2019</t>
        </is>
      </c>
      <c r="B2544" s="1" t="n">
        <v>43818</v>
      </c>
      <c r="C2544" s="1" t="n">
        <v>45182</v>
      </c>
      <c r="D2544" t="inlineStr">
        <is>
          <t>JÄMTLANDS LÄN</t>
        </is>
      </c>
      <c r="E2544" t="inlineStr">
        <is>
          <t>RAGUNDA</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68335-2019</t>
        </is>
      </c>
      <c r="B2545" s="1" t="n">
        <v>43818</v>
      </c>
      <c r="C2545" s="1" t="n">
        <v>45182</v>
      </c>
      <c r="D2545" t="inlineStr">
        <is>
          <t>JÄMTLANDS LÄN</t>
        </is>
      </c>
      <c r="E2545" t="inlineStr">
        <is>
          <t>STRÖMSUND</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911-2020</t>
        </is>
      </c>
      <c r="B2546" s="1" t="n">
        <v>43818</v>
      </c>
      <c r="C2546" s="1" t="n">
        <v>45182</v>
      </c>
      <c r="D2546" t="inlineStr">
        <is>
          <t>JÄMTLANDS LÄN</t>
        </is>
      </c>
      <c r="E2546" t="inlineStr">
        <is>
          <t>KROKOM</t>
        </is>
      </c>
      <c r="G2546" t="n">
        <v>1</v>
      </c>
      <c r="H2546" t="n">
        <v>0</v>
      </c>
      <c r="I2546" t="n">
        <v>0</v>
      </c>
      <c r="J2546" t="n">
        <v>0</v>
      </c>
      <c r="K2546" t="n">
        <v>0</v>
      </c>
      <c r="L2546" t="n">
        <v>0</v>
      </c>
      <c r="M2546" t="n">
        <v>0</v>
      </c>
      <c r="N2546" t="n">
        <v>0</v>
      </c>
      <c r="O2546" t="n">
        <v>0</v>
      </c>
      <c r="P2546" t="n">
        <v>0</v>
      </c>
      <c r="Q2546" t="n">
        <v>0</v>
      </c>
      <c r="R2546" s="2" t="inlineStr"/>
    </row>
    <row r="2547" ht="15" customHeight="1">
      <c r="A2547" t="inlineStr">
        <is>
          <t>A 68607-2019</t>
        </is>
      </c>
      <c r="B2547" s="1" t="n">
        <v>43818</v>
      </c>
      <c r="C2547" s="1" t="n">
        <v>45182</v>
      </c>
      <c r="D2547" t="inlineStr">
        <is>
          <t>JÄMTLANDS LÄN</t>
        </is>
      </c>
      <c r="E2547" t="inlineStr">
        <is>
          <t>STRÖMSUND</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824-2020</t>
        </is>
      </c>
      <c r="B2548" s="1" t="n">
        <v>43818</v>
      </c>
      <c r="C2548" s="1" t="n">
        <v>45182</v>
      </c>
      <c r="D2548" t="inlineStr">
        <is>
          <t>JÄMTLANDS LÄN</t>
        </is>
      </c>
      <c r="E2548" t="inlineStr">
        <is>
          <t>ÅRE</t>
        </is>
      </c>
      <c r="G2548" t="n">
        <v>1.8</v>
      </c>
      <c r="H2548" t="n">
        <v>0</v>
      </c>
      <c r="I2548" t="n">
        <v>0</v>
      </c>
      <c r="J2548" t="n">
        <v>0</v>
      </c>
      <c r="K2548" t="n">
        <v>0</v>
      </c>
      <c r="L2548" t="n">
        <v>0</v>
      </c>
      <c r="M2548" t="n">
        <v>0</v>
      </c>
      <c r="N2548" t="n">
        <v>0</v>
      </c>
      <c r="O2548" t="n">
        <v>0</v>
      </c>
      <c r="P2548" t="n">
        <v>0</v>
      </c>
      <c r="Q2548" t="n">
        <v>0</v>
      </c>
      <c r="R2548" s="2" t="inlineStr"/>
    </row>
    <row r="2549" ht="15" customHeight="1">
      <c r="A2549" t="inlineStr">
        <is>
          <t>A 908-2020</t>
        </is>
      </c>
      <c r="B2549" s="1" t="n">
        <v>43818</v>
      </c>
      <c r="C2549" s="1" t="n">
        <v>45182</v>
      </c>
      <c r="D2549" t="inlineStr">
        <is>
          <t>JÄMTLANDS LÄN</t>
        </is>
      </c>
      <c r="E2549" t="inlineStr">
        <is>
          <t>KROKOM</t>
        </is>
      </c>
      <c r="G2549" t="n">
        <v>5.8</v>
      </c>
      <c r="H2549" t="n">
        <v>0</v>
      </c>
      <c r="I2549" t="n">
        <v>0</v>
      </c>
      <c r="J2549" t="n">
        <v>0</v>
      </c>
      <c r="K2549" t="n">
        <v>0</v>
      </c>
      <c r="L2549" t="n">
        <v>0</v>
      </c>
      <c r="M2549" t="n">
        <v>0</v>
      </c>
      <c r="N2549" t="n">
        <v>0</v>
      </c>
      <c r="O2549" t="n">
        <v>0</v>
      </c>
      <c r="P2549" t="n">
        <v>0</v>
      </c>
      <c r="Q2549" t="n">
        <v>0</v>
      </c>
      <c r="R2549" s="2" t="inlineStr"/>
    </row>
    <row r="2550" ht="15" customHeight="1">
      <c r="A2550" t="inlineStr">
        <is>
          <t>A 68840-2019</t>
        </is>
      </c>
      <c r="B2550" s="1" t="n">
        <v>43819</v>
      </c>
      <c r="C2550" s="1" t="n">
        <v>45182</v>
      </c>
      <c r="D2550" t="inlineStr">
        <is>
          <t>JÄMTLANDS LÄN</t>
        </is>
      </c>
      <c r="E2550" t="inlineStr">
        <is>
          <t>RAGUNDA</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68996-2019</t>
        </is>
      </c>
      <c r="B2551" s="1" t="n">
        <v>43826</v>
      </c>
      <c r="C2551" s="1" t="n">
        <v>45182</v>
      </c>
      <c r="D2551" t="inlineStr">
        <is>
          <t>JÄMTLANDS LÄN</t>
        </is>
      </c>
      <c r="E2551" t="inlineStr">
        <is>
          <t>KROKOM</t>
        </is>
      </c>
      <c r="G2551" t="n">
        <v>5</v>
      </c>
      <c r="H2551" t="n">
        <v>0</v>
      </c>
      <c r="I2551" t="n">
        <v>0</v>
      </c>
      <c r="J2551" t="n">
        <v>0</v>
      </c>
      <c r="K2551" t="n">
        <v>0</v>
      </c>
      <c r="L2551" t="n">
        <v>0</v>
      </c>
      <c r="M2551" t="n">
        <v>0</v>
      </c>
      <c r="N2551" t="n">
        <v>0</v>
      </c>
      <c r="O2551" t="n">
        <v>0</v>
      </c>
      <c r="P2551" t="n">
        <v>0</v>
      </c>
      <c r="Q2551" t="n">
        <v>0</v>
      </c>
      <c r="R2551" s="2" t="inlineStr"/>
    </row>
    <row r="2552" ht="15" customHeight="1">
      <c r="A2552" t="inlineStr">
        <is>
          <t>A 69010-2019</t>
        </is>
      </c>
      <c r="B2552" s="1" t="n">
        <v>43826</v>
      </c>
      <c r="C2552" s="1" t="n">
        <v>45182</v>
      </c>
      <c r="D2552" t="inlineStr">
        <is>
          <t>JÄMTLANDS LÄN</t>
        </is>
      </c>
      <c r="E2552" t="inlineStr">
        <is>
          <t>KROKOM</t>
        </is>
      </c>
      <c r="G2552" t="n">
        <v>4.7</v>
      </c>
      <c r="H2552" t="n">
        <v>0</v>
      </c>
      <c r="I2552" t="n">
        <v>0</v>
      </c>
      <c r="J2552" t="n">
        <v>0</v>
      </c>
      <c r="K2552" t="n">
        <v>0</v>
      </c>
      <c r="L2552" t="n">
        <v>0</v>
      </c>
      <c r="M2552" t="n">
        <v>0</v>
      </c>
      <c r="N2552" t="n">
        <v>0</v>
      </c>
      <c r="O2552" t="n">
        <v>0</v>
      </c>
      <c r="P2552" t="n">
        <v>0</v>
      </c>
      <c r="Q2552" t="n">
        <v>0</v>
      </c>
      <c r="R2552" s="2" t="inlineStr"/>
    </row>
    <row r="2553" ht="15" customHeight="1">
      <c r="A2553" t="inlineStr">
        <is>
          <t>A 69041-2019</t>
        </is>
      </c>
      <c r="B2553" s="1" t="n">
        <v>43826</v>
      </c>
      <c r="C2553" s="1" t="n">
        <v>45182</v>
      </c>
      <c r="D2553" t="inlineStr">
        <is>
          <t>JÄMTLANDS LÄN</t>
        </is>
      </c>
      <c r="E2553" t="inlineStr">
        <is>
          <t>BRÄCKE</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12-2020</t>
        </is>
      </c>
      <c r="B2554" s="1" t="n">
        <v>43831</v>
      </c>
      <c r="C2554" s="1" t="n">
        <v>45182</v>
      </c>
      <c r="D2554" t="inlineStr">
        <is>
          <t>JÄMTLANDS LÄN</t>
        </is>
      </c>
      <c r="E2554" t="inlineStr">
        <is>
          <t>KROKOM</t>
        </is>
      </c>
      <c r="G2554" t="n">
        <v>1.3</v>
      </c>
      <c r="H2554" t="n">
        <v>0</v>
      </c>
      <c r="I2554" t="n">
        <v>0</v>
      </c>
      <c r="J2554" t="n">
        <v>0</v>
      </c>
      <c r="K2554" t="n">
        <v>0</v>
      </c>
      <c r="L2554" t="n">
        <v>0</v>
      </c>
      <c r="M2554" t="n">
        <v>0</v>
      </c>
      <c r="N2554" t="n">
        <v>0</v>
      </c>
      <c r="O2554" t="n">
        <v>0</v>
      </c>
      <c r="P2554" t="n">
        <v>0</v>
      </c>
      <c r="Q2554" t="n">
        <v>0</v>
      </c>
      <c r="R2554" s="2" t="inlineStr"/>
    </row>
    <row r="2555" ht="15" customHeight="1">
      <c r="A2555" t="inlineStr">
        <is>
          <t>A 72-2020</t>
        </is>
      </c>
      <c r="B2555" s="1" t="n">
        <v>43832</v>
      </c>
      <c r="C2555" s="1" t="n">
        <v>45182</v>
      </c>
      <c r="D2555" t="inlineStr">
        <is>
          <t>JÄMTLANDS LÄN</t>
        </is>
      </c>
      <c r="E2555" t="inlineStr">
        <is>
          <t>ÅRE</t>
        </is>
      </c>
      <c r="G2555" t="n">
        <v>4.7</v>
      </c>
      <c r="H2555" t="n">
        <v>0</v>
      </c>
      <c r="I2555" t="n">
        <v>0</v>
      </c>
      <c r="J2555" t="n">
        <v>0</v>
      </c>
      <c r="K2555" t="n">
        <v>0</v>
      </c>
      <c r="L2555" t="n">
        <v>0</v>
      </c>
      <c r="M2555" t="n">
        <v>0</v>
      </c>
      <c r="N2555" t="n">
        <v>0</v>
      </c>
      <c r="O2555" t="n">
        <v>0</v>
      </c>
      <c r="P2555" t="n">
        <v>0</v>
      </c>
      <c r="Q2555" t="n">
        <v>0</v>
      </c>
      <c r="R2555" s="2" t="inlineStr"/>
    </row>
    <row r="2556" ht="15" customHeight="1">
      <c r="A2556" t="inlineStr">
        <is>
          <t>A 70-2020</t>
        </is>
      </c>
      <c r="B2556" s="1" t="n">
        <v>43832</v>
      </c>
      <c r="C2556" s="1" t="n">
        <v>45182</v>
      </c>
      <c r="D2556" t="inlineStr">
        <is>
          <t>JÄMTLANDS LÄN</t>
        </is>
      </c>
      <c r="E2556" t="inlineStr">
        <is>
          <t>ÅRE</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67-2020</t>
        </is>
      </c>
      <c r="B2557" s="1" t="n">
        <v>43832</v>
      </c>
      <c r="C2557" s="1" t="n">
        <v>45182</v>
      </c>
      <c r="D2557" t="inlineStr">
        <is>
          <t>JÄMTLANDS LÄN</t>
        </is>
      </c>
      <c r="E2557" t="inlineStr">
        <is>
          <t>ÅRE</t>
        </is>
      </c>
      <c r="G2557" t="n">
        <v>0.4</v>
      </c>
      <c r="H2557" t="n">
        <v>0</v>
      </c>
      <c r="I2557" t="n">
        <v>0</v>
      </c>
      <c r="J2557" t="n">
        <v>0</v>
      </c>
      <c r="K2557" t="n">
        <v>0</v>
      </c>
      <c r="L2557" t="n">
        <v>0</v>
      </c>
      <c r="M2557" t="n">
        <v>0</v>
      </c>
      <c r="N2557" t="n">
        <v>0</v>
      </c>
      <c r="O2557" t="n">
        <v>0</v>
      </c>
      <c r="P2557" t="n">
        <v>0</v>
      </c>
      <c r="Q2557" t="n">
        <v>0</v>
      </c>
      <c r="R2557" s="2" t="inlineStr"/>
    </row>
    <row r="2558" ht="15" customHeight="1">
      <c r="A2558" t="inlineStr">
        <is>
          <t>A 152-2020</t>
        </is>
      </c>
      <c r="B2558" s="1" t="n">
        <v>43833</v>
      </c>
      <c r="C2558" s="1" t="n">
        <v>45182</v>
      </c>
      <c r="D2558" t="inlineStr">
        <is>
          <t>JÄMTLANDS LÄN</t>
        </is>
      </c>
      <c r="E2558" t="inlineStr">
        <is>
          <t>BERG</t>
        </is>
      </c>
      <c r="G2558" t="n">
        <v>1.9</v>
      </c>
      <c r="H2558" t="n">
        <v>0</v>
      </c>
      <c r="I2558" t="n">
        <v>0</v>
      </c>
      <c r="J2558" t="n">
        <v>0</v>
      </c>
      <c r="K2558" t="n">
        <v>0</v>
      </c>
      <c r="L2558" t="n">
        <v>0</v>
      </c>
      <c r="M2558" t="n">
        <v>0</v>
      </c>
      <c r="N2558" t="n">
        <v>0</v>
      </c>
      <c r="O2558" t="n">
        <v>0</v>
      </c>
      <c r="P2558" t="n">
        <v>0</v>
      </c>
      <c r="Q2558" t="n">
        <v>0</v>
      </c>
      <c r="R2558" s="2" t="inlineStr"/>
    </row>
    <row r="2559" ht="15" customHeight="1">
      <c r="A2559" t="inlineStr">
        <is>
          <t>A 1819-2020</t>
        </is>
      </c>
      <c r="B2559" s="1" t="n">
        <v>43833</v>
      </c>
      <c r="C2559" s="1" t="n">
        <v>45182</v>
      </c>
      <c r="D2559" t="inlineStr">
        <is>
          <t>JÄMTLANDS LÄN</t>
        </is>
      </c>
      <c r="E2559" t="inlineStr">
        <is>
          <t>ÅRE</t>
        </is>
      </c>
      <c r="G2559" t="n">
        <v>3.2</v>
      </c>
      <c r="H2559" t="n">
        <v>0</v>
      </c>
      <c r="I2559" t="n">
        <v>0</v>
      </c>
      <c r="J2559" t="n">
        <v>0</v>
      </c>
      <c r="K2559" t="n">
        <v>0</v>
      </c>
      <c r="L2559" t="n">
        <v>0</v>
      </c>
      <c r="M2559" t="n">
        <v>0</v>
      </c>
      <c r="N2559" t="n">
        <v>0</v>
      </c>
      <c r="O2559" t="n">
        <v>0</v>
      </c>
      <c r="P2559" t="n">
        <v>0</v>
      </c>
      <c r="Q2559" t="n">
        <v>0</v>
      </c>
      <c r="R2559" s="2" t="inlineStr"/>
    </row>
    <row r="2560" ht="15" customHeight="1">
      <c r="A2560" t="inlineStr">
        <is>
          <t>A 159-2020</t>
        </is>
      </c>
      <c r="B2560" s="1" t="n">
        <v>43833</v>
      </c>
      <c r="C2560" s="1" t="n">
        <v>45182</v>
      </c>
      <c r="D2560" t="inlineStr">
        <is>
          <t>JÄMTLANDS LÄN</t>
        </is>
      </c>
      <c r="E2560" t="inlineStr">
        <is>
          <t>HÄRJEDALEN</t>
        </is>
      </c>
      <c r="G2560" t="n">
        <v>1.4</v>
      </c>
      <c r="H2560" t="n">
        <v>0</v>
      </c>
      <c r="I2560" t="n">
        <v>0</v>
      </c>
      <c r="J2560" t="n">
        <v>0</v>
      </c>
      <c r="K2560" t="n">
        <v>0</v>
      </c>
      <c r="L2560" t="n">
        <v>0</v>
      </c>
      <c r="M2560" t="n">
        <v>0</v>
      </c>
      <c r="N2560" t="n">
        <v>0</v>
      </c>
      <c r="O2560" t="n">
        <v>0</v>
      </c>
      <c r="P2560" t="n">
        <v>0</v>
      </c>
      <c r="Q2560" t="n">
        <v>0</v>
      </c>
      <c r="R2560" s="2" t="inlineStr"/>
    </row>
    <row r="2561" ht="15" customHeight="1">
      <c r="A2561" t="inlineStr">
        <is>
          <t>A 208-2020</t>
        </is>
      </c>
      <c r="B2561" s="1" t="n">
        <v>43833</v>
      </c>
      <c r="C2561" s="1" t="n">
        <v>45182</v>
      </c>
      <c r="D2561" t="inlineStr">
        <is>
          <t>JÄMTLANDS LÄN</t>
        </is>
      </c>
      <c r="E2561" t="inlineStr">
        <is>
          <t>BRÄCKE</t>
        </is>
      </c>
      <c r="F2561" t="inlineStr">
        <is>
          <t>SCA</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1784-2020</t>
        </is>
      </c>
      <c r="B2562" s="1" t="n">
        <v>43833</v>
      </c>
      <c r="C2562" s="1" t="n">
        <v>45182</v>
      </c>
      <c r="D2562" t="inlineStr">
        <is>
          <t>JÄMTLANDS LÄN</t>
        </is>
      </c>
      <c r="E2562" t="inlineStr">
        <is>
          <t>RAGUNDA</t>
        </is>
      </c>
      <c r="G2562" t="n">
        <v>15.5</v>
      </c>
      <c r="H2562" t="n">
        <v>0</v>
      </c>
      <c r="I2562" t="n">
        <v>0</v>
      </c>
      <c r="J2562" t="n">
        <v>0</v>
      </c>
      <c r="K2562" t="n">
        <v>0</v>
      </c>
      <c r="L2562" t="n">
        <v>0</v>
      </c>
      <c r="M2562" t="n">
        <v>0</v>
      </c>
      <c r="N2562" t="n">
        <v>0</v>
      </c>
      <c r="O2562" t="n">
        <v>0</v>
      </c>
      <c r="P2562" t="n">
        <v>0</v>
      </c>
      <c r="Q2562" t="n">
        <v>0</v>
      </c>
      <c r="R2562" s="2" t="inlineStr"/>
    </row>
    <row r="2563" ht="15" customHeight="1">
      <c r="A2563" t="inlineStr">
        <is>
          <t>A 327-2020</t>
        </is>
      </c>
      <c r="B2563" s="1" t="n">
        <v>43837</v>
      </c>
      <c r="C2563" s="1" t="n">
        <v>45182</v>
      </c>
      <c r="D2563" t="inlineStr">
        <is>
          <t>JÄMTLANDS LÄN</t>
        </is>
      </c>
      <c r="E2563" t="inlineStr">
        <is>
          <t>KROKOM</t>
        </is>
      </c>
      <c r="G2563" t="n">
        <v>2.9</v>
      </c>
      <c r="H2563" t="n">
        <v>0</v>
      </c>
      <c r="I2563" t="n">
        <v>0</v>
      </c>
      <c r="J2563" t="n">
        <v>0</v>
      </c>
      <c r="K2563" t="n">
        <v>0</v>
      </c>
      <c r="L2563" t="n">
        <v>0</v>
      </c>
      <c r="M2563" t="n">
        <v>0</v>
      </c>
      <c r="N2563" t="n">
        <v>0</v>
      </c>
      <c r="O2563" t="n">
        <v>0</v>
      </c>
      <c r="P2563" t="n">
        <v>0</v>
      </c>
      <c r="Q2563" t="n">
        <v>0</v>
      </c>
      <c r="R2563" s="2" t="inlineStr"/>
    </row>
    <row r="2564" ht="15" customHeight="1">
      <c r="A2564" t="inlineStr">
        <is>
          <t>A 745-2020</t>
        </is>
      </c>
      <c r="B2564" s="1" t="n">
        <v>43838</v>
      </c>
      <c r="C2564" s="1" t="n">
        <v>45182</v>
      </c>
      <c r="D2564" t="inlineStr">
        <is>
          <t>JÄMTLANDS LÄN</t>
        </is>
      </c>
      <c r="E2564" t="inlineStr">
        <is>
          <t>ÖSTERSUND</t>
        </is>
      </c>
      <c r="G2564" t="n">
        <v>1.7</v>
      </c>
      <c r="H2564" t="n">
        <v>0</v>
      </c>
      <c r="I2564" t="n">
        <v>0</v>
      </c>
      <c r="J2564" t="n">
        <v>0</v>
      </c>
      <c r="K2564" t="n">
        <v>0</v>
      </c>
      <c r="L2564" t="n">
        <v>0</v>
      </c>
      <c r="M2564" t="n">
        <v>0</v>
      </c>
      <c r="N2564" t="n">
        <v>0</v>
      </c>
      <c r="O2564" t="n">
        <v>0</v>
      </c>
      <c r="P2564" t="n">
        <v>0</v>
      </c>
      <c r="Q2564" t="n">
        <v>0</v>
      </c>
      <c r="R2564" s="2" t="inlineStr"/>
    </row>
    <row r="2565" ht="15" customHeight="1">
      <c r="A2565" t="inlineStr">
        <is>
          <t>A 735-2020</t>
        </is>
      </c>
      <c r="B2565" s="1" t="n">
        <v>43838</v>
      </c>
      <c r="C2565" s="1" t="n">
        <v>45182</v>
      </c>
      <c r="D2565" t="inlineStr">
        <is>
          <t>JÄMTLANDS LÄN</t>
        </is>
      </c>
      <c r="E2565" t="inlineStr">
        <is>
          <t>KROKOM</t>
        </is>
      </c>
      <c r="G2565" t="n">
        <v>4.5</v>
      </c>
      <c r="H2565" t="n">
        <v>0</v>
      </c>
      <c r="I2565" t="n">
        <v>0</v>
      </c>
      <c r="J2565" t="n">
        <v>0</v>
      </c>
      <c r="K2565" t="n">
        <v>0</v>
      </c>
      <c r="L2565" t="n">
        <v>0</v>
      </c>
      <c r="M2565" t="n">
        <v>0</v>
      </c>
      <c r="N2565" t="n">
        <v>0</v>
      </c>
      <c r="O2565" t="n">
        <v>0</v>
      </c>
      <c r="P2565" t="n">
        <v>0</v>
      </c>
      <c r="Q2565" t="n">
        <v>0</v>
      </c>
      <c r="R2565" s="2" t="inlineStr"/>
    </row>
    <row r="2566" ht="15" customHeight="1">
      <c r="A2566" t="inlineStr">
        <is>
          <t>A 861-2020</t>
        </is>
      </c>
      <c r="B2566" s="1" t="n">
        <v>43838</v>
      </c>
      <c r="C2566" s="1" t="n">
        <v>45182</v>
      </c>
      <c r="D2566" t="inlineStr">
        <is>
          <t>JÄMTLANDS LÄN</t>
        </is>
      </c>
      <c r="E2566" t="inlineStr">
        <is>
          <t>STRÖMSUND</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1034-2020</t>
        </is>
      </c>
      <c r="B2567" s="1" t="n">
        <v>43839</v>
      </c>
      <c r="C2567" s="1" t="n">
        <v>45182</v>
      </c>
      <c r="D2567" t="inlineStr">
        <is>
          <t>JÄMTLANDS LÄN</t>
        </is>
      </c>
      <c r="E2567" t="inlineStr">
        <is>
          <t>STRÖMSUND</t>
        </is>
      </c>
      <c r="G2567" t="n">
        <v>1.7</v>
      </c>
      <c r="H2567" t="n">
        <v>0</v>
      </c>
      <c r="I2567" t="n">
        <v>0</v>
      </c>
      <c r="J2567" t="n">
        <v>0</v>
      </c>
      <c r="K2567" t="n">
        <v>0</v>
      </c>
      <c r="L2567" t="n">
        <v>0</v>
      </c>
      <c r="M2567" t="n">
        <v>0</v>
      </c>
      <c r="N2567" t="n">
        <v>0</v>
      </c>
      <c r="O2567" t="n">
        <v>0</v>
      </c>
      <c r="P2567" t="n">
        <v>0</v>
      </c>
      <c r="Q2567" t="n">
        <v>0</v>
      </c>
      <c r="R2567" s="2" t="inlineStr"/>
    </row>
    <row r="2568" ht="15" customHeight="1">
      <c r="A2568" t="inlineStr">
        <is>
          <t>A 1077-2020</t>
        </is>
      </c>
      <c r="B2568" s="1" t="n">
        <v>43840</v>
      </c>
      <c r="C2568" s="1" t="n">
        <v>45182</v>
      </c>
      <c r="D2568" t="inlineStr">
        <is>
          <t>JÄMTLANDS LÄN</t>
        </is>
      </c>
      <c r="E2568" t="inlineStr">
        <is>
          <t>ÖSTERSUND</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1134-2020</t>
        </is>
      </c>
      <c r="B2569" s="1" t="n">
        <v>43840</v>
      </c>
      <c r="C2569" s="1" t="n">
        <v>45182</v>
      </c>
      <c r="D2569" t="inlineStr">
        <is>
          <t>JÄMTLANDS LÄN</t>
        </is>
      </c>
      <c r="E2569" t="inlineStr">
        <is>
          <t>STRÖMSUND</t>
        </is>
      </c>
      <c r="G2569" t="n">
        <v>9.800000000000001</v>
      </c>
      <c r="H2569" t="n">
        <v>0</v>
      </c>
      <c r="I2569" t="n">
        <v>0</v>
      </c>
      <c r="J2569" t="n">
        <v>0</v>
      </c>
      <c r="K2569" t="n">
        <v>0</v>
      </c>
      <c r="L2569" t="n">
        <v>0</v>
      </c>
      <c r="M2569" t="n">
        <v>0</v>
      </c>
      <c r="N2569" t="n">
        <v>0</v>
      </c>
      <c r="O2569" t="n">
        <v>0</v>
      </c>
      <c r="P2569" t="n">
        <v>0</v>
      </c>
      <c r="Q2569" t="n">
        <v>0</v>
      </c>
      <c r="R2569" s="2" t="inlineStr"/>
    </row>
    <row r="2570" ht="15" customHeight="1">
      <c r="A2570" t="inlineStr">
        <is>
          <t>A 1138-2020</t>
        </is>
      </c>
      <c r="B2570" s="1" t="n">
        <v>43840</v>
      </c>
      <c r="C2570" s="1" t="n">
        <v>45182</v>
      </c>
      <c r="D2570" t="inlineStr">
        <is>
          <t>JÄMTLANDS LÄN</t>
        </is>
      </c>
      <c r="E2570" t="inlineStr">
        <is>
          <t>STRÖMSUND</t>
        </is>
      </c>
      <c r="G2570" t="n">
        <v>6.5</v>
      </c>
      <c r="H2570" t="n">
        <v>0</v>
      </c>
      <c r="I2570" t="n">
        <v>0</v>
      </c>
      <c r="J2570" t="n">
        <v>0</v>
      </c>
      <c r="K2570" t="n">
        <v>0</v>
      </c>
      <c r="L2570" t="n">
        <v>0</v>
      </c>
      <c r="M2570" t="n">
        <v>0</v>
      </c>
      <c r="N2570" t="n">
        <v>0</v>
      </c>
      <c r="O2570" t="n">
        <v>0</v>
      </c>
      <c r="P2570" t="n">
        <v>0</v>
      </c>
      <c r="Q2570" t="n">
        <v>0</v>
      </c>
      <c r="R2570" s="2" t="inlineStr"/>
    </row>
    <row r="2571" ht="15" customHeight="1">
      <c r="A2571" t="inlineStr">
        <is>
          <t>A 1238-2020</t>
        </is>
      </c>
      <c r="B2571" s="1" t="n">
        <v>43840</v>
      </c>
      <c r="C2571" s="1" t="n">
        <v>45182</v>
      </c>
      <c r="D2571" t="inlineStr">
        <is>
          <t>JÄMTLANDS LÄN</t>
        </is>
      </c>
      <c r="E2571" t="inlineStr">
        <is>
          <t>STRÖMSUND</t>
        </is>
      </c>
      <c r="G2571" t="n">
        <v>20.3</v>
      </c>
      <c r="H2571" t="n">
        <v>0</v>
      </c>
      <c r="I2571" t="n">
        <v>0</v>
      </c>
      <c r="J2571" t="n">
        <v>0</v>
      </c>
      <c r="K2571" t="n">
        <v>0</v>
      </c>
      <c r="L2571" t="n">
        <v>0</v>
      </c>
      <c r="M2571" t="n">
        <v>0</v>
      </c>
      <c r="N2571" t="n">
        <v>0</v>
      </c>
      <c r="O2571" t="n">
        <v>0</v>
      </c>
      <c r="P2571" t="n">
        <v>0</v>
      </c>
      <c r="Q2571" t="n">
        <v>0</v>
      </c>
      <c r="R2571" s="2" t="inlineStr"/>
    </row>
    <row r="2572" ht="15" customHeight="1">
      <c r="A2572" t="inlineStr">
        <is>
          <t>A 1088-2020</t>
        </is>
      </c>
      <c r="B2572" s="1" t="n">
        <v>43840</v>
      </c>
      <c r="C2572" s="1" t="n">
        <v>45182</v>
      </c>
      <c r="D2572" t="inlineStr">
        <is>
          <t>JÄMTLANDS LÄN</t>
        </is>
      </c>
      <c r="E2572" t="inlineStr">
        <is>
          <t>ÖSTERSUND</t>
        </is>
      </c>
      <c r="G2572" t="n">
        <v>4.4</v>
      </c>
      <c r="H2572" t="n">
        <v>0</v>
      </c>
      <c r="I2572" t="n">
        <v>0</v>
      </c>
      <c r="J2572" t="n">
        <v>0</v>
      </c>
      <c r="K2572" t="n">
        <v>0</v>
      </c>
      <c r="L2572" t="n">
        <v>0</v>
      </c>
      <c r="M2572" t="n">
        <v>0</v>
      </c>
      <c r="N2572" t="n">
        <v>0</v>
      </c>
      <c r="O2572" t="n">
        <v>0</v>
      </c>
      <c r="P2572" t="n">
        <v>0</v>
      </c>
      <c r="Q2572" t="n">
        <v>0</v>
      </c>
      <c r="R2572" s="2" t="inlineStr"/>
    </row>
    <row r="2573" ht="15" customHeight="1">
      <c r="A2573" t="inlineStr">
        <is>
          <t>A 1201-2020</t>
        </is>
      </c>
      <c r="B2573" s="1" t="n">
        <v>43840</v>
      </c>
      <c r="C2573" s="1" t="n">
        <v>45182</v>
      </c>
      <c r="D2573" t="inlineStr">
        <is>
          <t>JÄMTLANDS LÄN</t>
        </is>
      </c>
      <c r="E2573" t="inlineStr">
        <is>
          <t>STRÖMSUND</t>
        </is>
      </c>
      <c r="G2573" t="n">
        <v>39.5</v>
      </c>
      <c r="H2573" t="n">
        <v>0</v>
      </c>
      <c r="I2573" t="n">
        <v>0</v>
      </c>
      <c r="J2573" t="n">
        <v>0</v>
      </c>
      <c r="K2573" t="n">
        <v>0</v>
      </c>
      <c r="L2573" t="n">
        <v>0</v>
      </c>
      <c r="M2573" t="n">
        <v>0</v>
      </c>
      <c r="N2573" t="n">
        <v>0</v>
      </c>
      <c r="O2573" t="n">
        <v>0</v>
      </c>
      <c r="P2573" t="n">
        <v>0</v>
      </c>
      <c r="Q2573" t="n">
        <v>0</v>
      </c>
      <c r="R2573" s="2" t="inlineStr"/>
    </row>
    <row r="2574" ht="15" customHeight="1">
      <c r="A2574" t="inlineStr">
        <is>
          <t>A 1268-2020</t>
        </is>
      </c>
      <c r="B2574" s="1" t="n">
        <v>43840</v>
      </c>
      <c r="C2574" s="1" t="n">
        <v>45182</v>
      </c>
      <c r="D2574" t="inlineStr">
        <is>
          <t>JÄMTLANDS LÄN</t>
        </is>
      </c>
      <c r="E2574" t="inlineStr">
        <is>
          <t>ÖSTERSUND</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1267-2020</t>
        </is>
      </c>
      <c r="B2575" s="1" t="n">
        <v>43840</v>
      </c>
      <c r="C2575" s="1" t="n">
        <v>45182</v>
      </c>
      <c r="D2575" t="inlineStr">
        <is>
          <t>JÄMTLANDS LÄN</t>
        </is>
      </c>
      <c r="E2575" t="inlineStr">
        <is>
          <t>BRÄCKE</t>
        </is>
      </c>
      <c r="G2575" t="n">
        <v>2.8</v>
      </c>
      <c r="H2575" t="n">
        <v>0</v>
      </c>
      <c r="I2575" t="n">
        <v>0</v>
      </c>
      <c r="J2575" t="n">
        <v>0</v>
      </c>
      <c r="K2575" t="n">
        <v>0</v>
      </c>
      <c r="L2575" t="n">
        <v>0</v>
      </c>
      <c r="M2575" t="n">
        <v>0</v>
      </c>
      <c r="N2575" t="n">
        <v>0</v>
      </c>
      <c r="O2575" t="n">
        <v>0</v>
      </c>
      <c r="P2575" t="n">
        <v>0</v>
      </c>
      <c r="Q2575" t="n">
        <v>0</v>
      </c>
      <c r="R2575" s="2" t="inlineStr"/>
    </row>
    <row r="2576" ht="15" customHeight="1">
      <c r="A2576" t="inlineStr">
        <is>
          <t>A 3321-2020</t>
        </is>
      </c>
      <c r="B2576" s="1" t="n">
        <v>43844</v>
      </c>
      <c r="C2576" s="1" t="n">
        <v>45182</v>
      </c>
      <c r="D2576" t="inlineStr">
        <is>
          <t>JÄMTLANDS LÄN</t>
        </is>
      </c>
      <c r="E2576" t="inlineStr">
        <is>
          <t>BERG</t>
        </is>
      </c>
      <c r="G2576" t="n">
        <v>2.6</v>
      </c>
      <c r="H2576" t="n">
        <v>0</v>
      </c>
      <c r="I2576" t="n">
        <v>0</v>
      </c>
      <c r="J2576" t="n">
        <v>0</v>
      </c>
      <c r="K2576" t="n">
        <v>0</v>
      </c>
      <c r="L2576" t="n">
        <v>0</v>
      </c>
      <c r="M2576" t="n">
        <v>0</v>
      </c>
      <c r="N2576" t="n">
        <v>0</v>
      </c>
      <c r="O2576" t="n">
        <v>0</v>
      </c>
      <c r="P2576" t="n">
        <v>0</v>
      </c>
      <c r="Q2576" t="n">
        <v>0</v>
      </c>
      <c r="R2576" s="2" t="inlineStr"/>
    </row>
    <row r="2577" ht="15" customHeight="1">
      <c r="A2577" t="inlineStr">
        <is>
          <t>A 3389-2020</t>
        </is>
      </c>
      <c r="B2577" s="1" t="n">
        <v>43844</v>
      </c>
      <c r="C2577" s="1" t="n">
        <v>45182</v>
      </c>
      <c r="D2577" t="inlineStr">
        <is>
          <t>JÄMTLANDS LÄN</t>
        </is>
      </c>
      <c r="E2577" t="inlineStr">
        <is>
          <t>BERG</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2184-2020</t>
        </is>
      </c>
      <c r="B2578" s="1" t="n">
        <v>43846</v>
      </c>
      <c r="C2578" s="1" t="n">
        <v>45182</v>
      </c>
      <c r="D2578" t="inlineStr">
        <is>
          <t>JÄMTLANDS LÄN</t>
        </is>
      </c>
      <c r="E2578" t="inlineStr">
        <is>
          <t>STRÖMSUND</t>
        </is>
      </c>
      <c r="F2578" t="inlineStr">
        <is>
          <t>Holmen skog AB</t>
        </is>
      </c>
      <c r="G2578" t="n">
        <v>0.8</v>
      </c>
      <c r="H2578" t="n">
        <v>0</v>
      </c>
      <c r="I2578" t="n">
        <v>0</v>
      </c>
      <c r="J2578" t="n">
        <v>0</v>
      </c>
      <c r="K2578" t="n">
        <v>0</v>
      </c>
      <c r="L2578" t="n">
        <v>0</v>
      </c>
      <c r="M2578" t="n">
        <v>0</v>
      </c>
      <c r="N2578" t="n">
        <v>0</v>
      </c>
      <c r="O2578" t="n">
        <v>0</v>
      </c>
      <c r="P2578" t="n">
        <v>0</v>
      </c>
      <c r="Q2578" t="n">
        <v>0</v>
      </c>
      <c r="R2578" s="2" t="inlineStr"/>
    </row>
    <row r="2579" ht="15" customHeight="1">
      <c r="A2579" t="inlineStr">
        <is>
          <t>A 2250-2020</t>
        </is>
      </c>
      <c r="B2579" s="1" t="n">
        <v>43846</v>
      </c>
      <c r="C2579" s="1" t="n">
        <v>45182</v>
      </c>
      <c r="D2579" t="inlineStr">
        <is>
          <t>JÄMTLANDS LÄN</t>
        </is>
      </c>
      <c r="E2579" t="inlineStr">
        <is>
          <t>STRÖMSUND</t>
        </is>
      </c>
      <c r="G2579" t="n">
        <v>0.1</v>
      </c>
      <c r="H2579" t="n">
        <v>0</v>
      </c>
      <c r="I2579" t="n">
        <v>0</v>
      </c>
      <c r="J2579" t="n">
        <v>0</v>
      </c>
      <c r="K2579" t="n">
        <v>0</v>
      </c>
      <c r="L2579" t="n">
        <v>0</v>
      </c>
      <c r="M2579" t="n">
        <v>0</v>
      </c>
      <c r="N2579" t="n">
        <v>0</v>
      </c>
      <c r="O2579" t="n">
        <v>0</v>
      </c>
      <c r="P2579" t="n">
        <v>0</v>
      </c>
      <c r="Q2579" t="n">
        <v>0</v>
      </c>
      <c r="R2579" s="2" t="inlineStr"/>
    </row>
    <row r="2580" ht="15" customHeight="1">
      <c r="A2580" t="inlineStr">
        <is>
          <t>A 2320-2020</t>
        </is>
      </c>
      <c r="B2580" s="1" t="n">
        <v>43846</v>
      </c>
      <c r="C2580" s="1" t="n">
        <v>45182</v>
      </c>
      <c r="D2580" t="inlineStr">
        <is>
          <t>JÄMTLANDS LÄN</t>
        </is>
      </c>
      <c r="E2580" t="inlineStr">
        <is>
          <t>HÄRJEDALEN</t>
        </is>
      </c>
      <c r="F2580" t="inlineStr">
        <is>
          <t>Bergvik skog väst AB</t>
        </is>
      </c>
      <c r="G2580" t="n">
        <v>3.3</v>
      </c>
      <c r="H2580" t="n">
        <v>0</v>
      </c>
      <c r="I2580" t="n">
        <v>0</v>
      </c>
      <c r="J2580" t="n">
        <v>0</v>
      </c>
      <c r="K2580" t="n">
        <v>0</v>
      </c>
      <c r="L2580" t="n">
        <v>0</v>
      </c>
      <c r="M2580" t="n">
        <v>0</v>
      </c>
      <c r="N2580" t="n">
        <v>0</v>
      </c>
      <c r="O2580" t="n">
        <v>0</v>
      </c>
      <c r="P2580" t="n">
        <v>0</v>
      </c>
      <c r="Q2580" t="n">
        <v>0</v>
      </c>
      <c r="R2580" s="2" t="inlineStr"/>
    </row>
    <row r="2581" ht="15" customHeight="1">
      <c r="A2581" t="inlineStr">
        <is>
          <t>A 2636-2020</t>
        </is>
      </c>
      <c r="B2581" s="1" t="n">
        <v>43847</v>
      </c>
      <c r="C2581" s="1" t="n">
        <v>45182</v>
      </c>
      <c r="D2581" t="inlineStr">
        <is>
          <t>JÄMTLANDS LÄN</t>
        </is>
      </c>
      <c r="E2581" t="inlineStr">
        <is>
          <t>RAGUNDA</t>
        </is>
      </c>
      <c r="G2581" t="n">
        <v>2.9</v>
      </c>
      <c r="H2581" t="n">
        <v>0</v>
      </c>
      <c r="I2581" t="n">
        <v>0</v>
      </c>
      <c r="J2581" t="n">
        <v>0</v>
      </c>
      <c r="K2581" t="n">
        <v>0</v>
      </c>
      <c r="L2581" t="n">
        <v>0</v>
      </c>
      <c r="M2581" t="n">
        <v>0</v>
      </c>
      <c r="N2581" t="n">
        <v>0</v>
      </c>
      <c r="O2581" t="n">
        <v>0</v>
      </c>
      <c r="P2581" t="n">
        <v>0</v>
      </c>
      <c r="Q2581" t="n">
        <v>0</v>
      </c>
      <c r="R2581" s="2" t="inlineStr"/>
    </row>
    <row r="2582" ht="15" customHeight="1">
      <c r="A2582" t="inlineStr">
        <is>
          <t>A 2791-2020</t>
        </is>
      </c>
      <c r="B2582" s="1" t="n">
        <v>43850</v>
      </c>
      <c r="C2582" s="1" t="n">
        <v>45182</v>
      </c>
      <c r="D2582" t="inlineStr">
        <is>
          <t>JÄMTLANDS LÄN</t>
        </is>
      </c>
      <c r="E2582" t="inlineStr">
        <is>
          <t>RAGUNDA</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5127-2020</t>
        </is>
      </c>
      <c r="B2583" s="1" t="n">
        <v>43850</v>
      </c>
      <c r="C2583" s="1" t="n">
        <v>45182</v>
      </c>
      <c r="D2583" t="inlineStr">
        <is>
          <t>JÄMTLANDS LÄN</t>
        </is>
      </c>
      <c r="E2583" t="inlineStr">
        <is>
          <t>STRÖMSUND</t>
        </is>
      </c>
      <c r="G2583" t="n">
        <v>15.4</v>
      </c>
      <c r="H2583" t="n">
        <v>0</v>
      </c>
      <c r="I2583" t="n">
        <v>0</v>
      </c>
      <c r="J2583" t="n">
        <v>0</v>
      </c>
      <c r="K2583" t="n">
        <v>0</v>
      </c>
      <c r="L2583" t="n">
        <v>0</v>
      </c>
      <c r="M2583" t="n">
        <v>0</v>
      </c>
      <c r="N2583" t="n">
        <v>0</v>
      </c>
      <c r="O2583" t="n">
        <v>0</v>
      </c>
      <c r="P2583" t="n">
        <v>0</v>
      </c>
      <c r="Q2583" t="n">
        <v>0</v>
      </c>
      <c r="R2583" s="2" t="inlineStr"/>
    </row>
    <row r="2584" ht="15" customHeight="1">
      <c r="A2584" t="inlineStr">
        <is>
          <t>A 2705-2020</t>
        </is>
      </c>
      <c r="B2584" s="1" t="n">
        <v>43850</v>
      </c>
      <c r="C2584" s="1" t="n">
        <v>45182</v>
      </c>
      <c r="D2584" t="inlineStr">
        <is>
          <t>JÄMTLANDS LÄN</t>
        </is>
      </c>
      <c r="E2584" t="inlineStr">
        <is>
          <t>STRÖMSUND</t>
        </is>
      </c>
      <c r="G2584" t="n">
        <v>11.2</v>
      </c>
      <c r="H2584" t="n">
        <v>0</v>
      </c>
      <c r="I2584" t="n">
        <v>0</v>
      </c>
      <c r="J2584" t="n">
        <v>0</v>
      </c>
      <c r="K2584" t="n">
        <v>0</v>
      </c>
      <c r="L2584" t="n">
        <v>0</v>
      </c>
      <c r="M2584" t="n">
        <v>0</v>
      </c>
      <c r="N2584" t="n">
        <v>0</v>
      </c>
      <c r="O2584" t="n">
        <v>0</v>
      </c>
      <c r="P2584" t="n">
        <v>0</v>
      </c>
      <c r="Q2584" t="n">
        <v>0</v>
      </c>
      <c r="R2584" s="2" t="inlineStr"/>
    </row>
    <row r="2585" ht="15" customHeight="1">
      <c r="A2585" t="inlineStr">
        <is>
          <t>A 2911-2020</t>
        </is>
      </c>
      <c r="B2585" s="1" t="n">
        <v>43850</v>
      </c>
      <c r="C2585" s="1" t="n">
        <v>45182</v>
      </c>
      <c r="D2585" t="inlineStr">
        <is>
          <t>JÄMTLANDS LÄN</t>
        </is>
      </c>
      <c r="E2585" t="inlineStr">
        <is>
          <t>STRÖMSUND</t>
        </is>
      </c>
      <c r="G2585" t="n">
        <v>6.4</v>
      </c>
      <c r="H2585" t="n">
        <v>0</v>
      </c>
      <c r="I2585" t="n">
        <v>0</v>
      </c>
      <c r="J2585" t="n">
        <v>0</v>
      </c>
      <c r="K2585" t="n">
        <v>0</v>
      </c>
      <c r="L2585" t="n">
        <v>0</v>
      </c>
      <c r="M2585" t="n">
        <v>0</v>
      </c>
      <c r="N2585" t="n">
        <v>0</v>
      </c>
      <c r="O2585" t="n">
        <v>0</v>
      </c>
      <c r="P2585" t="n">
        <v>0</v>
      </c>
      <c r="Q2585" t="n">
        <v>0</v>
      </c>
      <c r="R2585" s="2" t="inlineStr"/>
    </row>
    <row r="2586" ht="15" customHeight="1">
      <c r="A2586" t="inlineStr">
        <is>
          <t>A 5147-2020</t>
        </is>
      </c>
      <c r="B2586" s="1" t="n">
        <v>43850</v>
      </c>
      <c r="C2586" s="1" t="n">
        <v>45182</v>
      </c>
      <c r="D2586" t="inlineStr">
        <is>
          <t>JÄMTLANDS LÄN</t>
        </is>
      </c>
      <c r="E2586" t="inlineStr">
        <is>
          <t>STRÖMSUND</t>
        </is>
      </c>
      <c r="G2586" t="n">
        <v>10.8</v>
      </c>
      <c r="H2586" t="n">
        <v>0</v>
      </c>
      <c r="I2586" t="n">
        <v>0</v>
      </c>
      <c r="J2586" t="n">
        <v>0</v>
      </c>
      <c r="K2586" t="n">
        <v>0</v>
      </c>
      <c r="L2586" t="n">
        <v>0</v>
      </c>
      <c r="M2586" t="n">
        <v>0</v>
      </c>
      <c r="N2586" t="n">
        <v>0</v>
      </c>
      <c r="O2586" t="n">
        <v>0</v>
      </c>
      <c r="P2586" t="n">
        <v>0</v>
      </c>
      <c r="Q2586" t="n">
        <v>0</v>
      </c>
      <c r="R2586" s="2" t="inlineStr"/>
    </row>
    <row r="2587" ht="15" customHeight="1">
      <c r="A2587" t="inlineStr">
        <is>
          <t>A 5119-2020</t>
        </is>
      </c>
      <c r="B2587" s="1" t="n">
        <v>43850</v>
      </c>
      <c r="C2587" s="1" t="n">
        <v>45182</v>
      </c>
      <c r="D2587" t="inlineStr">
        <is>
          <t>JÄMTLANDS LÄN</t>
        </is>
      </c>
      <c r="E2587" t="inlineStr">
        <is>
          <t>STRÖMSUND</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2987-2020</t>
        </is>
      </c>
      <c r="B2588" s="1" t="n">
        <v>43850</v>
      </c>
      <c r="C2588" s="1" t="n">
        <v>45182</v>
      </c>
      <c r="D2588" t="inlineStr">
        <is>
          <t>JÄMTLANDS LÄN</t>
        </is>
      </c>
      <c r="E2588" t="inlineStr">
        <is>
          <t>STRÖMSUND</t>
        </is>
      </c>
      <c r="G2588" t="n">
        <v>7.3</v>
      </c>
      <c r="H2588" t="n">
        <v>0</v>
      </c>
      <c r="I2588" t="n">
        <v>0</v>
      </c>
      <c r="J2588" t="n">
        <v>0</v>
      </c>
      <c r="K2588" t="n">
        <v>0</v>
      </c>
      <c r="L2588" t="n">
        <v>0</v>
      </c>
      <c r="M2588" t="n">
        <v>0</v>
      </c>
      <c r="N2588" t="n">
        <v>0</v>
      </c>
      <c r="O2588" t="n">
        <v>0</v>
      </c>
      <c r="P2588" t="n">
        <v>0</v>
      </c>
      <c r="Q2588" t="n">
        <v>0</v>
      </c>
      <c r="R2588" s="2" t="inlineStr"/>
    </row>
    <row r="2589" ht="15" customHeight="1">
      <c r="A2589" t="inlineStr">
        <is>
          <t>A 5131-2020</t>
        </is>
      </c>
      <c r="B2589" s="1" t="n">
        <v>43850</v>
      </c>
      <c r="C2589" s="1" t="n">
        <v>45182</v>
      </c>
      <c r="D2589" t="inlineStr">
        <is>
          <t>JÄMTLANDS LÄN</t>
        </is>
      </c>
      <c r="E2589" t="inlineStr">
        <is>
          <t>STRÖMSUND</t>
        </is>
      </c>
      <c r="G2589" t="n">
        <v>17.9</v>
      </c>
      <c r="H2589" t="n">
        <v>0</v>
      </c>
      <c r="I2589" t="n">
        <v>0</v>
      </c>
      <c r="J2589" t="n">
        <v>0</v>
      </c>
      <c r="K2589" t="n">
        <v>0</v>
      </c>
      <c r="L2589" t="n">
        <v>0</v>
      </c>
      <c r="M2589" t="n">
        <v>0</v>
      </c>
      <c r="N2589" t="n">
        <v>0</v>
      </c>
      <c r="O2589" t="n">
        <v>0</v>
      </c>
      <c r="P2589" t="n">
        <v>0</v>
      </c>
      <c r="Q2589" t="n">
        <v>0</v>
      </c>
      <c r="R2589" s="2" t="inlineStr"/>
    </row>
    <row r="2590" ht="15" customHeight="1">
      <c r="A2590" t="inlineStr">
        <is>
          <t>A 4654-2020</t>
        </is>
      </c>
      <c r="B2590" s="1" t="n">
        <v>43851</v>
      </c>
      <c r="C2590" s="1" t="n">
        <v>45182</v>
      </c>
      <c r="D2590" t="inlineStr">
        <is>
          <t>JÄMTLANDS LÄN</t>
        </is>
      </c>
      <c r="E2590" t="inlineStr">
        <is>
          <t>STRÖMSUND</t>
        </is>
      </c>
      <c r="G2590" t="n">
        <v>4</v>
      </c>
      <c r="H2590" t="n">
        <v>0</v>
      </c>
      <c r="I2590" t="n">
        <v>0</v>
      </c>
      <c r="J2590" t="n">
        <v>0</v>
      </c>
      <c r="K2590" t="n">
        <v>0</v>
      </c>
      <c r="L2590" t="n">
        <v>0</v>
      </c>
      <c r="M2590" t="n">
        <v>0</v>
      </c>
      <c r="N2590" t="n">
        <v>0</v>
      </c>
      <c r="O2590" t="n">
        <v>0</v>
      </c>
      <c r="P2590" t="n">
        <v>0</v>
      </c>
      <c r="Q2590" t="n">
        <v>0</v>
      </c>
      <c r="R2590" s="2" t="inlineStr"/>
    </row>
    <row r="2591" ht="15" customHeight="1">
      <c r="A2591" t="inlineStr">
        <is>
          <t>A 3171-2020</t>
        </is>
      </c>
      <c r="B2591" s="1" t="n">
        <v>43851</v>
      </c>
      <c r="C2591" s="1" t="n">
        <v>45182</v>
      </c>
      <c r="D2591" t="inlineStr">
        <is>
          <t>JÄMTLANDS LÄN</t>
        </is>
      </c>
      <c r="E2591" t="inlineStr">
        <is>
          <t>ÅRE</t>
        </is>
      </c>
      <c r="G2591" t="n">
        <v>0.1</v>
      </c>
      <c r="H2591" t="n">
        <v>0</v>
      </c>
      <c r="I2591" t="n">
        <v>0</v>
      </c>
      <c r="J2591" t="n">
        <v>0</v>
      </c>
      <c r="K2591" t="n">
        <v>0</v>
      </c>
      <c r="L2591" t="n">
        <v>0</v>
      </c>
      <c r="M2591" t="n">
        <v>0</v>
      </c>
      <c r="N2591" t="n">
        <v>0</v>
      </c>
      <c r="O2591" t="n">
        <v>0</v>
      </c>
      <c r="P2591" t="n">
        <v>0</v>
      </c>
      <c r="Q2591" t="n">
        <v>0</v>
      </c>
      <c r="R2591" s="2" t="inlineStr"/>
    </row>
    <row r="2592" ht="15" customHeight="1">
      <c r="A2592" t="inlineStr">
        <is>
          <t>A 3489-2020</t>
        </is>
      </c>
      <c r="B2592" s="1" t="n">
        <v>43852</v>
      </c>
      <c r="C2592" s="1" t="n">
        <v>45182</v>
      </c>
      <c r="D2592" t="inlineStr">
        <is>
          <t>JÄMTLANDS LÄN</t>
        </is>
      </c>
      <c r="E2592" t="inlineStr">
        <is>
          <t>BRÄCKE</t>
        </is>
      </c>
      <c r="G2592" t="n">
        <v>3.8</v>
      </c>
      <c r="H2592" t="n">
        <v>0</v>
      </c>
      <c r="I2592" t="n">
        <v>0</v>
      </c>
      <c r="J2592" t="n">
        <v>0</v>
      </c>
      <c r="K2592" t="n">
        <v>0</v>
      </c>
      <c r="L2592" t="n">
        <v>0</v>
      </c>
      <c r="M2592" t="n">
        <v>0</v>
      </c>
      <c r="N2592" t="n">
        <v>0</v>
      </c>
      <c r="O2592" t="n">
        <v>0</v>
      </c>
      <c r="P2592" t="n">
        <v>0</v>
      </c>
      <c r="Q2592" t="n">
        <v>0</v>
      </c>
      <c r="R2592" s="2" t="inlineStr"/>
    </row>
    <row r="2593" ht="15" customHeight="1">
      <c r="A2593" t="inlineStr">
        <is>
          <t>A 3483-2020</t>
        </is>
      </c>
      <c r="B2593" s="1" t="n">
        <v>43852</v>
      </c>
      <c r="C2593" s="1" t="n">
        <v>45182</v>
      </c>
      <c r="D2593" t="inlineStr">
        <is>
          <t>JÄMTLANDS LÄN</t>
        </is>
      </c>
      <c r="E2593" t="inlineStr">
        <is>
          <t>BRÄCKE</t>
        </is>
      </c>
      <c r="G2593" t="n">
        <v>5.8</v>
      </c>
      <c r="H2593" t="n">
        <v>0</v>
      </c>
      <c r="I2593" t="n">
        <v>0</v>
      </c>
      <c r="J2593" t="n">
        <v>0</v>
      </c>
      <c r="K2593" t="n">
        <v>0</v>
      </c>
      <c r="L2593" t="n">
        <v>0</v>
      </c>
      <c r="M2593" t="n">
        <v>0</v>
      </c>
      <c r="N2593" t="n">
        <v>0</v>
      </c>
      <c r="O2593" t="n">
        <v>0</v>
      </c>
      <c r="P2593" t="n">
        <v>0</v>
      </c>
      <c r="Q2593" t="n">
        <v>0</v>
      </c>
      <c r="R2593" s="2" t="inlineStr"/>
    </row>
    <row r="2594" ht="15" customHeight="1">
      <c r="A2594" t="inlineStr">
        <is>
          <t>A 4898-2020</t>
        </is>
      </c>
      <c r="B2594" s="1" t="n">
        <v>43852</v>
      </c>
      <c r="C2594" s="1" t="n">
        <v>45182</v>
      </c>
      <c r="D2594" t="inlineStr">
        <is>
          <t>JÄMTLANDS LÄN</t>
        </is>
      </c>
      <c r="E2594" t="inlineStr">
        <is>
          <t>STRÖMSUND</t>
        </is>
      </c>
      <c r="G2594" t="n">
        <v>6.7</v>
      </c>
      <c r="H2594" t="n">
        <v>0</v>
      </c>
      <c r="I2594" t="n">
        <v>0</v>
      </c>
      <c r="J2594" t="n">
        <v>0</v>
      </c>
      <c r="K2594" t="n">
        <v>0</v>
      </c>
      <c r="L2594" t="n">
        <v>0</v>
      </c>
      <c r="M2594" t="n">
        <v>0</v>
      </c>
      <c r="N2594" t="n">
        <v>0</v>
      </c>
      <c r="O2594" t="n">
        <v>0</v>
      </c>
      <c r="P2594" t="n">
        <v>0</v>
      </c>
      <c r="Q2594" t="n">
        <v>0</v>
      </c>
      <c r="R2594" s="2" t="inlineStr"/>
    </row>
    <row r="2595" ht="15" customHeight="1">
      <c r="A2595" t="inlineStr">
        <is>
          <t>A 3574-2020</t>
        </is>
      </c>
      <c r="B2595" s="1" t="n">
        <v>43853</v>
      </c>
      <c r="C2595" s="1" t="n">
        <v>45182</v>
      </c>
      <c r="D2595" t="inlineStr">
        <is>
          <t>JÄMTLANDS LÄN</t>
        </is>
      </c>
      <c r="E2595" t="inlineStr">
        <is>
          <t>STRÖMSUND</t>
        </is>
      </c>
      <c r="G2595" t="n">
        <v>8.4</v>
      </c>
      <c r="H2595" t="n">
        <v>0</v>
      </c>
      <c r="I2595" t="n">
        <v>0</v>
      </c>
      <c r="J2595" t="n">
        <v>0</v>
      </c>
      <c r="K2595" t="n">
        <v>0</v>
      </c>
      <c r="L2595" t="n">
        <v>0</v>
      </c>
      <c r="M2595" t="n">
        <v>0</v>
      </c>
      <c r="N2595" t="n">
        <v>0</v>
      </c>
      <c r="O2595" t="n">
        <v>0</v>
      </c>
      <c r="P2595" t="n">
        <v>0</v>
      </c>
      <c r="Q2595" t="n">
        <v>0</v>
      </c>
      <c r="R2595" s="2" t="inlineStr"/>
    </row>
    <row r="2596" ht="15" customHeight="1">
      <c r="A2596" t="inlineStr">
        <is>
          <t>A 3895-2020</t>
        </is>
      </c>
      <c r="B2596" s="1" t="n">
        <v>43854</v>
      </c>
      <c r="C2596" s="1" t="n">
        <v>45182</v>
      </c>
      <c r="D2596" t="inlineStr">
        <is>
          <t>JÄMTLANDS LÄN</t>
        </is>
      </c>
      <c r="E2596" t="inlineStr">
        <is>
          <t>STRÖMSUND</t>
        </is>
      </c>
      <c r="G2596" t="n">
        <v>0.5</v>
      </c>
      <c r="H2596" t="n">
        <v>0</v>
      </c>
      <c r="I2596" t="n">
        <v>0</v>
      </c>
      <c r="J2596" t="n">
        <v>0</v>
      </c>
      <c r="K2596" t="n">
        <v>0</v>
      </c>
      <c r="L2596" t="n">
        <v>0</v>
      </c>
      <c r="M2596" t="n">
        <v>0</v>
      </c>
      <c r="N2596" t="n">
        <v>0</v>
      </c>
      <c r="O2596" t="n">
        <v>0</v>
      </c>
      <c r="P2596" t="n">
        <v>0</v>
      </c>
      <c r="Q2596" t="n">
        <v>0</v>
      </c>
      <c r="R2596" s="2" t="inlineStr"/>
    </row>
    <row r="2597" ht="15" customHeight="1">
      <c r="A2597" t="inlineStr">
        <is>
          <t>A 3772-2020</t>
        </is>
      </c>
      <c r="B2597" s="1" t="n">
        <v>43854</v>
      </c>
      <c r="C2597" s="1" t="n">
        <v>45182</v>
      </c>
      <c r="D2597" t="inlineStr">
        <is>
          <t>JÄMTLANDS LÄN</t>
        </is>
      </c>
      <c r="E2597" t="inlineStr">
        <is>
          <t>BRÄCKE</t>
        </is>
      </c>
      <c r="F2597" t="inlineStr">
        <is>
          <t>SCA</t>
        </is>
      </c>
      <c r="G2597" t="n">
        <v>16.9</v>
      </c>
      <c r="H2597" t="n">
        <v>0</v>
      </c>
      <c r="I2597" t="n">
        <v>0</v>
      </c>
      <c r="J2597" t="n">
        <v>0</v>
      </c>
      <c r="K2597" t="n">
        <v>0</v>
      </c>
      <c r="L2597" t="n">
        <v>0</v>
      </c>
      <c r="M2597" t="n">
        <v>0</v>
      </c>
      <c r="N2597" t="n">
        <v>0</v>
      </c>
      <c r="O2597" t="n">
        <v>0</v>
      </c>
      <c r="P2597" t="n">
        <v>0</v>
      </c>
      <c r="Q2597" t="n">
        <v>0</v>
      </c>
      <c r="R2597" s="2" t="inlineStr"/>
    </row>
    <row r="2598" ht="15" customHeight="1">
      <c r="A2598" t="inlineStr">
        <is>
          <t>A 3838-2020</t>
        </is>
      </c>
      <c r="B2598" s="1" t="n">
        <v>43854</v>
      </c>
      <c r="C2598" s="1" t="n">
        <v>45182</v>
      </c>
      <c r="D2598" t="inlineStr">
        <is>
          <t>JÄMTLANDS LÄN</t>
        </is>
      </c>
      <c r="E2598" t="inlineStr">
        <is>
          <t>ÅRE</t>
        </is>
      </c>
      <c r="G2598" t="n">
        <v>3.2</v>
      </c>
      <c r="H2598" t="n">
        <v>0</v>
      </c>
      <c r="I2598" t="n">
        <v>0</v>
      </c>
      <c r="J2598" t="n">
        <v>0</v>
      </c>
      <c r="K2598" t="n">
        <v>0</v>
      </c>
      <c r="L2598" t="n">
        <v>0</v>
      </c>
      <c r="M2598" t="n">
        <v>0</v>
      </c>
      <c r="N2598" t="n">
        <v>0</v>
      </c>
      <c r="O2598" t="n">
        <v>0</v>
      </c>
      <c r="P2598" t="n">
        <v>0</v>
      </c>
      <c r="Q2598" t="n">
        <v>0</v>
      </c>
      <c r="R2598" s="2" t="inlineStr"/>
    </row>
    <row r="2599" ht="15" customHeight="1">
      <c r="A2599" t="inlineStr">
        <is>
          <t>A 3862-2020</t>
        </is>
      </c>
      <c r="B2599" s="1" t="n">
        <v>43854</v>
      </c>
      <c r="C2599" s="1" t="n">
        <v>45182</v>
      </c>
      <c r="D2599" t="inlineStr">
        <is>
          <t>JÄMTLANDS LÄN</t>
        </is>
      </c>
      <c r="E2599" t="inlineStr">
        <is>
          <t>STRÖMSUND</t>
        </is>
      </c>
      <c r="G2599" t="n">
        <v>4.3</v>
      </c>
      <c r="H2599" t="n">
        <v>0</v>
      </c>
      <c r="I2599" t="n">
        <v>0</v>
      </c>
      <c r="J2599" t="n">
        <v>0</v>
      </c>
      <c r="K2599" t="n">
        <v>0</v>
      </c>
      <c r="L2599" t="n">
        <v>0</v>
      </c>
      <c r="M2599" t="n">
        <v>0</v>
      </c>
      <c r="N2599" t="n">
        <v>0</v>
      </c>
      <c r="O2599" t="n">
        <v>0</v>
      </c>
      <c r="P2599" t="n">
        <v>0</v>
      </c>
      <c r="Q2599" t="n">
        <v>0</v>
      </c>
      <c r="R2599" s="2" t="inlineStr"/>
    </row>
    <row r="2600" ht="15" customHeight="1">
      <c r="A2600" t="inlineStr">
        <is>
          <t>A 3988-2020</t>
        </is>
      </c>
      <c r="B2600" s="1" t="n">
        <v>43856</v>
      </c>
      <c r="C2600" s="1" t="n">
        <v>45182</v>
      </c>
      <c r="D2600" t="inlineStr">
        <is>
          <t>JÄMTLANDS LÄN</t>
        </is>
      </c>
      <c r="E2600" t="inlineStr">
        <is>
          <t>STRÖMSUND</t>
        </is>
      </c>
      <c r="G2600" t="n">
        <v>12.4</v>
      </c>
      <c r="H2600" t="n">
        <v>0</v>
      </c>
      <c r="I2600" t="n">
        <v>0</v>
      </c>
      <c r="J2600" t="n">
        <v>0</v>
      </c>
      <c r="K2600" t="n">
        <v>0</v>
      </c>
      <c r="L2600" t="n">
        <v>0</v>
      </c>
      <c r="M2600" t="n">
        <v>0</v>
      </c>
      <c r="N2600" t="n">
        <v>0</v>
      </c>
      <c r="O2600" t="n">
        <v>0</v>
      </c>
      <c r="P2600" t="n">
        <v>0</v>
      </c>
      <c r="Q2600" t="n">
        <v>0</v>
      </c>
      <c r="R2600" s="2" t="inlineStr"/>
    </row>
    <row r="2601" ht="15" customHeight="1">
      <c r="A2601" t="inlineStr">
        <is>
          <t>A 4663-2020</t>
        </is>
      </c>
      <c r="B2601" s="1" t="n">
        <v>43858</v>
      </c>
      <c r="C2601" s="1" t="n">
        <v>45182</v>
      </c>
      <c r="D2601" t="inlineStr">
        <is>
          <t>JÄMTLANDS LÄN</t>
        </is>
      </c>
      <c r="E2601" t="inlineStr">
        <is>
          <t>HÄRJEDALEN</t>
        </is>
      </c>
      <c r="G2601" t="n">
        <v>10.2</v>
      </c>
      <c r="H2601" t="n">
        <v>0</v>
      </c>
      <c r="I2601" t="n">
        <v>0</v>
      </c>
      <c r="J2601" t="n">
        <v>0</v>
      </c>
      <c r="K2601" t="n">
        <v>0</v>
      </c>
      <c r="L2601" t="n">
        <v>0</v>
      </c>
      <c r="M2601" t="n">
        <v>0</v>
      </c>
      <c r="N2601" t="n">
        <v>0</v>
      </c>
      <c r="O2601" t="n">
        <v>0</v>
      </c>
      <c r="P2601" t="n">
        <v>0</v>
      </c>
      <c r="Q2601" t="n">
        <v>0</v>
      </c>
      <c r="R2601" s="2" t="inlineStr"/>
    </row>
    <row r="2602" ht="15" customHeight="1">
      <c r="A2602" t="inlineStr">
        <is>
          <t>A 4599-2020</t>
        </is>
      </c>
      <c r="B2602" s="1" t="n">
        <v>43858</v>
      </c>
      <c r="C2602" s="1" t="n">
        <v>45182</v>
      </c>
      <c r="D2602" t="inlineStr">
        <is>
          <t>JÄMTLANDS LÄN</t>
        </is>
      </c>
      <c r="E2602" t="inlineStr">
        <is>
          <t>KROKOM</t>
        </is>
      </c>
      <c r="G2602" t="n">
        <v>32.1</v>
      </c>
      <c r="H2602" t="n">
        <v>0</v>
      </c>
      <c r="I2602" t="n">
        <v>0</v>
      </c>
      <c r="J2602" t="n">
        <v>0</v>
      </c>
      <c r="K2602" t="n">
        <v>0</v>
      </c>
      <c r="L2602" t="n">
        <v>0</v>
      </c>
      <c r="M2602" t="n">
        <v>0</v>
      </c>
      <c r="N2602" t="n">
        <v>0</v>
      </c>
      <c r="O2602" t="n">
        <v>0</v>
      </c>
      <c r="P2602" t="n">
        <v>0</v>
      </c>
      <c r="Q2602" t="n">
        <v>0</v>
      </c>
      <c r="R2602" s="2" t="inlineStr"/>
    </row>
    <row r="2603" ht="15" customHeight="1">
      <c r="A2603" t="inlineStr">
        <is>
          <t>A 4762-2020</t>
        </is>
      </c>
      <c r="B2603" s="1" t="n">
        <v>43859</v>
      </c>
      <c r="C2603" s="1" t="n">
        <v>45182</v>
      </c>
      <c r="D2603" t="inlineStr">
        <is>
          <t>JÄMTLANDS LÄN</t>
        </is>
      </c>
      <c r="E2603" t="inlineStr">
        <is>
          <t>KROKOM</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4905-2020</t>
        </is>
      </c>
      <c r="B2604" s="1" t="n">
        <v>43859</v>
      </c>
      <c r="C2604" s="1" t="n">
        <v>45182</v>
      </c>
      <c r="D2604" t="inlineStr">
        <is>
          <t>JÄMTLANDS LÄN</t>
        </is>
      </c>
      <c r="E2604" t="inlineStr">
        <is>
          <t>STRÖMSUND</t>
        </is>
      </c>
      <c r="G2604" t="n">
        <v>22.3</v>
      </c>
      <c r="H2604" t="n">
        <v>0</v>
      </c>
      <c r="I2604" t="n">
        <v>0</v>
      </c>
      <c r="J2604" t="n">
        <v>0</v>
      </c>
      <c r="K2604" t="n">
        <v>0</v>
      </c>
      <c r="L2604" t="n">
        <v>0</v>
      </c>
      <c r="M2604" t="n">
        <v>0</v>
      </c>
      <c r="N2604" t="n">
        <v>0</v>
      </c>
      <c r="O2604" t="n">
        <v>0</v>
      </c>
      <c r="P2604" t="n">
        <v>0</v>
      </c>
      <c r="Q2604" t="n">
        <v>0</v>
      </c>
      <c r="R2604" s="2" t="inlineStr"/>
    </row>
    <row r="2605" ht="15" customHeight="1">
      <c r="A2605" t="inlineStr">
        <is>
          <t>A 5556-2020</t>
        </is>
      </c>
      <c r="B2605" s="1" t="n">
        <v>43860</v>
      </c>
      <c r="C2605" s="1" t="n">
        <v>45182</v>
      </c>
      <c r="D2605" t="inlineStr">
        <is>
          <t>JÄMTLANDS LÄN</t>
        </is>
      </c>
      <c r="E2605" t="inlineStr">
        <is>
          <t>BERG</t>
        </is>
      </c>
      <c r="G2605" t="n">
        <v>0.3</v>
      </c>
      <c r="H2605" t="n">
        <v>0</v>
      </c>
      <c r="I2605" t="n">
        <v>0</v>
      </c>
      <c r="J2605" t="n">
        <v>0</v>
      </c>
      <c r="K2605" t="n">
        <v>0</v>
      </c>
      <c r="L2605" t="n">
        <v>0</v>
      </c>
      <c r="M2605" t="n">
        <v>0</v>
      </c>
      <c r="N2605" t="n">
        <v>0</v>
      </c>
      <c r="O2605" t="n">
        <v>0</v>
      </c>
      <c r="P2605" t="n">
        <v>0</v>
      </c>
      <c r="Q2605" t="n">
        <v>0</v>
      </c>
      <c r="R2605" s="2" t="inlineStr"/>
    </row>
    <row r="2606" ht="15" customHeight="1">
      <c r="A2606" t="inlineStr">
        <is>
          <t>A 5337-2020</t>
        </is>
      </c>
      <c r="B2606" s="1" t="n">
        <v>43860</v>
      </c>
      <c r="C2606" s="1" t="n">
        <v>45182</v>
      </c>
      <c r="D2606" t="inlineStr">
        <is>
          <t>JÄMTLANDS LÄN</t>
        </is>
      </c>
      <c r="E2606" t="inlineStr">
        <is>
          <t>KROKOM</t>
        </is>
      </c>
      <c r="G2606" t="n">
        <v>1.3</v>
      </c>
      <c r="H2606" t="n">
        <v>0</v>
      </c>
      <c r="I2606" t="n">
        <v>0</v>
      </c>
      <c r="J2606" t="n">
        <v>0</v>
      </c>
      <c r="K2606" t="n">
        <v>0</v>
      </c>
      <c r="L2606" t="n">
        <v>0</v>
      </c>
      <c r="M2606" t="n">
        <v>0</v>
      </c>
      <c r="N2606" t="n">
        <v>0</v>
      </c>
      <c r="O2606" t="n">
        <v>0</v>
      </c>
      <c r="P2606" t="n">
        <v>0</v>
      </c>
      <c r="Q2606" t="n">
        <v>0</v>
      </c>
      <c r="R2606" s="2" t="inlineStr"/>
    </row>
    <row r="2607" ht="15" customHeight="1">
      <c r="A2607" t="inlineStr">
        <is>
          <t>A 5905-2020</t>
        </is>
      </c>
      <c r="B2607" s="1" t="n">
        <v>43861</v>
      </c>
      <c r="C2607" s="1" t="n">
        <v>45182</v>
      </c>
      <c r="D2607" t="inlineStr">
        <is>
          <t>JÄMTLANDS LÄN</t>
        </is>
      </c>
      <c r="E2607" t="inlineStr">
        <is>
          <t>ÖSTERSUND</t>
        </is>
      </c>
      <c r="G2607" t="n">
        <v>2.6</v>
      </c>
      <c r="H2607" t="n">
        <v>0</v>
      </c>
      <c r="I2607" t="n">
        <v>0</v>
      </c>
      <c r="J2607" t="n">
        <v>0</v>
      </c>
      <c r="K2607" t="n">
        <v>0</v>
      </c>
      <c r="L2607" t="n">
        <v>0</v>
      </c>
      <c r="M2607" t="n">
        <v>0</v>
      </c>
      <c r="N2607" t="n">
        <v>0</v>
      </c>
      <c r="O2607" t="n">
        <v>0</v>
      </c>
      <c r="P2607" t="n">
        <v>0</v>
      </c>
      <c r="Q2607" t="n">
        <v>0</v>
      </c>
      <c r="R2607" s="2" t="inlineStr"/>
    </row>
    <row r="2608" ht="15" customHeight="1">
      <c r="A2608" t="inlineStr">
        <is>
          <t>A 5915-2020</t>
        </is>
      </c>
      <c r="B2608" s="1" t="n">
        <v>43861</v>
      </c>
      <c r="C2608" s="1" t="n">
        <v>45182</v>
      </c>
      <c r="D2608" t="inlineStr">
        <is>
          <t>JÄMTLANDS LÄN</t>
        </is>
      </c>
      <c r="E2608" t="inlineStr">
        <is>
          <t>STRÖMSUND</t>
        </is>
      </c>
      <c r="G2608" t="n">
        <v>10.3</v>
      </c>
      <c r="H2608" t="n">
        <v>0</v>
      </c>
      <c r="I2608" t="n">
        <v>0</v>
      </c>
      <c r="J2608" t="n">
        <v>0</v>
      </c>
      <c r="K2608" t="n">
        <v>0</v>
      </c>
      <c r="L2608" t="n">
        <v>0</v>
      </c>
      <c r="M2608" t="n">
        <v>0</v>
      </c>
      <c r="N2608" t="n">
        <v>0</v>
      </c>
      <c r="O2608" t="n">
        <v>0</v>
      </c>
      <c r="P2608" t="n">
        <v>0</v>
      </c>
      <c r="Q2608" t="n">
        <v>0</v>
      </c>
      <c r="R2608" s="2" t="inlineStr"/>
    </row>
    <row r="2609" ht="15" customHeight="1">
      <c r="A2609" t="inlineStr">
        <is>
          <t>A 6051-2020</t>
        </is>
      </c>
      <c r="B2609" s="1" t="n">
        <v>43861</v>
      </c>
      <c r="C2609" s="1" t="n">
        <v>45182</v>
      </c>
      <c r="D2609" t="inlineStr">
        <is>
          <t>JÄMTLANDS LÄN</t>
        </is>
      </c>
      <c r="E2609" t="inlineStr">
        <is>
          <t>RAGUNDA</t>
        </is>
      </c>
      <c r="G2609" t="n">
        <v>3.4</v>
      </c>
      <c r="H2609" t="n">
        <v>0</v>
      </c>
      <c r="I2609" t="n">
        <v>0</v>
      </c>
      <c r="J2609" t="n">
        <v>0</v>
      </c>
      <c r="K2609" t="n">
        <v>0</v>
      </c>
      <c r="L2609" t="n">
        <v>0</v>
      </c>
      <c r="M2609" t="n">
        <v>0</v>
      </c>
      <c r="N2609" t="n">
        <v>0</v>
      </c>
      <c r="O2609" t="n">
        <v>0</v>
      </c>
      <c r="P2609" t="n">
        <v>0</v>
      </c>
      <c r="Q2609" t="n">
        <v>0</v>
      </c>
      <c r="R2609" s="2" t="inlineStr"/>
    </row>
    <row r="2610" ht="15" customHeight="1">
      <c r="A2610" t="inlineStr">
        <is>
          <t>A 6028-2020</t>
        </is>
      </c>
      <c r="B2610" s="1" t="n">
        <v>43864</v>
      </c>
      <c r="C2610" s="1" t="n">
        <v>45182</v>
      </c>
      <c r="D2610" t="inlineStr">
        <is>
          <t>JÄMTLANDS LÄN</t>
        </is>
      </c>
      <c r="E2610" t="inlineStr">
        <is>
          <t>ÖSTERSUND</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6522-2020</t>
        </is>
      </c>
      <c r="B2611" s="1" t="n">
        <v>43864</v>
      </c>
      <c r="C2611" s="1" t="n">
        <v>45182</v>
      </c>
      <c r="D2611" t="inlineStr">
        <is>
          <t>JÄMTLANDS LÄN</t>
        </is>
      </c>
      <c r="E2611" t="inlineStr">
        <is>
          <t>ÖSTERSUND</t>
        </is>
      </c>
      <c r="G2611" t="n">
        <v>1.5</v>
      </c>
      <c r="H2611" t="n">
        <v>0</v>
      </c>
      <c r="I2611" t="n">
        <v>0</v>
      </c>
      <c r="J2611" t="n">
        <v>0</v>
      </c>
      <c r="K2611" t="n">
        <v>0</v>
      </c>
      <c r="L2611" t="n">
        <v>0</v>
      </c>
      <c r="M2611" t="n">
        <v>0</v>
      </c>
      <c r="N2611" t="n">
        <v>0</v>
      </c>
      <c r="O2611" t="n">
        <v>0</v>
      </c>
      <c r="P2611" t="n">
        <v>0</v>
      </c>
      <c r="Q2611" t="n">
        <v>0</v>
      </c>
      <c r="R2611" s="2" t="inlineStr"/>
    </row>
    <row r="2612" ht="15" customHeight="1">
      <c r="A2612" t="inlineStr">
        <is>
          <t>A 6566-2020</t>
        </is>
      </c>
      <c r="B2612" s="1" t="n">
        <v>43865</v>
      </c>
      <c r="C2612" s="1" t="n">
        <v>45182</v>
      </c>
      <c r="D2612" t="inlineStr">
        <is>
          <t>JÄMTLANDS LÄN</t>
        </is>
      </c>
      <c r="E2612" t="inlineStr">
        <is>
          <t>ÖSTERSUND</t>
        </is>
      </c>
      <c r="G2612" t="n">
        <v>2.8</v>
      </c>
      <c r="H2612" t="n">
        <v>0</v>
      </c>
      <c r="I2612" t="n">
        <v>0</v>
      </c>
      <c r="J2612" t="n">
        <v>0</v>
      </c>
      <c r="K2612" t="n">
        <v>0</v>
      </c>
      <c r="L2612" t="n">
        <v>0</v>
      </c>
      <c r="M2612" t="n">
        <v>0</v>
      </c>
      <c r="N2612" t="n">
        <v>0</v>
      </c>
      <c r="O2612" t="n">
        <v>0</v>
      </c>
      <c r="P2612" t="n">
        <v>0</v>
      </c>
      <c r="Q2612" t="n">
        <v>0</v>
      </c>
      <c r="R2612" s="2" t="inlineStr"/>
    </row>
    <row r="2613" ht="15" customHeight="1">
      <c r="A2613" t="inlineStr">
        <is>
          <t>A 6265-2020</t>
        </is>
      </c>
      <c r="B2613" s="1" t="n">
        <v>43866</v>
      </c>
      <c r="C2613" s="1" t="n">
        <v>45182</v>
      </c>
      <c r="D2613" t="inlineStr">
        <is>
          <t>JÄMTLANDS LÄN</t>
        </is>
      </c>
      <c r="E2613" t="inlineStr">
        <is>
          <t>BRÄCKE</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6333-2020</t>
        </is>
      </c>
      <c r="B2614" s="1" t="n">
        <v>43866</v>
      </c>
      <c r="C2614" s="1" t="n">
        <v>45182</v>
      </c>
      <c r="D2614" t="inlineStr">
        <is>
          <t>JÄMTLANDS LÄN</t>
        </is>
      </c>
      <c r="E2614" t="inlineStr">
        <is>
          <t>BERG</t>
        </is>
      </c>
      <c r="G2614" t="n">
        <v>7.8</v>
      </c>
      <c r="H2614" t="n">
        <v>0</v>
      </c>
      <c r="I2614" t="n">
        <v>0</v>
      </c>
      <c r="J2614" t="n">
        <v>0</v>
      </c>
      <c r="K2614" t="n">
        <v>0</v>
      </c>
      <c r="L2614" t="n">
        <v>0</v>
      </c>
      <c r="M2614" t="n">
        <v>0</v>
      </c>
      <c r="N2614" t="n">
        <v>0</v>
      </c>
      <c r="O2614" t="n">
        <v>0</v>
      </c>
      <c r="P2614" t="n">
        <v>0</v>
      </c>
      <c r="Q2614" t="n">
        <v>0</v>
      </c>
      <c r="R2614" s="2" t="inlineStr"/>
    </row>
    <row r="2615" ht="15" customHeight="1">
      <c r="A2615" t="inlineStr">
        <is>
          <t>A 6719-2020</t>
        </is>
      </c>
      <c r="B2615" s="1" t="n">
        <v>43866</v>
      </c>
      <c r="C2615" s="1" t="n">
        <v>45182</v>
      </c>
      <c r="D2615" t="inlineStr">
        <is>
          <t>JÄMTLANDS LÄN</t>
        </is>
      </c>
      <c r="E2615" t="inlineStr">
        <is>
          <t>HÄRJEDALEN</t>
        </is>
      </c>
      <c r="G2615" t="n">
        <v>1.2</v>
      </c>
      <c r="H2615" t="n">
        <v>0</v>
      </c>
      <c r="I2615" t="n">
        <v>0</v>
      </c>
      <c r="J2615" t="n">
        <v>0</v>
      </c>
      <c r="K2615" t="n">
        <v>0</v>
      </c>
      <c r="L2615" t="n">
        <v>0</v>
      </c>
      <c r="M2615" t="n">
        <v>0</v>
      </c>
      <c r="N2615" t="n">
        <v>0</v>
      </c>
      <c r="O2615" t="n">
        <v>0</v>
      </c>
      <c r="P2615" t="n">
        <v>0</v>
      </c>
      <c r="Q2615" t="n">
        <v>0</v>
      </c>
      <c r="R2615" s="2" t="inlineStr"/>
    </row>
    <row r="2616" ht="15" customHeight="1">
      <c r="A2616" t="inlineStr">
        <is>
          <t>A 6715-2020</t>
        </is>
      </c>
      <c r="B2616" s="1" t="n">
        <v>43866</v>
      </c>
      <c r="C2616" s="1" t="n">
        <v>45182</v>
      </c>
      <c r="D2616" t="inlineStr">
        <is>
          <t>JÄMTLANDS LÄN</t>
        </is>
      </c>
      <c r="E2616" t="inlineStr">
        <is>
          <t>HÄRJEDALEN</t>
        </is>
      </c>
      <c r="G2616" t="n">
        <v>7.5</v>
      </c>
      <c r="H2616" t="n">
        <v>0</v>
      </c>
      <c r="I2616" t="n">
        <v>0</v>
      </c>
      <c r="J2616" t="n">
        <v>0</v>
      </c>
      <c r="K2616" t="n">
        <v>0</v>
      </c>
      <c r="L2616" t="n">
        <v>0</v>
      </c>
      <c r="M2616" t="n">
        <v>0</v>
      </c>
      <c r="N2616" t="n">
        <v>0</v>
      </c>
      <c r="O2616" t="n">
        <v>0</v>
      </c>
      <c r="P2616" t="n">
        <v>0</v>
      </c>
      <c r="Q2616" t="n">
        <v>0</v>
      </c>
      <c r="R2616" s="2" t="inlineStr"/>
    </row>
    <row r="2617" ht="15" customHeight="1">
      <c r="A2617" t="inlineStr">
        <is>
          <t>A 6675-2020</t>
        </is>
      </c>
      <c r="B2617" s="1" t="n">
        <v>43866</v>
      </c>
      <c r="C2617" s="1" t="n">
        <v>45182</v>
      </c>
      <c r="D2617" t="inlineStr">
        <is>
          <t>JÄMTLANDS LÄN</t>
        </is>
      </c>
      <c r="E2617" t="inlineStr">
        <is>
          <t>HÄRJEDALEN</t>
        </is>
      </c>
      <c r="G2617" t="n">
        <v>8.199999999999999</v>
      </c>
      <c r="H2617" t="n">
        <v>0</v>
      </c>
      <c r="I2617" t="n">
        <v>0</v>
      </c>
      <c r="J2617" t="n">
        <v>0</v>
      </c>
      <c r="K2617" t="n">
        <v>0</v>
      </c>
      <c r="L2617" t="n">
        <v>0</v>
      </c>
      <c r="M2617" t="n">
        <v>0</v>
      </c>
      <c r="N2617" t="n">
        <v>0</v>
      </c>
      <c r="O2617" t="n">
        <v>0</v>
      </c>
      <c r="P2617" t="n">
        <v>0</v>
      </c>
      <c r="Q2617" t="n">
        <v>0</v>
      </c>
      <c r="R2617" s="2" t="inlineStr"/>
    </row>
    <row r="2618" ht="15" customHeight="1">
      <c r="A2618" t="inlineStr">
        <is>
          <t>A 6584-2020</t>
        </is>
      </c>
      <c r="B2618" s="1" t="n">
        <v>43867</v>
      </c>
      <c r="C2618" s="1" t="n">
        <v>45182</v>
      </c>
      <c r="D2618" t="inlineStr">
        <is>
          <t>JÄMTLANDS LÄN</t>
        </is>
      </c>
      <c r="E2618" t="inlineStr">
        <is>
          <t>HÄRJEDALEN</t>
        </is>
      </c>
      <c r="F2618" t="inlineStr">
        <is>
          <t>Bergvik skog väst AB</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6903-2020</t>
        </is>
      </c>
      <c r="B2619" s="1" t="n">
        <v>43867</v>
      </c>
      <c r="C2619" s="1" t="n">
        <v>45182</v>
      </c>
      <c r="D2619" t="inlineStr">
        <is>
          <t>JÄMTLANDS LÄN</t>
        </is>
      </c>
      <c r="E2619" t="inlineStr">
        <is>
          <t>HÄRJEDALEN</t>
        </is>
      </c>
      <c r="G2619" t="n">
        <v>10.5</v>
      </c>
      <c r="H2619" t="n">
        <v>0</v>
      </c>
      <c r="I2619" t="n">
        <v>0</v>
      </c>
      <c r="J2619" t="n">
        <v>0</v>
      </c>
      <c r="K2619" t="n">
        <v>0</v>
      </c>
      <c r="L2619" t="n">
        <v>0</v>
      </c>
      <c r="M2619" t="n">
        <v>0</v>
      </c>
      <c r="N2619" t="n">
        <v>0</v>
      </c>
      <c r="O2619" t="n">
        <v>0</v>
      </c>
      <c r="P2619" t="n">
        <v>0</v>
      </c>
      <c r="Q2619" t="n">
        <v>0</v>
      </c>
      <c r="R2619" s="2" t="inlineStr"/>
    </row>
    <row r="2620" ht="15" customHeight="1">
      <c r="A2620" t="inlineStr">
        <is>
          <t>A 7045-2020</t>
        </is>
      </c>
      <c r="B2620" s="1" t="n">
        <v>43868</v>
      </c>
      <c r="C2620" s="1" t="n">
        <v>45182</v>
      </c>
      <c r="D2620" t="inlineStr">
        <is>
          <t>JÄMTLANDS LÄN</t>
        </is>
      </c>
      <c r="E2620" t="inlineStr">
        <is>
          <t>BRÄCKE</t>
        </is>
      </c>
      <c r="F2620" t="inlineStr">
        <is>
          <t>SCA</t>
        </is>
      </c>
      <c r="G2620" t="n">
        <v>0.3</v>
      </c>
      <c r="H2620" t="n">
        <v>0</v>
      </c>
      <c r="I2620" t="n">
        <v>0</v>
      </c>
      <c r="J2620" t="n">
        <v>0</v>
      </c>
      <c r="K2620" t="n">
        <v>0</v>
      </c>
      <c r="L2620" t="n">
        <v>0</v>
      </c>
      <c r="M2620" t="n">
        <v>0</v>
      </c>
      <c r="N2620" t="n">
        <v>0</v>
      </c>
      <c r="O2620" t="n">
        <v>0</v>
      </c>
      <c r="P2620" t="n">
        <v>0</v>
      </c>
      <c r="Q2620" t="n">
        <v>0</v>
      </c>
      <c r="R2620" s="2" t="inlineStr"/>
    </row>
    <row r="2621" ht="15" customHeight="1">
      <c r="A2621" t="inlineStr">
        <is>
          <t>A 7071-2020</t>
        </is>
      </c>
      <c r="B2621" s="1" t="n">
        <v>43868</v>
      </c>
      <c r="C2621" s="1" t="n">
        <v>45182</v>
      </c>
      <c r="D2621" t="inlineStr">
        <is>
          <t>JÄMTLANDS LÄN</t>
        </is>
      </c>
      <c r="E2621" t="inlineStr">
        <is>
          <t>RAGUNDA</t>
        </is>
      </c>
      <c r="G2621" t="n">
        <v>2.1</v>
      </c>
      <c r="H2621" t="n">
        <v>0</v>
      </c>
      <c r="I2621" t="n">
        <v>0</v>
      </c>
      <c r="J2621" t="n">
        <v>0</v>
      </c>
      <c r="K2621" t="n">
        <v>0</v>
      </c>
      <c r="L2621" t="n">
        <v>0</v>
      </c>
      <c r="M2621" t="n">
        <v>0</v>
      </c>
      <c r="N2621" t="n">
        <v>0</v>
      </c>
      <c r="O2621" t="n">
        <v>0</v>
      </c>
      <c r="P2621" t="n">
        <v>0</v>
      </c>
      <c r="Q2621" t="n">
        <v>0</v>
      </c>
      <c r="R2621" s="2" t="inlineStr"/>
    </row>
    <row r="2622" ht="15" customHeight="1">
      <c r="A2622" t="inlineStr">
        <is>
          <t>A 7570-2020</t>
        </is>
      </c>
      <c r="B2622" s="1" t="n">
        <v>43871</v>
      </c>
      <c r="C2622" s="1" t="n">
        <v>45182</v>
      </c>
      <c r="D2622" t="inlineStr">
        <is>
          <t>JÄMTLANDS LÄN</t>
        </is>
      </c>
      <c r="E2622" t="inlineStr">
        <is>
          <t>ÖSTERSUND</t>
        </is>
      </c>
      <c r="G2622" t="n">
        <v>1.6</v>
      </c>
      <c r="H2622" t="n">
        <v>0</v>
      </c>
      <c r="I2622" t="n">
        <v>0</v>
      </c>
      <c r="J2622" t="n">
        <v>0</v>
      </c>
      <c r="K2622" t="n">
        <v>0</v>
      </c>
      <c r="L2622" t="n">
        <v>0</v>
      </c>
      <c r="M2622" t="n">
        <v>0</v>
      </c>
      <c r="N2622" t="n">
        <v>0</v>
      </c>
      <c r="O2622" t="n">
        <v>0</v>
      </c>
      <c r="P2622" t="n">
        <v>0</v>
      </c>
      <c r="Q2622" t="n">
        <v>0</v>
      </c>
      <c r="R2622" s="2" t="inlineStr"/>
    </row>
    <row r="2623" ht="15" customHeight="1">
      <c r="A2623" t="inlineStr">
        <is>
          <t>A 7184-2020</t>
        </is>
      </c>
      <c r="B2623" s="1" t="n">
        <v>43871</v>
      </c>
      <c r="C2623" s="1" t="n">
        <v>45182</v>
      </c>
      <c r="D2623" t="inlineStr">
        <is>
          <t>JÄMTLANDS LÄN</t>
        </is>
      </c>
      <c r="E2623" t="inlineStr">
        <is>
          <t>HÄRJEDALEN</t>
        </is>
      </c>
      <c r="G2623" t="n">
        <v>41.4</v>
      </c>
      <c r="H2623" t="n">
        <v>0</v>
      </c>
      <c r="I2623" t="n">
        <v>0</v>
      </c>
      <c r="J2623" t="n">
        <v>0</v>
      </c>
      <c r="K2623" t="n">
        <v>0</v>
      </c>
      <c r="L2623" t="n">
        <v>0</v>
      </c>
      <c r="M2623" t="n">
        <v>0</v>
      </c>
      <c r="N2623" t="n">
        <v>0</v>
      </c>
      <c r="O2623" t="n">
        <v>0</v>
      </c>
      <c r="P2623" t="n">
        <v>0</v>
      </c>
      <c r="Q2623" t="n">
        <v>0</v>
      </c>
      <c r="R2623" s="2" t="inlineStr"/>
    </row>
    <row r="2624" ht="15" customHeight="1">
      <c r="A2624" t="inlineStr">
        <is>
          <t>A 7228-2020</t>
        </is>
      </c>
      <c r="B2624" s="1" t="n">
        <v>43871</v>
      </c>
      <c r="C2624" s="1" t="n">
        <v>45182</v>
      </c>
      <c r="D2624" t="inlineStr">
        <is>
          <t>JÄMTLANDS LÄN</t>
        </is>
      </c>
      <c r="E2624" t="inlineStr">
        <is>
          <t>BERG</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7630-2020</t>
        </is>
      </c>
      <c r="B2625" s="1" t="n">
        <v>43871</v>
      </c>
      <c r="C2625" s="1" t="n">
        <v>45182</v>
      </c>
      <c r="D2625" t="inlineStr">
        <is>
          <t>JÄMTLANDS LÄN</t>
        </is>
      </c>
      <c r="E2625" t="inlineStr">
        <is>
          <t>STRÖMSUND</t>
        </is>
      </c>
      <c r="G2625" t="n">
        <v>3</v>
      </c>
      <c r="H2625" t="n">
        <v>0</v>
      </c>
      <c r="I2625" t="n">
        <v>0</v>
      </c>
      <c r="J2625" t="n">
        <v>0</v>
      </c>
      <c r="K2625" t="n">
        <v>0</v>
      </c>
      <c r="L2625" t="n">
        <v>0</v>
      </c>
      <c r="M2625" t="n">
        <v>0</v>
      </c>
      <c r="N2625" t="n">
        <v>0</v>
      </c>
      <c r="O2625" t="n">
        <v>0</v>
      </c>
      <c r="P2625" t="n">
        <v>0</v>
      </c>
      <c r="Q2625" t="n">
        <v>0</v>
      </c>
      <c r="R2625" s="2" t="inlineStr"/>
    </row>
    <row r="2626" ht="15" customHeight="1">
      <c r="A2626" t="inlineStr">
        <is>
          <t>A 7192-2020</t>
        </is>
      </c>
      <c r="B2626" s="1" t="n">
        <v>43871</v>
      </c>
      <c r="C2626" s="1" t="n">
        <v>45182</v>
      </c>
      <c r="D2626" t="inlineStr">
        <is>
          <t>JÄMTLANDS LÄN</t>
        </is>
      </c>
      <c r="E2626" t="inlineStr">
        <is>
          <t>STRÖMSUND</t>
        </is>
      </c>
      <c r="G2626" t="n">
        <v>11.4</v>
      </c>
      <c r="H2626" t="n">
        <v>0</v>
      </c>
      <c r="I2626" t="n">
        <v>0</v>
      </c>
      <c r="J2626" t="n">
        <v>0</v>
      </c>
      <c r="K2626" t="n">
        <v>0</v>
      </c>
      <c r="L2626" t="n">
        <v>0</v>
      </c>
      <c r="M2626" t="n">
        <v>0</v>
      </c>
      <c r="N2626" t="n">
        <v>0</v>
      </c>
      <c r="O2626" t="n">
        <v>0</v>
      </c>
      <c r="P2626" t="n">
        <v>0</v>
      </c>
      <c r="Q2626" t="n">
        <v>0</v>
      </c>
      <c r="R2626" s="2" t="inlineStr"/>
    </row>
    <row r="2627" ht="15" customHeight="1">
      <c r="A2627" t="inlineStr">
        <is>
          <t>A 7255-2020</t>
        </is>
      </c>
      <c r="B2627" s="1" t="n">
        <v>43871</v>
      </c>
      <c r="C2627" s="1" t="n">
        <v>45182</v>
      </c>
      <c r="D2627" t="inlineStr">
        <is>
          <t>JÄMTLANDS LÄN</t>
        </is>
      </c>
      <c r="E2627" t="inlineStr">
        <is>
          <t>ÖSTERSUND</t>
        </is>
      </c>
      <c r="G2627" t="n">
        <v>0.8</v>
      </c>
      <c r="H2627" t="n">
        <v>0</v>
      </c>
      <c r="I2627" t="n">
        <v>0</v>
      </c>
      <c r="J2627" t="n">
        <v>0</v>
      </c>
      <c r="K2627" t="n">
        <v>0</v>
      </c>
      <c r="L2627" t="n">
        <v>0</v>
      </c>
      <c r="M2627" t="n">
        <v>0</v>
      </c>
      <c r="N2627" t="n">
        <v>0</v>
      </c>
      <c r="O2627" t="n">
        <v>0</v>
      </c>
      <c r="P2627" t="n">
        <v>0</v>
      </c>
      <c r="Q2627" t="n">
        <v>0</v>
      </c>
      <c r="R2627" s="2" t="inlineStr"/>
    </row>
    <row r="2628" ht="15" customHeight="1">
      <c r="A2628" t="inlineStr">
        <is>
          <t>A 7783-2020</t>
        </is>
      </c>
      <c r="B2628" s="1" t="n">
        <v>43872</v>
      </c>
      <c r="C2628" s="1" t="n">
        <v>45182</v>
      </c>
      <c r="D2628" t="inlineStr">
        <is>
          <t>JÄMTLANDS LÄN</t>
        </is>
      </c>
      <c r="E2628" t="inlineStr">
        <is>
          <t>BRÄCKE</t>
        </is>
      </c>
      <c r="F2628" t="inlineStr">
        <is>
          <t>SCA</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7782-2020</t>
        </is>
      </c>
      <c r="B2629" s="1" t="n">
        <v>43872</v>
      </c>
      <c r="C2629" s="1" t="n">
        <v>45182</v>
      </c>
      <c r="D2629" t="inlineStr">
        <is>
          <t>JÄMTLANDS LÄN</t>
        </is>
      </c>
      <c r="E2629" t="inlineStr">
        <is>
          <t>BRÄCKE</t>
        </is>
      </c>
      <c r="F2629" t="inlineStr">
        <is>
          <t>SCA</t>
        </is>
      </c>
      <c r="G2629" t="n">
        <v>2.8</v>
      </c>
      <c r="H2629" t="n">
        <v>0</v>
      </c>
      <c r="I2629" t="n">
        <v>0</v>
      </c>
      <c r="J2629" t="n">
        <v>0</v>
      </c>
      <c r="K2629" t="n">
        <v>0</v>
      </c>
      <c r="L2629" t="n">
        <v>0</v>
      </c>
      <c r="M2629" t="n">
        <v>0</v>
      </c>
      <c r="N2629" t="n">
        <v>0</v>
      </c>
      <c r="O2629" t="n">
        <v>0</v>
      </c>
      <c r="P2629" t="n">
        <v>0</v>
      </c>
      <c r="Q2629" t="n">
        <v>0</v>
      </c>
      <c r="R2629" s="2" t="inlineStr"/>
    </row>
    <row r="2630" ht="15" customHeight="1">
      <c r="A2630" t="inlineStr">
        <is>
          <t>A 7720-2020</t>
        </is>
      </c>
      <c r="B2630" s="1" t="n">
        <v>43872</v>
      </c>
      <c r="C2630" s="1" t="n">
        <v>45182</v>
      </c>
      <c r="D2630" t="inlineStr">
        <is>
          <t>JÄMTLANDS LÄN</t>
        </is>
      </c>
      <c r="E2630" t="inlineStr">
        <is>
          <t>RAGUNDA</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7792-2020</t>
        </is>
      </c>
      <c r="B2631" s="1" t="n">
        <v>43872</v>
      </c>
      <c r="C2631" s="1" t="n">
        <v>45182</v>
      </c>
      <c r="D2631" t="inlineStr">
        <is>
          <t>JÄMTLANDS LÄN</t>
        </is>
      </c>
      <c r="E2631" t="inlineStr">
        <is>
          <t>BRÄCKE</t>
        </is>
      </c>
      <c r="F2631" t="inlineStr">
        <is>
          <t>SCA</t>
        </is>
      </c>
      <c r="G2631" t="n">
        <v>2.9</v>
      </c>
      <c r="H2631" t="n">
        <v>0</v>
      </c>
      <c r="I2631" t="n">
        <v>0</v>
      </c>
      <c r="J2631" t="n">
        <v>0</v>
      </c>
      <c r="K2631" t="n">
        <v>0</v>
      </c>
      <c r="L2631" t="n">
        <v>0</v>
      </c>
      <c r="M2631" t="n">
        <v>0</v>
      </c>
      <c r="N2631" t="n">
        <v>0</v>
      </c>
      <c r="O2631" t="n">
        <v>0</v>
      </c>
      <c r="P2631" t="n">
        <v>0</v>
      </c>
      <c r="Q2631" t="n">
        <v>0</v>
      </c>
      <c r="R2631" s="2" t="inlineStr"/>
    </row>
    <row r="2632" ht="15" customHeight="1">
      <c r="A2632" t="inlineStr">
        <is>
          <t>A 7963-2020</t>
        </is>
      </c>
      <c r="B2632" s="1" t="n">
        <v>43872</v>
      </c>
      <c r="C2632" s="1" t="n">
        <v>45182</v>
      </c>
      <c r="D2632" t="inlineStr">
        <is>
          <t>JÄMTLANDS LÄN</t>
        </is>
      </c>
      <c r="E2632" t="inlineStr">
        <is>
          <t>STRÖMSUND</t>
        </is>
      </c>
      <c r="G2632" t="n">
        <v>0.5</v>
      </c>
      <c r="H2632" t="n">
        <v>0</v>
      </c>
      <c r="I2632" t="n">
        <v>0</v>
      </c>
      <c r="J2632" t="n">
        <v>0</v>
      </c>
      <c r="K2632" t="n">
        <v>0</v>
      </c>
      <c r="L2632" t="n">
        <v>0</v>
      </c>
      <c r="M2632" t="n">
        <v>0</v>
      </c>
      <c r="N2632" t="n">
        <v>0</v>
      </c>
      <c r="O2632" t="n">
        <v>0</v>
      </c>
      <c r="P2632" t="n">
        <v>0</v>
      </c>
      <c r="Q2632" t="n">
        <v>0</v>
      </c>
      <c r="R2632" s="2" t="inlineStr"/>
    </row>
    <row r="2633" ht="15" customHeight="1">
      <c r="A2633" t="inlineStr">
        <is>
          <t>A 7974-2020</t>
        </is>
      </c>
      <c r="B2633" s="1" t="n">
        <v>43873</v>
      </c>
      <c r="C2633" s="1" t="n">
        <v>45182</v>
      </c>
      <c r="D2633" t="inlineStr">
        <is>
          <t>JÄMTLANDS LÄN</t>
        </is>
      </c>
      <c r="E2633" t="inlineStr">
        <is>
          <t>STRÖMSUND</t>
        </is>
      </c>
      <c r="G2633" t="n">
        <v>24.1</v>
      </c>
      <c r="H2633" t="n">
        <v>0</v>
      </c>
      <c r="I2633" t="n">
        <v>0</v>
      </c>
      <c r="J2633" t="n">
        <v>0</v>
      </c>
      <c r="K2633" t="n">
        <v>0</v>
      </c>
      <c r="L2633" t="n">
        <v>0</v>
      </c>
      <c r="M2633" t="n">
        <v>0</v>
      </c>
      <c r="N2633" t="n">
        <v>0</v>
      </c>
      <c r="O2633" t="n">
        <v>0</v>
      </c>
      <c r="P2633" t="n">
        <v>0</v>
      </c>
      <c r="Q2633" t="n">
        <v>0</v>
      </c>
      <c r="R2633" s="2" t="inlineStr"/>
    </row>
    <row r="2634" ht="15" customHeight="1">
      <c r="A2634" t="inlineStr">
        <is>
          <t>A 8040-2020</t>
        </is>
      </c>
      <c r="B2634" s="1" t="n">
        <v>43873</v>
      </c>
      <c r="C2634" s="1" t="n">
        <v>45182</v>
      </c>
      <c r="D2634" t="inlineStr">
        <is>
          <t>JÄMTLANDS LÄN</t>
        </is>
      </c>
      <c r="E2634" t="inlineStr">
        <is>
          <t>RAGUNDA</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8111-2020</t>
        </is>
      </c>
      <c r="B2635" s="1" t="n">
        <v>43874</v>
      </c>
      <c r="C2635" s="1" t="n">
        <v>45182</v>
      </c>
      <c r="D2635" t="inlineStr">
        <is>
          <t>JÄMTLANDS LÄN</t>
        </is>
      </c>
      <c r="E2635" t="inlineStr">
        <is>
          <t>HÄRJEDALEN</t>
        </is>
      </c>
      <c r="G2635" t="n">
        <v>15.4</v>
      </c>
      <c r="H2635" t="n">
        <v>0</v>
      </c>
      <c r="I2635" t="n">
        <v>0</v>
      </c>
      <c r="J2635" t="n">
        <v>0</v>
      </c>
      <c r="K2635" t="n">
        <v>0</v>
      </c>
      <c r="L2635" t="n">
        <v>0</v>
      </c>
      <c r="M2635" t="n">
        <v>0</v>
      </c>
      <c r="N2635" t="n">
        <v>0</v>
      </c>
      <c r="O2635" t="n">
        <v>0</v>
      </c>
      <c r="P2635" t="n">
        <v>0</v>
      </c>
      <c r="Q2635" t="n">
        <v>0</v>
      </c>
      <c r="R2635" s="2" t="inlineStr"/>
    </row>
    <row r="2636" ht="15" customHeight="1">
      <c r="A2636" t="inlineStr">
        <is>
          <t>A 8110-2020</t>
        </is>
      </c>
      <c r="B2636" s="1" t="n">
        <v>43874</v>
      </c>
      <c r="C2636" s="1" t="n">
        <v>45182</v>
      </c>
      <c r="D2636" t="inlineStr">
        <is>
          <t>JÄMTLANDS LÄN</t>
        </is>
      </c>
      <c r="E2636" t="inlineStr">
        <is>
          <t>KROKOM</t>
        </is>
      </c>
      <c r="G2636" t="n">
        <v>3</v>
      </c>
      <c r="H2636" t="n">
        <v>0</v>
      </c>
      <c r="I2636" t="n">
        <v>0</v>
      </c>
      <c r="J2636" t="n">
        <v>0</v>
      </c>
      <c r="K2636" t="n">
        <v>0</v>
      </c>
      <c r="L2636" t="n">
        <v>0</v>
      </c>
      <c r="M2636" t="n">
        <v>0</v>
      </c>
      <c r="N2636" t="n">
        <v>0</v>
      </c>
      <c r="O2636" t="n">
        <v>0</v>
      </c>
      <c r="P2636" t="n">
        <v>0</v>
      </c>
      <c r="Q2636" t="n">
        <v>0</v>
      </c>
      <c r="R2636" s="2" t="inlineStr"/>
    </row>
    <row r="2637" ht="15" customHeight="1">
      <c r="A2637" t="inlineStr">
        <is>
          <t>A 8380-2020</t>
        </is>
      </c>
      <c r="B2637" s="1" t="n">
        <v>43874</v>
      </c>
      <c r="C2637" s="1" t="n">
        <v>45182</v>
      </c>
      <c r="D2637" t="inlineStr">
        <is>
          <t>JÄMTLANDS LÄN</t>
        </is>
      </c>
      <c r="E2637" t="inlineStr">
        <is>
          <t>KROKOM</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8762-2020</t>
        </is>
      </c>
      <c r="B2638" s="1" t="n">
        <v>43875</v>
      </c>
      <c r="C2638" s="1" t="n">
        <v>45182</v>
      </c>
      <c r="D2638" t="inlineStr">
        <is>
          <t>JÄMTLANDS LÄN</t>
        </is>
      </c>
      <c r="E2638" t="inlineStr">
        <is>
          <t>HÄRJEDALEN</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8401-2020</t>
        </is>
      </c>
      <c r="B2639" s="1" t="n">
        <v>43875</v>
      </c>
      <c r="C2639" s="1" t="n">
        <v>45182</v>
      </c>
      <c r="D2639" t="inlineStr">
        <is>
          <t>JÄMTLANDS LÄN</t>
        </is>
      </c>
      <c r="E2639" t="inlineStr">
        <is>
          <t>ÖSTERSUND</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8482-2020</t>
        </is>
      </c>
      <c r="B2640" s="1" t="n">
        <v>43875</v>
      </c>
      <c r="C2640" s="1" t="n">
        <v>45182</v>
      </c>
      <c r="D2640" t="inlineStr">
        <is>
          <t>JÄMTLANDS LÄN</t>
        </is>
      </c>
      <c r="E2640" t="inlineStr">
        <is>
          <t>STRÖMSUND</t>
        </is>
      </c>
      <c r="G2640" t="n">
        <v>25.5</v>
      </c>
      <c r="H2640" t="n">
        <v>0</v>
      </c>
      <c r="I2640" t="n">
        <v>0</v>
      </c>
      <c r="J2640" t="n">
        <v>0</v>
      </c>
      <c r="K2640" t="n">
        <v>0</v>
      </c>
      <c r="L2640" t="n">
        <v>0</v>
      </c>
      <c r="M2640" t="n">
        <v>0</v>
      </c>
      <c r="N2640" t="n">
        <v>0</v>
      </c>
      <c r="O2640" t="n">
        <v>0</v>
      </c>
      <c r="P2640" t="n">
        <v>0</v>
      </c>
      <c r="Q2640" t="n">
        <v>0</v>
      </c>
      <c r="R2640" s="2" t="inlineStr"/>
    </row>
    <row r="2641" ht="15" customHeight="1">
      <c r="A2641" t="inlineStr">
        <is>
          <t>A 8775-2020</t>
        </is>
      </c>
      <c r="B2641" s="1" t="n">
        <v>43878</v>
      </c>
      <c r="C2641" s="1" t="n">
        <v>45182</v>
      </c>
      <c r="D2641" t="inlineStr">
        <is>
          <t>JÄMTLANDS LÄN</t>
        </is>
      </c>
      <c r="E2641" t="inlineStr">
        <is>
          <t>STRÖMSUND</t>
        </is>
      </c>
      <c r="G2641" t="n">
        <v>4.2</v>
      </c>
      <c r="H2641" t="n">
        <v>0</v>
      </c>
      <c r="I2641" t="n">
        <v>0</v>
      </c>
      <c r="J2641" t="n">
        <v>0</v>
      </c>
      <c r="K2641" t="n">
        <v>0</v>
      </c>
      <c r="L2641" t="n">
        <v>0</v>
      </c>
      <c r="M2641" t="n">
        <v>0</v>
      </c>
      <c r="N2641" t="n">
        <v>0</v>
      </c>
      <c r="O2641" t="n">
        <v>0</v>
      </c>
      <c r="P2641" t="n">
        <v>0</v>
      </c>
      <c r="Q2641" t="n">
        <v>0</v>
      </c>
      <c r="R2641" s="2" t="inlineStr"/>
    </row>
    <row r="2642" ht="15" customHeight="1">
      <c r="A2642" t="inlineStr">
        <is>
          <t>A 8715-2020</t>
        </is>
      </c>
      <c r="B2642" s="1" t="n">
        <v>43878</v>
      </c>
      <c r="C2642" s="1" t="n">
        <v>45182</v>
      </c>
      <c r="D2642" t="inlineStr">
        <is>
          <t>JÄMTLANDS LÄN</t>
        </is>
      </c>
      <c r="E2642" t="inlineStr">
        <is>
          <t>BERG</t>
        </is>
      </c>
      <c r="G2642" t="n">
        <v>11.1</v>
      </c>
      <c r="H2642" t="n">
        <v>0</v>
      </c>
      <c r="I2642" t="n">
        <v>0</v>
      </c>
      <c r="J2642" t="n">
        <v>0</v>
      </c>
      <c r="K2642" t="n">
        <v>0</v>
      </c>
      <c r="L2642" t="n">
        <v>0</v>
      </c>
      <c r="M2642" t="n">
        <v>0</v>
      </c>
      <c r="N2642" t="n">
        <v>0</v>
      </c>
      <c r="O2642" t="n">
        <v>0</v>
      </c>
      <c r="P2642" t="n">
        <v>0</v>
      </c>
      <c r="Q2642" t="n">
        <v>0</v>
      </c>
      <c r="R2642" s="2" t="inlineStr"/>
    </row>
    <row r="2643" ht="15" customHeight="1">
      <c r="A2643" t="inlineStr">
        <is>
          <t>A 8908-2020</t>
        </is>
      </c>
      <c r="B2643" s="1" t="n">
        <v>43878</v>
      </c>
      <c r="C2643" s="1" t="n">
        <v>45182</v>
      </c>
      <c r="D2643" t="inlineStr">
        <is>
          <t>JÄMTLANDS LÄN</t>
        </is>
      </c>
      <c r="E2643" t="inlineStr">
        <is>
          <t>HÄRJEDALEN</t>
        </is>
      </c>
      <c r="G2643" t="n">
        <v>18.1</v>
      </c>
      <c r="H2643" t="n">
        <v>0</v>
      </c>
      <c r="I2643" t="n">
        <v>0</v>
      </c>
      <c r="J2643" t="n">
        <v>0</v>
      </c>
      <c r="K2643" t="n">
        <v>0</v>
      </c>
      <c r="L2643" t="n">
        <v>0</v>
      </c>
      <c r="M2643" t="n">
        <v>0</v>
      </c>
      <c r="N2643" t="n">
        <v>0</v>
      </c>
      <c r="O2643" t="n">
        <v>0</v>
      </c>
      <c r="P2643" t="n">
        <v>0</v>
      </c>
      <c r="Q2643" t="n">
        <v>0</v>
      </c>
      <c r="R2643" s="2" t="inlineStr"/>
    </row>
    <row r="2644" ht="15" customHeight="1">
      <c r="A2644" t="inlineStr">
        <is>
          <t>A 9064-2020</t>
        </is>
      </c>
      <c r="B2644" s="1" t="n">
        <v>43879</v>
      </c>
      <c r="C2644" s="1" t="n">
        <v>45182</v>
      </c>
      <c r="D2644" t="inlineStr">
        <is>
          <t>JÄMTLANDS LÄN</t>
        </is>
      </c>
      <c r="E2644" t="inlineStr">
        <is>
          <t>KROKOM</t>
        </is>
      </c>
      <c r="G2644" t="n">
        <v>2.4</v>
      </c>
      <c r="H2644" t="n">
        <v>0</v>
      </c>
      <c r="I2644" t="n">
        <v>0</v>
      </c>
      <c r="J2644" t="n">
        <v>0</v>
      </c>
      <c r="K2644" t="n">
        <v>0</v>
      </c>
      <c r="L2644" t="n">
        <v>0</v>
      </c>
      <c r="M2644" t="n">
        <v>0</v>
      </c>
      <c r="N2644" t="n">
        <v>0</v>
      </c>
      <c r="O2644" t="n">
        <v>0</v>
      </c>
      <c r="P2644" t="n">
        <v>0</v>
      </c>
      <c r="Q2644" t="n">
        <v>0</v>
      </c>
      <c r="R2644" s="2" t="inlineStr"/>
    </row>
    <row r="2645" ht="15" customHeight="1">
      <c r="A2645" t="inlineStr">
        <is>
          <t>A 9034-2020</t>
        </is>
      </c>
      <c r="B2645" s="1" t="n">
        <v>43879</v>
      </c>
      <c r="C2645" s="1" t="n">
        <v>45182</v>
      </c>
      <c r="D2645" t="inlineStr">
        <is>
          <t>JÄMTLANDS LÄN</t>
        </is>
      </c>
      <c r="E2645" t="inlineStr">
        <is>
          <t>HÄRJEDALEN</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9049-2020</t>
        </is>
      </c>
      <c r="B2646" s="1" t="n">
        <v>43879</v>
      </c>
      <c r="C2646" s="1" t="n">
        <v>45182</v>
      </c>
      <c r="D2646" t="inlineStr">
        <is>
          <t>JÄMTLANDS LÄN</t>
        </is>
      </c>
      <c r="E2646" t="inlineStr">
        <is>
          <t>KROKOM</t>
        </is>
      </c>
      <c r="G2646" t="n">
        <v>9.5</v>
      </c>
      <c r="H2646" t="n">
        <v>0</v>
      </c>
      <c r="I2646" t="n">
        <v>0</v>
      </c>
      <c r="J2646" t="n">
        <v>0</v>
      </c>
      <c r="K2646" t="n">
        <v>0</v>
      </c>
      <c r="L2646" t="n">
        <v>0</v>
      </c>
      <c r="M2646" t="n">
        <v>0</v>
      </c>
      <c r="N2646" t="n">
        <v>0</v>
      </c>
      <c r="O2646" t="n">
        <v>0</v>
      </c>
      <c r="P2646" t="n">
        <v>0</v>
      </c>
      <c r="Q2646" t="n">
        <v>0</v>
      </c>
      <c r="R2646" s="2" t="inlineStr"/>
    </row>
    <row r="2647" ht="15" customHeight="1">
      <c r="A2647" t="inlineStr">
        <is>
          <t>A 9091-2020</t>
        </is>
      </c>
      <c r="B2647" s="1" t="n">
        <v>43879</v>
      </c>
      <c r="C2647" s="1" t="n">
        <v>45182</v>
      </c>
      <c r="D2647" t="inlineStr">
        <is>
          <t>JÄMTLANDS LÄN</t>
        </is>
      </c>
      <c r="E2647" t="inlineStr">
        <is>
          <t>KROKOM</t>
        </is>
      </c>
      <c r="G2647" t="n">
        <v>13.4</v>
      </c>
      <c r="H2647" t="n">
        <v>0</v>
      </c>
      <c r="I2647" t="n">
        <v>0</v>
      </c>
      <c r="J2647" t="n">
        <v>0</v>
      </c>
      <c r="K2647" t="n">
        <v>0</v>
      </c>
      <c r="L2647" t="n">
        <v>0</v>
      </c>
      <c r="M2647" t="n">
        <v>0</v>
      </c>
      <c r="N2647" t="n">
        <v>0</v>
      </c>
      <c r="O2647" t="n">
        <v>0</v>
      </c>
      <c r="P2647" t="n">
        <v>0</v>
      </c>
      <c r="Q2647" t="n">
        <v>0</v>
      </c>
      <c r="R2647" s="2" t="inlineStr"/>
    </row>
    <row r="2648" ht="15" customHeight="1">
      <c r="A2648" t="inlineStr">
        <is>
          <t>A 9412-2020</t>
        </is>
      </c>
      <c r="B2648" s="1" t="n">
        <v>43880</v>
      </c>
      <c r="C2648" s="1" t="n">
        <v>45182</v>
      </c>
      <c r="D2648" t="inlineStr">
        <is>
          <t>JÄMTLANDS LÄN</t>
        </is>
      </c>
      <c r="E2648" t="inlineStr">
        <is>
          <t>KROKOM</t>
        </is>
      </c>
      <c r="G2648" t="n">
        <v>12.1</v>
      </c>
      <c r="H2648" t="n">
        <v>0</v>
      </c>
      <c r="I2648" t="n">
        <v>0</v>
      </c>
      <c r="J2648" t="n">
        <v>0</v>
      </c>
      <c r="K2648" t="n">
        <v>0</v>
      </c>
      <c r="L2648" t="n">
        <v>0</v>
      </c>
      <c r="M2648" t="n">
        <v>0</v>
      </c>
      <c r="N2648" t="n">
        <v>0</v>
      </c>
      <c r="O2648" t="n">
        <v>0</v>
      </c>
      <c r="P2648" t="n">
        <v>0</v>
      </c>
      <c r="Q2648" t="n">
        <v>0</v>
      </c>
      <c r="R2648" s="2" t="inlineStr"/>
    </row>
    <row r="2649" ht="15" customHeight="1">
      <c r="A2649" t="inlineStr">
        <is>
          <t>A 9510-2020</t>
        </is>
      </c>
      <c r="B2649" s="1" t="n">
        <v>43880</v>
      </c>
      <c r="C2649" s="1" t="n">
        <v>45182</v>
      </c>
      <c r="D2649" t="inlineStr">
        <is>
          <t>JÄMTLANDS LÄN</t>
        </is>
      </c>
      <c r="E2649" t="inlineStr">
        <is>
          <t>HÄRJEDALEN</t>
        </is>
      </c>
      <c r="F2649" t="inlineStr">
        <is>
          <t>Bergvik skog väst AB</t>
        </is>
      </c>
      <c r="G2649" t="n">
        <v>18.7</v>
      </c>
      <c r="H2649" t="n">
        <v>0</v>
      </c>
      <c r="I2649" t="n">
        <v>0</v>
      </c>
      <c r="J2649" t="n">
        <v>0</v>
      </c>
      <c r="K2649" t="n">
        <v>0</v>
      </c>
      <c r="L2649" t="n">
        <v>0</v>
      </c>
      <c r="M2649" t="n">
        <v>0</v>
      </c>
      <c r="N2649" t="n">
        <v>0</v>
      </c>
      <c r="O2649" t="n">
        <v>0</v>
      </c>
      <c r="P2649" t="n">
        <v>0</v>
      </c>
      <c r="Q2649" t="n">
        <v>0</v>
      </c>
      <c r="R2649" s="2" t="inlineStr"/>
    </row>
    <row r="2650" ht="15" customHeight="1">
      <c r="A2650" t="inlineStr">
        <is>
          <t>A 9527-2020</t>
        </is>
      </c>
      <c r="B2650" s="1" t="n">
        <v>43880</v>
      </c>
      <c r="C2650" s="1" t="n">
        <v>45182</v>
      </c>
      <c r="D2650" t="inlineStr">
        <is>
          <t>JÄMTLANDS LÄN</t>
        </is>
      </c>
      <c r="E2650" t="inlineStr">
        <is>
          <t>RAGUNDA</t>
        </is>
      </c>
      <c r="G2650" t="n">
        <v>4.7</v>
      </c>
      <c r="H2650" t="n">
        <v>0</v>
      </c>
      <c r="I2650" t="n">
        <v>0</v>
      </c>
      <c r="J2650" t="n">
        <v>0</v>
      </c>
      <c r="K2650" t="n">
        <v>0</v>
      </c>
      <c r="L2650" t="n">
        <v>0</v>
      </c>
      <c r="M2650" t="n">
        <v>0</v>
      </c>
      <c r="N2650" t="n">
        <v>0</v>
      </c>
      <c r="O2650" t="n">
        <v>0</v>
      </c>
      <c r="P2650" t="n">
        <v>0</v>
      </c>
      <c r="Q2650" t="n">
        <v>0</v>
      </c>
      <c r="R2650" s="2" t="inlineStr"/>
    </row>
    <row r="2651" ht="15" customHeight="1">
      <c r="A2651" t="inlineStr">
        <is>
          <t>A 9627-2020</t>
        </is>
      </c>
      <c r="B2651" s="1" t="n">
        <v>43881</v>
      </c>
      <c r="C2651" s="1" t="n">
        <v>45182</v>
      </c>
      <c r="D2651" t="inlineStr">
        <is>
          <t>JÄMTLANDS LÄN</t>
        </is>
      </c>
      <c r="E2651" t="inlineStr">
        <is>
          <t>BERG</t>
        </is>
      </c>
      <c r="G2651" t="n">
        <v>3.3</v>
      </c>
      <c r="H2651" t="n">
        <v>0</v>
      </c>
      <c r="I2651" t="n">
        <v>0</v>
      </c>
      <c r="J2651" t="n">
        <v>0</v>
      </c>
      <c r="K2651" t="n">
        <v>0</v>
      </c>
      <c r="L2651" t="n">
        <v>0</v>
      </c>
      <c r="M2651" t="n">
        <v>0</v>
      </c>
      <c r="N2651" t="n">
        <v>0</v>
      </c>
      <c r="O2651" t="n">
        <v>0</v>
      </c>
      <c r="P2651" t="n">
        <v>0</v>
      </c>
      <c r="Q2651" t="n">
        <v>0</v>
      </c>
      <c r="R2651" s="2" t="inlineStr"/>
    </row>
    <row r="2652" ht="15" customHeight="1">
      <c r="A2652" t="inlineStr">
        <is>
          <t>A 9825-2020</t>
        </is>
      </c>
      <c r="B2652" s="1" t="n">
        <v>43881</v>
      </c>
      <c r="C2652" s="1" t="n">
        <v>45182</v>
      </c>
      <c r="D2652" t="inlineStr">
        <is>
          <t>JÄMTLANDS LÄN</t>
        </is>
      </c>
      <c r="E2652" t="inlineStr">
        <is>
          <t>BRÄCKE</t>
        </is>
      </c>
      <c r="F2652" t="inlineStr">
        <is>
          <t>SCA</t>
        </is>
      </c>
      <c r="G2652" t="n">
        <v>4.3</v>
      </c>
      <c r="H2652" t="n">
        <v>0</v>
      </c>
      <c r="I2652" t="n">
        <v>0</v>
      </c>
      <c r="J2652" t="n">
        <v>0</v>
      </c>
      <c r="K2652" t="n">
        <v>0</v>
      </c>
      <c r="L2652" t="n">
        <v>0</v>
      </c>
      <c r="M2652" t="n">
        <v>0</v>
      </c>
      <c r="N2652" t="n">
        <v>0</v>
      </c>
      <c r="O2652" t="n">
        <v>0</v>
      </c>
      <c r="P2652" t="n">
        <v>0</v>
      </c>
      <c r="Q2652" t="n">
        <v>0</v>
      </c>
      <c r="R2652" s="2" t="inlineStr"/>
    </row>
    <row r="2653" ht="15" customHeight="1">
      <c r="A2653" t="inlineStr">
        <is>
          <t>A 9670-2020</t>
        </is>
      </c>
      <c r="B2653" s="1" t="n">
        <v>43881</v>
      </c>
      <c r="C2653" s="1" t="n">
        <v>45182</v>
      </c>
      <c r="D2653" t="inlineStr">
        <is>
          <t>JÄMTLANDS LÄN</t>
        </is>
      </c>
      <c r="E2653" t="inlineStr">
        <is>
          <t>BERG</t>
        </is>
      </c>
      <c r="G2653" t="n">
        <v>2</v>
      </c>
      <c r="H2653" t="n">
        <v>0</v>
      </c>
      <c r="I2653" t="n">
        <v>0</v>
      </c>
      <c r="J2653" t="n">
        <v>0</v>
      </c>
      <c r="K2653" t="n">
        <v>0</v>
      </c>
      <c r="L2653" t="n">
        <v>0</v>
      </c>
      <c r="M2653" t="n">
        <v>0</v>
      </c>
      <c r="N2653" t="n">
        <v>0</v>
      </c>
      <c r="O2653" t="n">
        <v>0</v>
      </c>
      <c r="P2653" t="n">
        <v>0</v>
      </c>
      <c r="Q2653" t="n">
        <v>0</v>
      </c>
      <c r="R2653" s="2" t="inlineStr"/>
    </row>
    <row r="2654" ht="15" customHeight="1">
      <c r="A2654" t="inlineStr">
        <is>
          <t>A 9823-2020</t>
        </is>
      </c>
      <c r="B2654" s="1" t="n">
        <v>43881</v>
      </c>
      <c r="C2654" s="1" t="n">
        <v>45182</v>
      </c>
      <c r="D2654" t="inlineStr">
        <is>
          <t>JÄMTLANDS LÄN</t>
        </is>
      </c>
      <c r="E2654" t="inlineStr">
        <is>
          <t>RAGUNDA</t>
        </is>
      </c>
      <c r="F2654" t="inlineStr">
        <is>
          <t>SCA</t>
        </is>
      </c>
      <c r="G2654" t="n">
        <v>4.4</v>
      </c>
      <c r="H2654" t="n">
        <v>0</v>
      </c>
      <c r="I2654" t="n">
        <v>0</v>
      </c>
      <c r="J2654" t="n">
        <v>0</v>
      </c>
      <c r="K2654" t="n">
        <v>0</v>
      </c>
      <c r="L2654" t="n">
        <v>0</v>
      </c>
      <c r="M2654" t="n">
        <v>0</v>
      </c>
      <c r="N2654" t="n">
        <v>0</v>
      </c>
      <c r="O2654" t="n">
        <v>0</v>
      </c>
      <c r="P2654" t="n">
        <v>0</v>
      </c>
      <c r="Q2654" t="n">
        <v>0</v>
      </c>
      <c r="R2654" s="2" t="inlineStr"/>
    </row>
    <row r="2655" ht="15" customHeight="1">
      <c r="A2655" t="inlineStr">
        <is>
          <t>A 9962-2020</t>
        </is>
      </c>
      <c r="B2655" s="1" t="n">
        <v>43882</v>
      </c>
      <c r="C2655" s="1" t="n">
        <v>45182</v>
      </c>
      <c r="D2655" t="inlineStr">
        <is>
          <t>JÄMTLANDS LÄN</t>
        </is>
      </c>
      <c r="E2655" t="inlineStr">
        <is>
          <t>RAGUNDA</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10057-2020</t>
        </is>
      </c>
      <c r="B2656" s="1" t="n">
        <v>43882</v>
      </c>
      <c r="C2656" s="1" t="n">
        <v>45182</v>
      </c>
      <c r="D2656" t="inlineStr">
        <is>
          <t>JÄMTLANDS LÄN</t>
        </is>
      </c>
      <c r="E2656" t="inlineStr">
        <is>
          <t>STRÖMSUND</t>
        </is>
      </c>
      <c r="G2656" t="n">
        <v>10.4</v>
      </c>
      <c r="H2656" t="n">
        <v>0</v>
      </c>
      <c r="I2656" t="n">
        <v>0</v>
      </c>
      <c r="J2656" t="n">
        <v>0</v>
      </c>
      <c r="K2656" t="n">
        <v>0</v>
      </c>
      <c r="L2656" t="n">
        <v>0</v>
      </c>
      <c r="M2656" t="n">
        <v>0</v>
      </c>
      <c r="N2656" t="n">
        <v>0</v>
      </c>
      <c r="O2656" t="n">
        <v>0</v>
      </c>
      <c r="P2656" t="n">
        <v>0</v>
      </c>
      <c r="Q2656" t="n">
        <v>0</v>
      </c>
      <c r="R2656" s="2" t="inlineStr"/>
    </row>
    <row r="2657" ht="15" customHeight="1">
      <c r="A2657" t="inlineStr">
        <is>
          <t>A 10206-2020</t>
        </is>
      </c>
      <c r="B2657" s="1" t="n">
        <v>43885</v>
      </c>
      <c r="C2657" s="1" t="n">
        <v>45182</v>
      </c>
      <c r="D2657" t="inlineStr">
        <is>
          <t>JÄMTLANDS LÄN</t>
        </is>
      </c>
      <c r="E2657" t="inlineStr">
        <is>
          <t>KROKOM</t>
        </is>
      </c>
      <c r="G2657" t="n">
        <v>5.4</v>
      </c>
      <c r="H2657" t="n">
        <v>0</v>
      </c>
      <c r="I2657" t="n">
        <v>0</v>
      </c>
      <c r="J2657" t="n">
        <v>0</v>
      </c>
      <c r="K2657" t="n">
        <v>0</v>
      </c>
      <c r="L2657" t="n">
        <v>0</v>
      </c>
      <c r="M2657" t="n">
        <v>0</v>
      </c>
      <c r="N2657" t="n">
        <v>0</v>
      </c>
      <c r="O2657" t="n">
        <v>0</v>
      </c>
      <c r="P2657" t="n">
        <v>0</v>
      </c>
      <c r="Q2657" t="n">
        <v>0</v>
      </c>
      <c r="R2657" s="2" t="inlineStr"/>
    </row>
    <row r="2658" ht="15" customHeight="1">
      <c r="A2658" t="inlineStr">
        <is>
          <t>A 10642-2020</t>
        </is>
      </c>
      <c r="B2658" s="1" t="n">
        <v>43887</v>
      </c>
      <c r="C2658" s="1" t="n">
        <v>45182</v>
      </c>
      <c r="D2658" t="inlineStr">
        <is>
          <t>JÄMTLANDS LÄN</t>
        </is>
      </c>
      <c r="E2658" t="inlineStr">
        <is>
          <t>RAGUNDA</t>
        </is>
      </c>
      <c r="G2658" t="n">
        <v>4.6</v>
      </c>
      <c r="H2658" t="n">
        <v>0</v>
      </c>
      <c r="I2658" t="n">
        <v>0</v>
      </c>
      <c r="J2658" t="n">
        <v>0</v>
      </c>
      <c r="K2658" t="n">
        <v>0</v>
      </c>
      <c r="L2658" t="n">
        <v>0</v>
      </c>
      <c r="M2658" t="n">
        <v>0</v>
      </c>
      <c r="N2658" t="n">
        <v>0</v>
      </c>
      <c r="O2658" t="n">
        <v>0</v>
      </c>
      <c r="P2658" t="n">
        <v>0</v>
      </c>
      <c r="Q2658" t="n">
        <v>0</v>
      </c>
      <c r="R2658" s="2" t="inlineStr"/>
    </row>
    <row r="2659" ht="15" customHeight="1">
      <c r="A2659" t="inlineStr">
        <is>
          <t>A 10180-2020</t>
        </is>
      </c>
      <c r="B2659" s="1" t="n">
        <v>43887</v>
      </c>
      <c r="C2659" s="1" t="n">
        <v>45182</v>
      </c>
      <c r="D2659" t="inlineStr">
        <is>
          <t>JÄMTLANDS LÄN</t>
        </is>
      </c>
      <c r="E2659" t="inlineStr">
        <is>
          <t>KROKOM</t>
        </is>
      </c>
      <c r="G2659" t="n">
        <v>0.5</v>
      </c>
      <c r="H2659" t="n">
        <v>0</v>
      </c>
      <c r="I2659" t="n">
        <v>0</v>
      </c>
      <c r="J2659" t="n">
        <v>0</v>
      </c>
      <c r="K2659" t="n">
        <v>0</v>
      </c>
      <c r="L2659" t="n">
        <v>0</v>
      </c>
      <c r="M2659" t="n">
        <v>0</v>
      </c>
      <c r="N2659" t="n">
        <v>0</v>
      </c>
      <c r="O2659" t="n">
        <v>0</v>
      </c>
      <c r="P2659" t="n">
        <v>0</v>
      </c>
      <c r="Q2659" t="n">
        <v>0</v>
      </c>
      <c r="R2659" s="2" t="inlineStr"/>
    </row>
    <row r="2660" ht="15" customHeight="1">
      <c r="A2660" t="inlineStr">
        <is>
          <t>A 10715-2020</t>
        </is>
      </c>
      <c r="B2660" s="1" t="n">
        <v>43888</v>
      </c>
      <c r="C2660" s="1" t="n">
        <v>45182</v>
      </c>
      <c r="D2660" t="inlineStr">
        <is>
          <t>JÄMTLANDS LÄN</t>
        </is>
      </c>
      <c r="E2660" t="inlineStr">
        <is>
          <t>BERG</t>
        </is>
      </c>
      <c r="G2660" t="n">
        <v>6.4</v>
      </c>
      <c r="H2660" t="n">
        <v>0</v>
      </c>
      <c r="I2660" t="n">
        <v>0</v>
      </c>
      <c r="J2660" t="n">
        <v>0</v>
      </c>
      <c r="K2660" t="n">
        <v>0</v>
      </c>
      <c r="L2660" t="n">
        <v>0</v>
      </c>
      <c r="M2660" t="n">
        <v>0</v>
      </c>
      <c r="N2660" t="n">
        <v>0</v>
      </c>
      <c r="O2660" t="n">
        <v>0</v>
      </c>
      <c r="P2660" t="n">
        <v>0</v>
      </c>
      <c r="Q2660" t="n">
        <v>0</v>
      </c>
      <c r="R2660" s="2" t="inlineStr"/>
    </row>
    <row r="2661" ht="15" customHeight="1">
      <c r="A2661" t="inlineStr">
        <is>
          <t>A 11021-2020</t>
        </is>
      </c>
      <c r="B2661" s="1" t="n">
        <v>43889</v>
      </c>
      <c r="C2661" s="1" t="n">
        <v>45182</v>
      </c>
      <c r="D2661" t="inlineStr">
        <is>
          <t>JÄMTLANDS LÄN</t>
        </is>
      </c>
      <c r="E2661" t="inlineStr">
        <is>
          <t>KROKOM</t>
        </is>
      </c>
      <c r="G2661" t="n">
        <v>14.3</v>
      </c>
      <c r="H2661" t="n">
        <v>0</v>
      </c>
      <c r="I2661" t="n">
        <v>0</v>
      </c>
      <c r="J2661" t="n">
        <v>0</v>
      </c>
      <c r="K2661" t="n">
        <v>0</v>
      </c>
      <c r="L2661" t="n">
        <v>0</v>
      </c>
      <c r="M2661" t="n">
        <v>0</v>
      </c>
      <c r="N2661" t="n">
        <v>0</v>
      </c>
      <c r="O2661" t="n">
        <v>0</v>
      </c>
      <c r="P2661" t="n">
        <v>0</v>
      </c>
      <c r="Q2661" t="n">
        <v>0</v>
      </c>
      <c r="R2661" s="2" t="inlineStr"/>
    </row>
    <row r="2662" ht="15" customHeight="1">
      <c r="A2662" t="inlineStr">
        <is>
          <t>A 11500-2020</t>
        </is>
      </c>
      <c r="B2662" s="1" t="n">
        <v>43893</v>
      </c>
      <c r="C2662" s="1" t="n">
        <v>45182</v>
      </c>
      <c r="D2662" t="inlineStr">
        <is>
          <t>JÄMTLANDS LÄN</t>
        </is>
      </c>
      <c r="E2662" t="inlineStr">
        <is>
          <t>KROKOM</t>
        </is>
      </c>
      <c r="G2662" t="n">
        <v>3.5</v>
      </c>
      <c r="H2662" t="n">
        <v>0</v>
      </c>
      <c r="I2662" t="n">
        <v>0</v>
      </c>
      <c r="J2662" t="n">
        <v>0</v>
      </c>
      <c r="K2662" t="n">
        <v>0</v>
      </c>
      <c r="L2662" t="n">
        <v>0</v>
      </c>
      <c r="M2662" t="n">
        <v>0</v>
      </c>
      <c r="N2662" t="n">
        <v>0</v>
      </c>
      <c r="O2662" t="n">
        <v>0</v>
      </c>
      <c r="P2662" t="n">
        <v>0</v>
      </c>
      <c r="Q2662" t="n">
        <v>0</v>
      </c>
      <c r="R2662" s="2" t="inlineStr"/>
    </row>
    <row r="2663" ht="15" customHeight="1">
      <c r="A2663" t="inlineStr">
        <is>
          <t>A 11905-2020</t>
        </is>
      </c>
      <c r="B2663" s="1" t="n">
        <v>43894</v>
      </c>
      <c r="C2663" s="1" t="n">
        <v>45182</v>
      </c>
      <c r="D2663" t="inlineStr">
        <is>
          <t>JÄMTLANDS LÄN</t>
        </is>
      </c>
      <c r="E2663" t="inlineStr">
        <is>
          <t>HÄRJEDALEN</t>
        </is>
      </c>
      <c r="F2663" t="inlineStr">
        <is>
          <t>Holmen skog AB</t>
        </is>
      </c>
      <c r="G2663" t="n">
        <v>10.3</v>
      </c>
      <c r="H2663" t="n">
        <v>0</v>
      </c>
      <c r="I2663" t="n">
        <v>0</v>
      </c>
      <c r="J2663" t="n">
        <v>0</v>
      </c>
      <c r="K2663" t="n">
        <v>0</v>
      </c>
      <c r="L2663" t="n">
        <v>0</v>
      </c>
      <c r="M2663" t="n">
        <v>0</v>
      </c>
      <c r="N2663" t="n">
        <v>0</v>
      </c>
      <c r="O2663" t="n">
        <v>0</v>
      </c>
      <c r="P2663" t="n">
        <v>0</v>
      </c>
      <c r="Q2663" t="n">
        <v>0</v>
      </c>
      <c r="R2663" s="2" t="inlineStr"/>
    </row>
    <row r="2664" ht="15" customHeight="1">
      <c r="A2664" t="inlineStr">
        <is>
          <t>A 11788-2020</t>
        </is>
      </c>
      <c r="B2664" s="1" t="n">
        <v>43894</v>
      </c>
      <c r="C2664" s="1" t="n">
        <v>45182</v>
      </c>
      <c r="D2664" t="inlineStr">
        <is>
          <t>JÄMTLANDS LÄN</t>
        </is>
      </c>
      <c r="E2664" t="inlineStr">
        <is>
          <t>BERG</t>
        </is>
      </c>
      <c r="F2664" t="inlineStr">
        <is>
          <t>Holmen skog AB</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11825-2020</t>
        </is>
      </c>
      <c r="B2665" s="1" t="n">
        <v>43894</v>
      </c>
      <c r="C2665" s="1" t="n">
        <v>45182</v>
      </c>
      <c r="D2665" t="inlineStr">
        <is>
          <t>JÄMTLANDS LÄN</t>
        </is>
      </c>
      <c r="E2665" t="inlineStr">
        <is>
          <t>BERG</t>
        </is>
      </c>
      <c r="F2665" t="inlineStr">
        <is>
          <t>Holmen skog AB</t>
        </is>
      </c>
      <c r="G2665" t="n">
        <v>17.7</v>
      </c>
      <c r="H2665" t="n">
        <v>0</v>
      </c>
      <c r="I2665" t="n">
        <v>0</v>
      </c>
      <c r="J2665" t="n">
        <v>0</v>
      </c>
      <c r="K2665" t="n">
        <v>0</v>
      </c>
      <c r="L2665" t="n">
        <v>0</v>
      </c>
      <c r="M2665" t="n">
        <v>0</v>
      </c>
      <c r="N2665" t="n">
        <v>0</v>
      </c>
      <c r="O2665" t="n">
        <v>0</v>
      </c>
      <c r="P2665" t="n">
        <v>0</v>
      </c>
      <c r="Q2665" t="n">
        <v>0</v>
      </c>
      <c r="R2665" s="2" t="inlineStr"/>
    </row>
    <row r="2666" ht="15" customHeight="1">
      <c r="A2666" t="inlineStr">
        <is>
          <t>A 13367-2020</t>
        </is>
      </c>
      <c r="B2666" s="1" t="n">
        <v>43894</v>
      </c>
      <c r="C2666" s="1" t="n">
        <v>45182</v>
      </c>
      <c r="D2666" t="inlineStr">
        <is>
          <t>JÄMTLANDS LÄN</t>
        </is>
      </c>
      <c r="E2666" t="inlineStr">
        <is>
          <t>KROKOM</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11731-2020</t>
        </is>
      </c>
      <c r="B2667" s="1" t="n">
        <v>43894</v>
      </c>
      <c r="C2667" s="1" t="n">
        <v>45182</v>
      </c>
      <c r="D2667" t="inlineStr">
        <is>
          <t>JÄMTLANDS LÄN</t>
        </is>
      </c>
      <c r="E2667" t="inlineStr">
        <is>
          <t>HÄRJEDALEN</t>
        </is>
      </c>
      <c r="F2667" t="inlineStr">
        <is>
          <t>Holmen skog AB</t>
        </is>
      </c>
      <c r="G2667" t="n">
        <v>0.4</v>
      </c>
      <c r="H2667" t="n">
        <v>0</v>
      </c>
      <c r="I2667" t="n">
        <v>0</v>
      </c>
      <c r="J2667" t="n">
        <v>0</v>
      </c>
      <c r="K2667" t="n">
        <v>0</v>
      </c>
      <c r="L2667" t="n">
        <v>0</v>
      </c>
      <c r="M2667" t="n">
        <v>0</v>
      </c>
      <c r="N2667" t="n">
        <v>0</v>
      </c>
      <c r="O2667" t="n">
        <v>0</v>
      </c>
      <c r="P2667" t="n">
        <v>0</v>
      </c>
      <c r="Q2667" t="n">
        <v>0</v>
      </c>
      <c r="R2667" s="2" t="inlineStr"/>
    </row>
    <row r="2668" ht="15" customHeight="1">
      <c r="A2668" t="inlineStr">
        <is>
          <t>A 11816-2020</t>
        </is>
      </c>
      <c r="B2668" s="1" t="n">
        <v>43894</v>
      </c>
      <c r="C2668" s="1" t="n">
        <v>45182</v>
      </c>
      <c r="D2668" t="inlineStr">
        <is>
          <t>JÄMTLANDS LÄN</t>
        </is>
      </c>
      <c r="E2668" t="inlineStr">
        <is>
          <t>HÄRJEDALEN</t>
        </is>
      </c>
      <c r="F2668" t="inlineStr">
        <is>
          <t>Holmen skog AB</t>
        </is>
      </c>
      <c r="G2668" t="n">
        <v>20.4</v>
      </c>
      <c r="H2668" t="n">
        <v>0</v>
      </c>
      <c r="I2668" t="n">
        <v>0</v>
      </c>
      <c r="J2668" t="n">
        <v>0</v>
      </c>
      <c r="K2668" t="n">
        <v>0</v>
      </c>
      <c r="L2668" t="n">
        <v>0</v>
      </c>
      <c r="M2668" t="n">
        <v>0</v>
      </c>
      <c r="N2668" t="n">
        <v>0</v>
      </c>
      <c r="O2668" t="n">
        <v>0</v>
      </c>
      <c r="P2668" t="n">
        <v>0</v>
      </c>
      <c r="Q2668" t="n">
        <v>0</v>
      </c>
      <c r="R2668" s="2" t="inlineStr"/>
    </row>
    <row r="2669" ht="15" customHeight="1">
      <c r="A2669" t="inlineStr">
        <is>
          <t>A 11828-2020</t>
        </is>
      </c>
      <c r="B2669" s="1" t="n">
        <v>43894</v>
      </c>
      <c r="C2669" s="1" t="n">
        <v>45182</v>
      </c>
      <c r="D2669" t="inlineStr">
        <is>
          <t>JÄMTLANDS LÄN</t>
        </is>
      </c>
      <c r="E2669" t="inlineStr">
        <is>
          <t>HÄRJEDALEN</t>
        </is>
      </c>
      <c r="F2669" t="inlineStr">
        <is>
          <t>Holmen skog AB</t>
        </is>
      </c>
      <c r="G2669" t="n">
        <v>2.4</v>
      </c>
      <c r="H2669" t="n">
        <v>0</v>
      </c>
      <c r="I2669" t="n">
        <v>0</v>
      </c>
      <c r="J2669" t="n">
        <v>0</v>
      </c>
      <c r="K2669" t="n">
        <v>0</v>
      </c>
      <c r="L2669" t="n">
        <v>0</v>
      </c>
      <c r="M2669" t="n">
        <v>0</v>
      </c>
      <c r="N2669" t="n">
        <v>0</v>
      </c>
      <c r="O2669" t="n">
        <v>0</v>
      </c>
      <c r="P2669" t="n">
        <v>0</v>
      </c>
      <c r="Q2669" t="n">
        <v>0</v>
      </c>
      <c r="R2669" s="2" t="inlineStr"/>
    </row>
    <row r="2670" ht="15" customHeight="1">
      <c r="A2670" t="inlineStr">
        <is>
          <t>A 11885-2020</t>
        </is>
      </c>
      <c r="B2670" s="1" t="n">
        <v>43894</v>
      </c>
      <c r="C2670" s="1" t="n">
        <v>45182</v>
      </c>
      <c r="D2670" t="inlineStr">
        <is>
          <t>JÄMTLANDS LÄN</t>
        </is>
      </c>
      <c r="E2670" t="inlineStr">
        <is>
          <t>HÄRJEDALEN</t>
        </is>
      </c>
      <c r="F2670" t="inlineStr">
        <is>
          <t>Holmen skog AB</t>
        </is>
      </c>
      <c r="G2670" t="n">
        <v>3.5</v>
      </c>
      <c r="H2670" t="n">
        <v>0</v>
      </c>
      <c r="I2670" t="n">
        <v>0</v>
      </c>
      <c r="J2670" t="n">
        <v>0</v>
      </c>
      <c r="K2670" t="n">
        <v>0</v>
      </c>
      <c r="L2670" t="n">
        <v>0</v>
      </c>
      <c r="M2670" t="n">
        <v>0</v>
      </c>
      <c r="N2670" t="n">
        <v>0</v>
      </c>
      <c r="O2670" t="n">
        <v>0</v>
      </c>
      <c r="P2670" t="n">
        <v>0</v>
      </c>
      <c r="Q2670" t="n">
        <v>0</v>
      </c>
      <c r="R2670" s="2" t="inlineStr"/>
    </row>
    <row r="2671" ht="15" customHeight="1">
      <c r="A2671" t="inlineStr">
        <is>
          <t>A 11785-2020</t>
        </is>
      </c>
      <c r="B2671" s="1" t="n">
        <v>43894</v>
      </c>
      <c r="C2671" s="1" t="n">
        <v>45182</v>
      </c>
      <c r="D2671" t="inlineStr">
        <is>
          <t>JÄMTLANDS LÄN</t>
        </is>
      </c>
      <c r="E2671" t="inlineStr">
        <is>
          <t>BERG</t>
        </is>
      </c>
      <c r="F2671" t="inlineStr">
        <is>
          <t>Holmen skog AB</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11818-2020</t>
        </is>
      </c>
      <c r="B2672" s="1" t="n">
        <v>43894</v>
      </c>
      <c r="C2672" s="1" t="n">
        <v>45182</v>
      </c>
      <c r="D2672" t="inlineStr">
        <is>
          <t>JÄMTLANDS LÄN</t>
        </is>
      </c>
      <c r="E2672" t="inlineStr">
        <is>
          <t>HÄRJEDALEN</t>
        </is>
      </c>
      <c r="F2672" t="inlineStr">
        <is>
          <t>Holmen skog AB</t>
        </is>
      </c>
      <c r="G2672" t="n">
        <v>6</v>
      </c>
      <c r="H2672" t="n">
        <v>0</v>
      </c>
      <c r="I2672" t="n">
        <v>0</v>
      </c>
      <c r="J2672" t="n">
        <v>0</v>
      </c>
      <c r="K2672" t="n">
        <v>0</v>
      </c>
      <c r="L2672" t="n">
        <v>0</v>
      </c>
      <c r="M2672" t="n">
        <v>0</v>
      </c>
      <c r="N2672" t="n">
        <v>0</v>
      </c>
      <c r="O2672" t="n">
        <v>0</v>
      </c>
      <c r="P2672" t="n">
        <v>0</v>
      </c>
      <c r="Q2672" t="n">
        <v>0</v>
      </c>
      <c r="R2672" s="2" t="inlineStr"/>
    </row>
    <row r="2673" ht="15" customHeight="1">
      <c r="A2673" t="inlineStr">
        <is>
          <t>A 11890-2020</t>
        </is>
      </c>
      <c r="B2673" s="1" t="n">
        <v>43894</v>
      </c>
      <c r="C2673" s="1" t="n">
        <v>45182</v>
      </c>
      <c r="D2673" t="inlineStr">
        <is>
          <t>JÄMTLANDS LÄN</t>
        </is>
      </c>
      <c r="E2673" t="inlineStr">
        <is>
          <t>BERG</t>
        </is>
      </c>
      <c r="F2673" t="inlineStr">
        <is>
          <t>Holmen skog AB</t>
        </is>
      </c>
      <c r="G2673" t="n">
        <v>15.3</v>
      </c>
      <c r="H2673" t="n">
        <v>0</v>
      </c>
      <c r="I2673" t="n">
        <v>0</v>
      </c>
      <c r="J2673" t="n">
        <v>0</v>
      </c>
      <c r="K2673" t="n">
        <v>0</v>
      </c>
      <c r="L2673" t="n">
        <v>0</v>
      </c>
      <c r="M2673" t="n">
        <v>0</v>
      </c>
      <c r="N2673" t="n">
        <v>0</v>
      </c>
      <c r="O2673" t="n">
        <v>0</v>
      </c>
      <c r="P2673" t="n">
        <v>0</v>
      </c>
      <c r="Q2673" t="n">
        <v>0</v>
      </c>
      <c r="R2673" s="2" t="inlineStr"/>
    </row>
    <row r="2674" ht="15" customHeight="1">
      <c r="A2674" t="inlineStr">
        <is>
          <t>A 13604-2020</t>
        </is>
      </c>
      <c r="B2674" s="1" t="n">
        <v>43895</v>
      </c>
      <c r="C2674" s="1" t="n">
        <v>45182</v>
      </c>
      <c r="D2674" t="inlineStr">
        <is>
          <t>JÄMTLANDS LÄN</t>
        </is>
      </c>
      <c r="E2674" t="inlineStr">
        <is>
          <t>HÄRJEDALEN</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12202-2020</t>
        </is>
      </c>
      <c r="B2675" s="1" t="n">
        <v>43895</v>
      </c>
      <c r="C2675" s="1" t="n">
        <v>45182</v>
      </c>
      <c r="D2675" t="inlineStr">
        <is>
          <t>JÄMTLANDS LÄN</t>
        </is>
      </c>
      <c r="E2675" t="inlineStr">
        <is>
          <t>ÖSTERSUND</t>
        </is>
      </c>
      <c r="G2675" t="n">
        <v>1.2</v>
      </c>
      <c r="H2675" t="n">
        <v>0</v>
      </c>
      <c r="I2675" t="n">
        <v>0</v>
      </c>
      <c r="J2675" t="n">
        <v>0</v>
      </c>
      <c r="K2675" t="n">
        <v>0</v>
      </c>
      <c r="L2675" t="n">
        <v>0</v>
      </c>
      <c r="M2675" t="n">
        <v>0</v>
      </c>
      <c r="N2675" t="n">
        <v>0</v>
      </c>
      <c r="O2675" t="n">
        <v>0</v>
      </c>
      <c r="P2675" t="n">
        <v>0</v>
      </c>
      <c r="Q2675" t="n">
        <v>0</v>
      </c>
      <c r="R2675" s="2" t="inlineStr"/>
    </row>
    <row r="2676" ht="15" customHeight="1">
      <c r="A2676" t="inlineStr">
        <is>
          <t>A 12398-2020</t>
        </is>
      </c>
      <c r="B2676" s="1" t="n">
        <v>43896</v>
      </c>
      <c r="C2676" s="1" t="n">
        <v>45182</v>
      </c>
      <c r="D2676" t="inlineStr">
        <is>
          <t>JÄMTLANDS LÄN</t>
        </is>
      </c>
      <c r="E2676" t="inlineStr">
        <is>
          <t>HÄRJEDALEN</t>
        </is>
      </c>
      <c r="G2676" t="n">
        <v>12.3</v>
      </c>
      <c r="H2676" t="n">
        <v>0</v>
      </c>
      <c r="I2676" t="n">
        <v>0</v>
      </c>
      <c r="J2676" t="n">
        <v>0</v>
      </c>
      <c r="K2676" t="n">
        <v>0</v>
      </c>
      <c r="L2676" t="n">
        <v>0</v>
      </c>
      <c r="M2676" t="n">
        <v>0</v>
      </c>
      <c r="N2676" t="n">
        <v>0</v>
      </c>
      <c r="O2676" t="n">
        <v>0</v>
      </c>
      <c r="P2676" t="n">
        <v>0</v>
      </c>
      <c r="Q2676" t="n">
        <v>0</v>
      </c>
      <c r="R2676" s="2" t="inlineStr"/>
    </row>
    <row r="2677" ht="15" customHeight="1">
      <c r="A2677" t="inlineStr">
        <is>
          <t>A 13588-2020</t>
        </is>
      </c>
      <c r="B2677" s="1" t="n">
        <v>43896</v>
      </c>
      <c r="C2677" s="1" t="n">
        <v>45182</v>
      </c>
      <c r="D2677" t="inlineStr">
        <is>
          <t>JÄMTLANDS LÄN</t>
        </is>
      </c>
      <c r="E2677" t="inlineStr">
        <is>
          <t>HÄRJEDALEN</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12410-2020</t>
        </is>
      </c>
      <c r="B2678" s="1" t="n">
        <v>43896</v>
      </c>
      <c r="C2678" s="1" t="n">
        <v>45182</v>
      </c>
      <c r="D2678" t="inlineStr">
        <is>
          <t>JÄMTLANDS LÄN</t>
        </is>
      </c>
      <c r="E2678" t="inlineStr">
        <is>
          <t>HÄRJEDALEN</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12519-2020</t>
        </is>
      </c>
      <c r="B2679" s="1" t="n">
        <v>43896</v>
      </c>
      <c r="C2679" s="1" t="n">
        <v>45182</v>
      </c>
      <c r="D2679" t="inlineStr">
        <is>
          <t>JÄMTLANDS LÄN</t>
        </is>
      </c>
      <c r="E2679" t="inlineStr">
        <is>
          <t>RAGUNDA</t>
        </is>
      </c>
      <c r="F2679" t="inlineStr">
        <is>
          <t>SCA</t>
        </is>
      </c>
      <c r="G2679" t="n">
        <v>3.1</v>
      </c>
      <c r="H2679" t="n">
        <v>0</v>
      </c>
      <c r="I2679" t="n">
        <v>0</v>
      </c>
      <c r="J2679" t="n">
        <v>0</v>
      </c>
      <c r="K2679" t="n">
        <v>0</v>
      </c>
      <c r="L2679" t="n">
        <v>0</v>
      </c>
      <c r="M2679" t="n">
        <v>0</v>
      </c>
      <c r="N2679" t="n">
        <v>0</v>
      </c>
      <c r="O2679" t="n">
        <v>0</v>
      </c>
      <c r="P2679" t="n">
        <v>0</v>
      </c>
      <c r="Q2679" t="n">
        <v>0</v>
      </c>
      <c r="R2679" s="2" t="inlineStr"/>
      <c r="U2679">
        <f>HYPERLINK("https://klasma.github.io/Logging_RAGUNDA/knärot/A 12519-2020.png")</f>
        <v/>
      </c>
      <c r="V2679">
        <f>HYPERLINK("https://klasma.github.io/Logging_RAGUNDA/klagomål/A 12519-2020.docx")</f>
        <v/>
      </c>
      <c r="W2679">
        <f>HYPERLINK("https://klasma.github.io/Logging_RAGUNDA/klagomålsmail/A 12519-2020.docx")</f>
        <v/>
      </c>
      <c r="X2679">
        <f>HYPERLINK("https://klasma.github.io/Logging_RAGUNDA/tillsyn/A 12519-2020.docx")</f>
        <v/>
      </c>
      <c r="Y2679">
        <f>HYPERLINK("https://klasma.github.io/Logging_RAGUNDA/tillsynsmail/A 12519-2020.docx")</f>
        <v/>
      </c>
    </row>
    <row r="2680" ht="15" customHeight="1">
      <c r="A2680" t="inlineStr">
        <is>
          <t>A 12609-2020</t>
        </is>
      </c>
      <c r="B2680" s="1" t="n">
        <v>43899</v>
      </c>
      <c r="C2680" s="1" t="n">
        <v>45182</v>
      </c>
      <c r="D2680" t="inlineStr">
        <is>
          <t>JÄMTLANDS LÄN</t>
        </is>
      </c>
      <c r="E2680" t="inlineStr">
        <is>
          <t>STRÖMSUND</t>
        </is>
      </c>
      <c r="F2680" t="inlineStr">
        <is>
          <t>Kyrkan</t>
        </is>
      </c>
      <c r="G2680" t="n">
        <v>1.6</v>
      </c>
      <c r="H2680" t="n">
        <v>0</v>
      </c>
      <c r="I2680" t="n">
        <v>0</v>
      </c>
      <c r="J2680" t="n">
        <v>0</v>
      </c>
      <c r="K2680" t="n">
        <v>0</v>
      </c>
      <c r="L2680" t="n">
        <v>0</v>
      </c>
      <c r="M2680" t="n">
        <v>0</v>
      </c>
      <c r="N2680" t="n">
        <v>0</v>
      </c>
      <c r="O2680" t="n">
        <v>0</v>
      </c>
      <c r="P2680" t="n">
        <v>0</v>
      </c>
      <c r="Q2680" t="n">
        <v>0</v>
      </c>
      <c r="R2680" s="2" t="inlineStr"/>
    </row>
    <row r="2681" ht="15" customHeight="1">
      <c r="A2681" t="inlineStr">
        <is>
          <t>A 12908-2020</t>
        </is>
      </c>
      <c r="B2681" s="1" t="n">
        <v>43900</v>
      </c>
      <c r="C2681" s="1" t="n">
        <v>45182</v>
      </c>
      <c r="D2681" t="inlineStr">
        <is>
          <t>JÄMTLANDS LÄN</t>
        </is>
      </c>
      <c r="E2681" t="inlineStr">
        <is>
          <t>KROKOM</t>
        </is>
      </c>
      <c r="G2681" t="n">
        <v>4.5</v>
      </c>
      <c r="H2681" t="n">
        <v>0</v>
      </c>
      <c r="I2681" t="n">
        <v>0</v>
      </c>
      <c r="J2681" t="n">
        <v>0</v>
      </c>
      <c r="K2681" t="n">
        <v>0</v>
      </c>
      <c r="L2681" t="n">
        <v>0</v>
      </c>
      <c r="M2681" t="n">
        <v>0</v>
      </c>
      <c r="N2681" t="n">
        <v>0</v>
      </c>
      <c r="O2681" t="n">
        <v>0</v>
      </c>
      <c r="P2681" t="n">
        <v>0</v>
      </c>
      <c r="Q2681" t="n">
        <v>0</v>
      </c>
      <c r="R2681" s="2" t="inlineStr"/>
    </row>
    <row r="2682" ht="15" customHeight="1">
      <c r="A2682" t="inlineStr">
        <is>
          <t>A 13057-2020</t>
        </is>
      </c>
      <c r="B2682" s="1" t="n">
        <v>43900</v>
      </c>
      <c r="C2682" s="1" t="n">
        <v>45182</v>
      </c>
      <c r="D2682" t="inlineStr">
        <is>
          <t>JÄMTLANDS LÄN</t>
        </is>
      </c>
      <c r="E2682" t="inlineStr">
        <is>
          <t>RAGUNDA</t>
        </is>
      </c>
      <c r="G2682" t="n">
        <v>10.8</v>
      </c>
      <c r="H2682" t="n">
        <v>0</v>
      </c>
      <c r="I2682" t="n">
        <v>0</v>
      </c>
      <c r="J2682" t="n">
        <v>0</v>
      </c>
      <c r="K2682" t="n">
        <v>0</v>
      </c>
      <c r="L2682" t="n">
        <v>0</v>
      </c>
      <c r="M2682" t="n">
        <v>0</v>
      </c>
      <c r="N2682" t="n">
        <v>0</v>
      </c>
      <c r="O2682" t="n">
        <v>0</v>
      </c>
      <c r="P2682" t="n">
        <v>0</v>
      </c>
      <c r="Q2682" t="n">
        <v>0</v>
      </c>
      <c r="R2682" s="2" t="inlineStr"/>
    </row>
    <row r="2683" ht="15" customHeight="1">
      <c r="A2683" t="inlineStr">
        <is>
          <t>A 13502-2020</t>
        </is>
      </c>
      <c r="B2683" s="1" t="n">
        <v>43900</v>
      </c>
      <c r="C2683" s="1" t="n">
        <v>45182</v>
      </c>
      <c r="D2683" t="inlineStr">
        <is>
          <t>JÄMTLANDS LÄN</t>
        </is>
      </c>
      <c r="E2683" t="inlineStr">
        <is>
          <t>KROKOM</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12898-2020</t>
        </is>
      </c>
      <c r="B2684" s="1" t="n">
        <v>43900</v>
      </c>
      <c r="C2684" s="1" t="n">
        <v>45182</v>
      </c>
      <c r="D2684" t="inlineStr">
        <is>
          <t>JÄMTLANDS LÄN</t>
        </is>
      </c>
      <c r="E2684" t="inlineStr">
        <is>
          <t>HÄRJEDALEN</t>
        </is>
      </c>
      <c r="G2684" t="n">
        <v>2.6</v>
      </c>
      <c r="H2684" t="n">
        <v>0</v>
      </c>
      <c r="I2684" t="n">
        <v>0</v>
      </c>
      <c r="J2684" t="n">
        <v>0</v>
      </c>
      <c r="K2684" t="n">
        <v>0</v>
      </c>
      <c r="L2684" t="n">
        <v>0</v>
      </c>
      <c r="M2684" t="n">
        <v>0</v>
      </c>
      <c r="N2684" t="n">
        <v>0</v>
      </c>
      <c r="O2684" t="n">
        <v>0</v>
      </c>
      <c r="P2684" t="n">
        <v>0</v>
      </c>
      <c r="Q2684" t="n">
        <v>0</v>
      </c>
      <c r="R2684" s="2" t="inlineStr"/>
    </row>
    <row r="2685" ht="15" customHeight="1">
      <c r="A2685" t="inlineStr">
        <is>
          <t>A 12914-2020</t>
        </is>
      </c>
      <c r="B2685" s="1" t="n">
        <v>43900</v>
      </c>
      <c r="C2685" s="1" t="n">
        <v>45182</v>
      </c>
      <c r="D2685" t="inlineStr">
        <is>
          <t>JÄMTLANDS LÄN</t>
        </is>
      </c>
      <c r="E2685" t="inlineStr">
        <is>
          <t>KROKOM</t>
        </is>
      </c>
      <c r="G2685" t="n">
        <v>5.3</v>
      </c>
      <c r="H2685" t="n">
        <v>0</v>
      </c>
      <c r="I2685" t="n">
        <v>0</v>
      </c>
      <c r="J2685" t="n">
        <v>0</v>
      </c>
      <c r="K2685" t="n">
        <v>0</v>
      </c>
      <c r="L2685" t="n">
        <v>0</v>
      </c>
      <c r="M2685" t="n">
        <v>0</v>
      </c>
      <c r="N2685" t="n">
        <v>0</v>
      </c>
      <c r="O2685" t="n">
        <v>0</v>
      </c>
      <c r="P2685" t="n">
        <v>0</v>
      </c>
      <c r="Q2685" t="n">
        <v>0</v>
      </c>
      <c r="R2685" s="2" t="inlineStr"/>
    </row>
    <row r="2686" ht="15" customHeight="1">
      <c r="A2686" t="inlineStr">
        <is>
          <t>A 14259-2020</t>
        </is>
      </c>
      <c r="B2686" s="1" t="n">
        <v>43901</v>
      </c>
      <c r="C2686" s="1" t="n">
        <v>45182</v>
      </c>
      <c r="D2686" t="inlineStr">
        <is>
          <t>JÄMTLANDS LÄN</t>
        </is>
      </c>
      <c r="E2686" t="inlineStr">
        <is>
          <t>STRÖMSUND</t>
        </is>
      </c>
      <c r="G2686" t="n">
        <v>17.8</v>
      </c>
      <c r="H2686" t="n">
        <v>0</v>
      </c>
      <c r="I2686" t="n">
        <v>0</v>
      </c>
      <c r="J2686" t="n">
        <v>0</v>
      </c>
      <c r="K2686" t="n">
        <v>0</v>
      </c>
      <c r="L2686" t="n">
        <v>0</v>
      </c>
      <c r="M2686" t="n">
        <v>0</v>
      </c>
      <c r="N2686" t="n">
        <v>0</v>
      </c>
      <c r="O2686" t="n">
        <v>0</v>
      </c>
      <c r="P2686" t="n">
        <v>0</v>
      </c>
      <c r="Q2686" t="n">
        <v>0</v>
      </c>
      <c r="R2686" s="2" t="inlineStr"/>
    </row>
    <row r="2687" ht="15" customHeight="1">
      <c r="A2687" t="inlineStr">
        <is>
          <t>A 13241-2020</t>
        </is>
      </c>
      <c r="B2687" s="1" t="n">
        <v>43901</v>
      </c>
      <c r="C2687" s="1" t="n">
        <v>45182</v>
      </c>
      <c r="D2687" t="inlineStr">
        <is>
          <t>JÄMTLANDS LÄN</t>
        </is>
      </c>
      <c r="E2687" t="inlineStr">
        <is>
          <t>STRÖMSUND</t>
        </is>
      </c>
      <c r="G2687" t="n">
        <v>4</v>
      </c>
      <c r="H2687" t="n">
        <v>0</v>
      </c>
      <c r="I2687" t="n">
        <v>0</v>
      </c>
      <c r="J2687" t="n">
        <v>0</v>
      </c>
      <c r="K2687" t="n">
        <v>0</v>
      </c>
      <c r="L2687" t="n">
        <v>0</v>
      </c>
      <c r="M2687" t="n">
        <v>0</v>
      </c>
      <c r="N2687" t="n">
        <v>0</v>
      </c>
      <c r="O2687" t="n">
        <v>0</v>
      </c>
      <c r="P2687" t="n">
        <v>0</v>
      </c>
      <c r="Q2687" t="n">
        <v>0</v>
      </c>
      <c r="R2687" s="2" t="inlineStr"/>
    </row>
    <row r="2688" ht="15" customHeight="1">
      <c r="A2688" t="inlineStr">
        <is>
          <t>A 13264-2020</t>
        </is>
      </c>
      <c r="B2688" s="1" t="n">
        <v>43901</v>
      </c>
      <c r="C2688" s="1" t="n">
        <v>45182</v>
      </c>
      <c r="D2688" t="inlineStr">
        <is>
          <t>JÄMTLANDS LÄN</t>
        </is>
      </c>
      <c r="E2688" t="inlineStr">
        <is>
          <t>ÖSTERSUND</t>
        </is>
      </c>
      <c r="G2688" t="n">
        <v>4.4</v>
      </c>
      <c r="H2688" t="n">
        <v>0</v>
      </c>
      <c r="I2688" t="n">
        <v>0</v>
      </c>
      <c r="J2688" t="n">
        <v>0</v>
      </c>
      <c r="K2688" t="n">
        <v>0</v>
      </c>
      <c r="L2688" t="n">
        <v>0</v>
      </c>
      <c r="M2688" t="n">
        <v>0</v>
      </c>
      <c r="N2688" t="n">
        <v>0</v>
      </c>
      <c r="O2688" t="n">
        <v>0</v>
      </c>
      <c r="P2688" t="n">
        <v>0</v>
      </c>
      <c r="Q2688" t="n">
        <v>0</v>
      </c>
      <c r="R2688" s="2" t="inlineStr"/>
    </row>
    <row r="2689" ht="15" customHeight="1">
      <c r="A2689" t="inlineStr">
        <is>
          <t>A 13202-2020</t>
        </is>
      </c>
      <c r="B2689" s="1" t="n">
        <v>43901</v>
      </c>
      <c r="C2689" s="1" t="n">
        <v>45182</v>
      </c>
      <c r="D2689" t="inlineStr">
        <is>
          <t>JÄMTLANDS LÄN</t>
        </is>
      </c>
      <c r="E2689" t="inlineStr">
        <is>
          <t>RAGUNDA</t>
        </is>
      </c>
      <c r="G2689" t="n">
        <v>6.9</v>
      </c>
      <c r="H2689" t="n">
        <v>0</v>
      </c>
      <c r="I2689" t="n">
        <v>0</v>
      </c>
      <c r="J2689" t="n">
        <v>0</v>
      </c>
      <c r="K2689" t="n">
        <v>0</v>
      </c>
      <c r="L2689" t="n">
        <v>0</v>
      </c>
      <c r="M2689" t="n">
        <v>0</v>
      </c>
      <c r="N2689" t="n">
        <v>0</v>
      </c>
      <c r="O2689" t="n">
        <v>0</v>
      </c>
      <c r="P2689" t="n">
        <v>0</v>
      </c>
      <c r="Q2689" t="n">
        <v>0</v>
      </c>
      <c r="R2689" s="2" t="inlineStr"/>
    </row>
    <row r="2690" ht="15" customHeight="1">
      <c r="A2690" t="inlineStr">
        <is>
          <t>A 13233-2020</t>
        </is>
      </c>
      <c r="B2690" s="1" t="n">
        <v>43901</v>
      </c>
      <c r="C2690" s="1" t="n">
        <v>45182</v>
      </c>
      <c r="D2690" t="inlineStr">
        <is>
          <t>JÄMTLANDS LÄN</t>
        </is>
      </c>
      <c r="E2690" t="inlineStr">
        <is>
          <t>STRÖMSUND</t>
        </is>
      </c>
      <c r="G2690" t="n">
        <v>6.9</v>
      </c>
      <c r="H2690" t="n">
        <v>0</v>
      </c>
      <c r="I2690" t="n">
        <v>0</v>
      </c>
      <c r="J2690" t="n">
        <v>0</v>
      </c>
      <c r="K2690" t="n">
        <v>0</v>
      </c>
      <c r="L2690" t="n">
        <v>0</v>
      </c>
      <c r="M2690" t="n">
        <v>0</v>
      </c>
      <c r="N2690" t="n">
        <v>0</v>
      </c>
      <c r="O2690" t="n">
        <v>0</v>
      </c>
      <c r="P2690" t="n">
        <v>0</v>
      </c>
      <c r="Q2690" t="n">
        <v>0</v>
      </c>
      <c r="R2690" s="2" t="inlineStr"/>
    </row>
    <row r="2691" ht="15" customHeight="1">
      <c r="A2691" t="inlineStr">
        <is>
          <t>A 13402-2020</t>
        </is>
      </c>
      <c r="B2691" s="1" t="n">
        <v>43902</v>
      </c>
      <c r="C2691" s="1" t="n">
        <v>45182</v>
      </c>
      <c r="D2691" t="inlineStr">
        <is>
          <t>JÄMTLANDS LÄN</t>
        </is>
      </c>
      <c r="E2691" t="inlineStr">
        <is>
          <t>ÅRE</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13408-2020</t>
        </is>
      </c>
      <c r="B2692" s="1" t="n">
        <v>43902</v>
      </c>
      <c r="C2692" s="1" t="n">
        <v>45182</v>
      </c>
      <c r="D2692" t="inlineStr">
        <is>
          <t>JÄMTLANDS LÄN</t>
        </is>
      </c>
      <c r="E2692" t="inlineStr">
        <is>
          <t>ÅRE</t>
        </is>
      </c>
      <c r="G2692" t="n">
        <v>0.6</v>
      </c>
      <c r="H2692" t="n">
        <v>0</v>
      </c>
      <c r="I2692" t="n">
        <v>0</v>
      </c>
      <c r="J2692" t="n">
        <v>0</v>
      </c>
      <c r="K2692" t="n">
        <v>0</v>
      </c>
      <c r="L2692" t="n">
        <v>0</v>
      </c>
      <c r="M2692" t="n">
        <v>0</v>
      </c>
      <c r="N2692" t="n">
        <v>0</v>
      </c>
      <c r="O2692" t="n">
        <v>0</v>
      </c>
      <c r="P2692" t="n">
        <v>0</v>
      </c>
      <c r="Q2692" t="n">
        <v>0</v>
      </c>
      <c r="R2692" s="2" t="inlineStr"/>
    </row>
    <row r="2693" ht="15" customHeight="1">
      <c r="A2693" t="inlineStr">
        <is>
          <t>A 13563-2020</t>
        </is>
      </c>
      <c r="B2693" s="1" t="n">
        <v>43902</v>
      </c>
      <c r="C2693" s="1" t="n">
        <v>45182</v>
      </c>
      <c r="D2693" t="inlineStr">
        <is>
          <t>JÄMTLANDS LÄN</t>
        </is>
      </c>
      <c r="E2693" t="inlineStr">
        <is>
          <t>RAGUNDA</t>
        </is>
      </c>
      <c r="F2693" t="inlineStr">
        <is>
          <t>SCA</t>
        </is>
      </c>
      <c r="G2693" t="n">
        <v>6.2</v>
      </c>
      <c r="H2693" t="n">
        <v>0</v>
      </c>
      <c r="I2693" t="n">
        <v>0</v>
      </c>
      <c r="J2693" t="n">
        <v>0</v>
      </c>
      <c r="K2693" t="n">
        <v>0</v>
      </c>
      <c r="L2693" t="n">
        <v>0</v>
      </c>
      <c r="M2693" t="n">
        <v>0</v>
      </c>
      <c r="N2693" t="n">
        <v>0</v>
      </c>
      <c r="O2693" t="n">
        <v>0</v>
      </c>
      <c r="P2693" t="n">
        <v>0</v>
      </c>
      <c r="Q2693" t="n">
        <v>0</v>
      </c>
      <c r="R2693" s="2" t="inlineStr"/>
    </row>
    <row r="2694" ht="15" customHeight="1">
      <c r="A2694" t="inlineStr">
        <is>
          <t>A 14917-2020</t>
        </is>
      </c>
      <c r="B2694" s="1" t="n">
        <v>43906</v>
      </c>
      <c r="C2694" s="1" t="n">
        <v>45182</v>
      </c>
      <c r="D2694" t="inlineStr">
        <is>
          <t>JÄMTLANDS LÄN</t>
        </is>
      </c>
      <c r="E2694" t="inlineStr">
        <is>
          <t>ÖSTERSUND</t>
        </is>
      </c>
      <c r="G2694" t="n">
        <v>12.9</v>
      </c>
      <c r="H2694" t="n">
        <v>0</v>
      </c>
      <c r="I2694" t="n">
        <v>0</v>
      </c>
      <c r="J2694" t="n">
        <v>0</v>
      </c>
      <c r="K2694" t="n">
        <v>0</v>
      </c>
      <c r="L2694" t="n">
        <v>0</v>
      </c>
      <c r="M2694" t="n">
        <v>0</v>
      </c>
      <c r="N2694" t="n">
        <v>0</v>
      </c>
      <c r="O2694" t="n">
        <v>0</v>
      </c>
      <c r="P2694" t="n">
        <v>0</v>
      </c>
      <c r="Q2694" t="n">
        <v>0</v>
      </c>
      <c r="R2694" s="2" t="inlineStr"/>
    </row>
    <row r="2695" ht="15" customHeight="1">
      <c r="A2695" t="inlineStr">
        <is>
          <t>A 13890-2020</t>
        </is>
      </c>
      <c r="B2695" s="1" t="n">
        <v>43906</v>
      </c>
      <c r="C2695" s="1" t="n">
        <v>45182</v>
      </c>
      <c r="D2695" t="inlineStr">
        <is>
          <t>JÄMTLANDS LÄN</t>
        </is>
      </c>
      <c r="E2695" t="inlineStr">
        <is>
          <t>BRÄCKE</t>
        </is>
      </c>
      <c r="G2695" t="n">
        <v>2.6</v>
      </c>
      <c r="H2695" t="n">
        <v>0</v>
      </c>
      <c r="I2695" t="n">
        <v>0</v>
      </c>
      <c r="J2695" t="n">
        <v>0</v>
      </c>
      <c r="K2695" t="n">
        <v>0</v>
      </c>
      <c r="L2695" t="n">
        <v>0</v>
      </c>
      <c r="M2695" t="n">
        <v>0</v>
      </c>
      <c r="N2695" t="n">
        <v>0</v>
      </c>
      <c r="O2695" t="n">
        <v>0</v>
      </c>
      <c r="P2695" t="n">
        <v>0</v>
      </c>
      <c r="Q2695" t="n">
        <v>0</v>
      </c>
      <c r="R2695" s="2" t="inlineStr"/>
    </row>
    <row r="2696" ht="15" customHeight="1">
      <c r="A2696" t="inlineStr">
        <is>
          <t>A 14904-2020</t>
        </is>
      </c>
      <c r="B2696" s="1" t="n">
        <v>43906</v>
      </c>
      <c r="C2696" s="1" t="n">
        <v>45182</v>
      </c>
      <c r="D2696" t="inlineStr">
        <is>
          <t>JÄMTLANDS LÄN</t>
        </is>
      </c>
      <c r="E2696" t="inlineStr">
        <is>
          <t>STRÖMSUND</t>
        </is>
      </c>
      <c r="G2696" t="n">
        <v>7.5</v>
      </c>
      <c r="H2696" t="n">
        <v>0</v>
      </c>
      <c r="I2696" t="n">
        <v>0</v>
      </c>
      <c r="J2696" t="n">
        <v>0</v>
      </c>
      <c r="K2696" t="n">
        <v>0</v>
      </c>
      <c r="L2696" t="n">
        <v>0</v>
      </c>
      <c r="M2696" t="n">
        <v>0</v>
      </c>
      <c r="N2696" t="n">
        <v>0</v>
      </c>
      <c r="O2696" t="n">
        <v>0</v>
      </c>
      <c r="P2696" t="n">
        <v>0</v>
      </c>
      <c r="Q2696" t="n">
        <v>0</v>
      </c>
      <c r="R2696" s="2" t="inlineStr"/>
    </row>
    <row r="2697" ht="15" customHeight="1">
      <c r="A2697" t="inlineStr">
        <is>
          <t>A 14281-2020</t>
        </is>
      </c>
      <c r="B2697" s="1" t="n">
        <v>43907</v>
      </c>
      <c r="C2697" s="1" t="n">
        <v>45182</v>
      </c>
      <c r="D2697" t="inlineStr">
        <is>
          <t>JÄMTLANDS LÄN</t>
        </is>
      </c>
      <c r="E2697" t="inlineStr">
        <is>
          <t>KROKOM</t>
        </is>
      </c>
      <c r="G2697" t="n">
        <v>31.3</v>
      </c>
      <c r="H2697" t="n">
        <v>0</v>
      </c>
      <c r="I2697" t="n">
        <v>0</v>
      </c>
      <c r="J2697" t="n">
        <v>0</v>
      </c>
      <c r="K2697" t="n">
        <v>0</v>
      </c>
      <c r="L2697" t="n">
        <v>0</v>
      </c>
      <c r="M2697" t="n">
        <v>0</v>
      </c>
      <c r="N2697" t="n">
        <v>0</v>
      </c>
      <c r="O2697" t="n">
        <v>0</v>
      </c>
      <c r="P2697" t="n">
        <v>0</v>
      </c>
      <c r="Q2697" t="n">
        <v>0</v>
      </c>
      <c r="R2697" s="2" t="inlineStr"/>
    </row>
    <row r="2698" ht="15" customHeight="1">
      <c r="A2698" t="inlineStr">
        <is>
          <t>A 14285-2020</t>
        </is>
      </c>
      <c r="B2698" s="1" t="n">
        <v>43907</v>
      </c>
      <c r="C2698" s="1" t="n">
        <v>45182</v>
      </c>
      <c r="D2698" t="inlineStr">
        <is>
          <t>JÄMTLANDS LÄN</t>
        </is>
      </c>
      <c r="E2698" t="inlineStr">
        <is>
          <t>KROKOM</t>
        </is>
      </c>
      <c r="G2698" t="n">
        <v>13.9</v>
      </c>
      <c r="H2698" t="n">
        <v>0</v>
      </c>
      <c r="I2698" t="n">
        <v>0</v>
      </c>
      <c r="J2698" t="n">
        <v>0</v>
      </c>
      <c r="K2698" t="n">
        <v>0</v>
      </c>
      <c r="L2698" t="n">
        <v>0</v>
      </c>
      <c r="M2698" t="n">
        <v>0</v>
      </c>
      <c r="N2698" t="n">
        <v>0</v>
      </c>
      <c r="O2698" t="n">
        <v>0</v>
      </c>
      <c r="P2698" t="n">
        <v>0</v>
      </c>
      <c r="Q2698" t="n">
        <v>0</v>
      </c>
      <c r="R2698" s="2" t="inlineStr"/>
    </row>
    <row r="2699" ht="15" customHeight="1">
      <c r="A2699" t="inlineStr">
        <is>
          <t>A 14293-2020</t>
        </is>
      </c>
      <c r="B2699" s="1" t="n">
        <v>43907</v>
      </c>
      <c r="C2699" s="1" t="n">
        <v>45182</v>
      </c>
      <c r="D2699" t="inlineStr">
        <is>
          <t>JÄMTLANDS LÄN</t>
        </is>
      </c>
      <c r="E2699" t="inlineStr">
        <is>
          <t>RAGUNDA</t>
        </is>
      </c>
      <c r="G2699" t="n">
        <v>2.7</v>
      </c>
      <c r="H2699" t="n">
        <v>0</v>
      </c>
      <c r="I2699" t="n">
        <v>0</v>
      </c>
      <c r="J2699" t="n">
        <v>0</v>
      </c>
      <c r="K2699" t="n">
        <v>0</v>
      </c>
      <c r="L2699" t="n">
        <v>0</v>
      </c>
      <c r="M2699" t="n">
        <v>0</v>
      </c>
      <c r="N2699" t="n">
        <v>0</v>
      </c>
      <c r="O2699" t="n">
        <v>0</v>
      </c>
      <c r="P2699" t="n">
        <v>0</v>
      </c>
      <c r="Q2699" t="n">
        <v>0</v>
      </c>
      <c r="R2699" s="2" t="inlineStr"/>
    </row>
    <row r="2700" ht="15" customHeight="1">
      <c r="A2700" t="inlineStr">
        <is>
          <t>A 15020-2020</t>
        </is>
      </c>
      <c r="B2700" s="1" t="n">
        <v>43907</v>
      </c>
      <c r="C2700" s="1" t="n">
        <v>45182</v>
      </c>
      <c r="D2700" t="inlineStr">
        <is>
          <t>JÄMTLANDS LÄN</t>
        </is>
      </c>
      <c r="E2700" t="inlineStr">
        <is>
          <t>HÄRJEDALEN</t>
        </is>
      </c>
      <c r="F2700" t="inlineStr">
        <is>
          <t>Sveaskog</t>
        </is>
      </c>
      <c r="G2700" t="n">
        <v>7.7</v>
      </c>
      <c r="H2700" t="n">
        <v>0</v>
      </c>
      <c r="I2700" t="n">
        <v>0</v>
      </c>
      <c r="J2700" t="n">
        <v>0</v>
      </c>
      <c r="K2700" t="n">
        <v>0</v>
      </c>
      <c r="L2700" t="n">
        <v>0</v>
      </c>
      <c r="M2700" t="n">
        <v>0</v>
      </c>
      <c r="N2700" t="n">
        <v>0</v>
      </c>
      <c r="O2700" t="n">
        <v>0</v>
      </c>
      <c r="P2700" t="n">
        <v>0</v>
      </c>
      <c r="Q2700" t="n">
        <v>0</v>
      </c>
      <c r="R2700" s="2" t="inlineStr"/>
    </row>
    <row r="2701" ht="15" customHeight="1">
      <c r="A2701" t="inlineStr">
        <is>
          <t>A 15797-2020</t>
        </is>
      </c>
      <c r="B2701" s="1" t="n">
        <v>43909</v>
      </c>
      <c r="C2701" s="1" t="n">
        <v>45182</v>
      </c>
      <c r="D2701" t="inlineStr">
        <is>
          <t>JÄMTLANDS LÄN</t>
        </is>
      </c>
      <c r="E2701" t="inlineStr">
        <is>
          <t>ÖSTERSUND</t>
        </is>
      </c>
      <c r="G2701" t="n">
        <v>3.5</v>
      </c>
      <c r="H2701" t="n">
        <v>0</v>
      </c>
      <c r="I2701" t="n">
        <v>0</v>
      </c>
      <c r="J2701" t="n">
        <v>0</v>
      </c>
      <c r="K2701" t="n">
        <v>0</v>
      </c>
      <c r="L2701" t="n">
        <v>0</v>
      </c>
      <c r="M2701" t="n">
        <v>0</v>
      </c>
      <c r="N2701" t="n">
        <v>0</v>
      </c>
      <c r="O2701" t="n">
        <v>0</v>
      </c>
      <c r="P2701" t="n">
        <v>0</v>
      </c>
      <c r="Q2701" t="n">
        <v>0</v>
      </c>
      <c r="R2701" s="2" t="inlineStr"/>
    </row>
    <row r="2702" ht="15" customHeight="1">
      <c r="A2702" t="inlineStr">
        <is>
          <t>A 14753-2020</t>
        </is>
      </c>
      <c r="B2702" s="1" t="n">
        <v>43909</v>
      </c>
      <c r="C2702" s="1" t="n">
        <v>45182</v>
      </c>
      <c r="D2702" t="inlineStr">
        <is>
          <t>JÄMTLANDS LÄN</t>
        </is>
      </c>
      <c r="E2702" t="inlineStr">
        <is>
          <t>ÅRE</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14854-2020</t>
        </is>
      </c>
      <c r="B2703" s="1" t="n">
        <v>43909</v>
      </c>
      <c r="C2703" s="1" t="n">
        <v>45182</v>
      </c>
      <c r="D2703" t="inlineStr">
        <is>
          <t>JÄMTLANDS LÄN</t>
        </is>
      </c>
      <c r="E2703" t="inlineStr">
        <is>
          <t>BERG</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14903-2020</t>
        </is>
      </c>
      <c r="B2704" s="1" t="n">
        <v>43910</v>
      </c>
      <c r="C2704" s="1" t="n">
        <v>45182</v>
      </c>
      <c r="D2704" t="inlineStr">
        <is>
          <t>JÄMTLANDS LÄN</t>
        </is>
      </c>
      <c r="E2704" t="inlineStr">
        <is>
          <t>ÖSTERSUND</t>
        </is>
      </c>
      <c r="F2704" t="inlineStr">
        <is>
          <t>Kyrkan</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15118-2020</t>
        </is>
      </c>
      <c r="B2705" s="1" t="n">
        <v>43910</v>
      </c>
      <c r="C2705" s="1" t="n">
        <v>45182</v>
      </c>
      <c r="D2705" t="inlineStr">
        <is>
          <t>JÄMTLANDS LÄN</t>
        </is>
      </c>
      <c r="E2705" t="inlineStr">
        <is>
          <t>RAGUNDA</t>
        </is>
      </c>
      <c r="G2705" t="n">
        <v>2.7</v>
      </c>
      <c r="H2705" t="n">
        <v>0</v>
      </c>
      <c r="I2705" t="n">
        <v>0</v>
      </c>
      <c r="J2705" t="n">
        <v>0</v>
      </c>
      <c r="K2705" t="n">
        <v>0</v>
      </c>
      <c r="L2705" t="n">
        <v>0</v>
      </c>
      <c r="M2705" t="n">
        <v>0</v>
      </c>
      <c r="N2705" t="n">
        <v>0</v>
      </c>
      <c r="O2705" t="n">
        <v>0</v>
      </c>
      <c r="P2705" t="n">
        <v>0</v>
      </c>
      <c r="Q2705" t="n">
        <v>0</v>
      </c>
      <c r="R2705" s="2" t="inlineStr"/>
    </row>
    <row r="2706" ht="15" customHeight="1">
      <c r="A2706" t="inlineStr">
        <is>
          <t>A 15117-2020</t>
        </is>
      </c>
      <c r="B2706" s="1" t="n">
        <v>43910</v>
      </c>
      <c r="C2706" s="1" t="n">
        <v>45182</v>
      </c>
      <c r="D2706" t="inlineStr">
        <is>
          <t>JÄMTLANDS LÄN</t>
        </is>
      </c>
      <c r="E2706" t="inlineStr">
        <is>
          <t>RAGUNDA</t>
        </is>
      </c>
      <c r="G2706" t="n">
        <v>0.6</v>
      </c>
      <c r="H2706" t="n">
        <v>0</v>
      </c>
      <c r="I2706" t="n">
        <v>0</v>
      </c>
      <c r="J2706" t="n">
        <v>0</v>
      </c>
      <c r="K2706" t="n">
        <v>0</v>
      </c>
      <c r="L2706" t="n">
        <v>0</v>
      </c>
      <c r="M2706" t="n">
        <v>0</v>
      </c>
      <c r="N2706" t="n">
        <v>0</v>
      </c>
      <c r="O2706" t="n">
        <v>0</v>
      </c>
      <c r="P2706" t="n">
        <v>0</v>
      </c>
      <c r="Q2706" t="n">
        <v>0</v>
      </c>
      <c r="R2706" s="2" t="inlineStr"/>
    </row>
    <row r="2707" ht="15" customHeight="1">
      <c r="A2707" t="inlineStr">
        <is>
          <t>A 15405-2020</t>
        </is>
      </c>
      <c r="B2707" s="1" t="n">
        <v>43913</v>
      </c>
      <c r="C2707" s="1" t="n">
        <v>45182</v>
      </c>
      <c r="D2707" t="inlineStr">
        <is>
          <t>JÄMTLANDS LÄN</t>
        </is>
      </c>
      <c r="E2707" t="inlineStr">
        <is>
          <t>BRÄCKE</t>
        </is>
      </c>
      <c r="F2707" t="inlineStr">
        <is>
          <t>SCA</t>
        </is>
      </c>
      <c r="G2707" t="n">
        <v>2</v>
      </c>
      <c r="H2707" t="n">
        <v>0</v>
      </c>
      <c r="I2707" t="n">
        <v>0</v>
      </c>
      <c r="J2707" t="n">
        <v>0</v>
      </c>
      <c r="K2707" t="n">
        <v>0</v>
      </c>
      <c r="L2707" t="n">
        <v>0</v>
      </c>
      <c r="M2707" t="n">
        <v>0</v>
      </c>
      <c r="N2707" t="n">
        <v>0</v>
      </c>
      <c r="O2707" t="n">
        <v>0</v>
      </c>
      <c r="P2707" t="n">
        <v>0</v>
      </c>
      <c r="Q2707" t="n">
        <v>0</v>
      </c>
      <c r="R2707" s="2" t="inlineStr"/>
    </row>
    <row r="2708" ht="15" customHeight="1">
      <c r="A2708" t="inlineStr">
        <is>
          <t>A 15345-2020</t>
        </is>
      </c>
      <c r="B2708" s="1" t="n">
        <v>43913</v>
      </c>
      <c r="C2708" s="1" t="n">
        <v>45182</v>
      </c>
      <c r="D2708" t="inlineStr">
        <is>
          <t>JÄMTLANDS LÄN</t>
        </is>
      </c>
      <c r="E2708" t="inlineStr">
        <is>
          <t>RAGUNDA</t>
        </is>
      </c>
      <c r="G2708" t="n">
        <v>1.9</v>
      </c>
      <c r="H2708" t="n">
        <v>0</v>
      </c>
      <c r="I2708" t="n">
        <v>0</v>
      </c>
      <c r="J2708" t="n">
        <v>0</v>
      </c>
      <c r="K2708" t="n">
        <v>0</v>
      </c>
      <c r="L2708" t="n">
        <v>0</v>
      </c>
      <c r="M2708" t="n">
        <v>0</v>
      </c>
      <c r="N2708" t="n">
        <v>0</v>
      </c>
      <c r="O2708" t="n">
        <v>0</v>
      </c>
      <c r="P2708" t="n">
        <v>0</v>
      </c>
      <c r="Q2708" t="n">
        <v>0</v>
      </c>
      <c r="R2708" s="2" t="inlineStr"/>
    </row>
    <row r="2709" ht="15" customHeight="1">
      <c r="A2709" t="inlineStr">
        <is>
          <t>A 15404-2020</t>
        </is>
      </c>
      <c r="B2709" s="1" t="n">
        <v>43913</v>
      </c>
      <c r="C2709" s="1" t="n">
        <v>45182</v>
      </c>
      <c r="D2709" t="inlineStr">
        <is>
          <t>JÄMTLANDS LÄN</t>
        </is>
      </c>
      <c r="E2709" t="inlineStr">
        <is>
          <t>BRÄCKE</t>
        </is>
      </c>
      <c r="F2709" t="inlineStr">
        <is>
          <t>SCA</t>
        </is>
      </c>
      <c r="G2709" t="n">
        <v>2.7</v>
      </c>
      <c r="H2709" t="n">
        <v>0</v>
      </c>
      <c r="I2709" t="n">
        <v>0</v>
      </c>
      <c r="J2709" t="n">
        <v>0</v>
      </c>
      <c r="K2709" t="n">
        <v>0</v>
      </c>
      <c r="L2709" t="n">
        <v>0</v>
      </c>
      <c r="M2709" t="n">
        <v>0</v>
      </c>
      <c r="N2709" t="n">
        <v>0</v>
      </c>
      <c r="O2709" t="n">
        <v>0</v>
      </c>
      <c r="P2709" t="n">
        <v>0</v>
      </c>
      <c r="Q2709" t="n">
        <v>0</v>
      </c>
      <c r="R2709" s="2" t="inlineStr"/>
    </row>
    <row r="2710" ht="15" customHeight="1">
      <c r="A2710" t="inlineStr">
        <is>
          <t>A 15315-2020</t>
        </is>
      </c>
      <c r="B2710" s="1" t="n">
        <v>43913</v>
      </c>
      <c r="C2710" s="1" t="n">
        <v>45182</v>
      </c>
      <c r="D2710" t="inlineStr">
        <is>
          <t>JÄMTLANDS LÄN</t>
        </is>
      </c>
      <c r="E2710" t="inlineStr">
        <is>
          <t>KROKOM</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15576-2020</t>
        </is>
      </c>
      <c r="B2711" s="1" t="n">
        <v>43914</v>
      </c>
      <c r="C2711" s="1" t="n">
        <v>45182</v>
      </c>
      <c r="D2711" t="inlineStr">
        <is>
          <t>JÄMTLANDS LÄN</t>
        </is>
      </c>
      <c r="E2711" t="inlineStr">
        <is>
          <t>HÄRJEDALEN</t>
        </is>
      </c>
      <c r="F2711" t="inlineStr">
        <is>
          <t>Kyrkan</t>
        </is>
      </c>
      <c r="G2711" t="n">
        <v>8.1</v>
      </c>
      <c r="H2711" t="n">
        <v>0</v>
      </c>
      <c r="I2711" t="n">
        <v>0</v>
      </c>
      <c r="J2711" t="n">
        <v>0</v>
      </c>
      <c r="K2711" t="n">
        <v>0</v>
      </c>
      <c r="L2711" t="n">
        <v>0</v>
      </c>
      <c r="M2711" t="n">
        <v>0</v>
      </c>
      <c r="N2711" t="n">
        <v>0</v>
      </c>
      <c r="O2711" t="n">
        <v>0</v>
      </c>
      <c r="P2711" t="n">
        <v>0</v>
      </c>
      <c r="Q2711" t="n">
        <v>0</v>
      </c>
      <c r="R2711" s="2" t="inlineStr"/>
    </row>
    <row r="2712" ht="15" customHeight="1">
      <c r="A2712" t="inlineStr">
        <is>
          <t>A 15898-2020</t>
        </is>
      </c>
      <c r="B2712" s="1" t="n">
        <v>43915</v>
      </c>
      <c r="C2712" s="1" t="n">
        <v>45182</v>
      </c>
      <c r="D2712" t="inlineStr">
        <is>
          <t>JÄMTLANDS LÄN</t>
        </is>
      </c>
      <c r="E2712" t="inlineStr">
        <is>
          <t>BRÄCKE</t>
        </is>
      </c>
      <c r="F2712" t="inlineStr">
        <is>
          <t>SCA</t>
        </is>
      </c>
      <c r="G2712" t="n">
        <v>6.6</v>
      </c>
      <c r="H2712" t="n">
        <v>0</v>
      </c>
      <c r="I2712" t="n">
        <v>0</v>
      </c>
      <c r="J2712" t="n">
        <v>0</v>
      </c>
      <c r="K2712" t="n">
        <v>0</v>
      </c>
      <c r="L2712" t="n">
        <v>0</v>
      </c>
      <c r="M2712" t="n">
        <v>0</v>
      </c>
      <c r="N2712" t="n">
        <v>0</v>
      </c>
      <c r="O2712" t="n">
        <v>0</v>
      </c>
      <c r="P2712" t="n">
        <v>0</v>
      </c>
      <c r="Q2712" t="n">
        <v>0</v>
      </c>
      <c r="R2712" s="2" t="inlineStr"/>
    </row>
    <row r="2713" ht="15" customHeight="1">
      <c r="A2713" t="inlineStr">
        <is>
          <t>A 16044-2020</t>
        </is>
      </c>
      <c r="B2713" s="1" t="n">
        <v>43916</v>
      </c>
      <c r="C2713" s="1" t="n">
        <v>45182</v>
      </c>
      <c r="D2713" t="inlineStr">
        <is>
          <t>JÄMTLANDS LÄN</t>
        </is>
      </c>
      <c r="E2713" t="inlineStr">
        <is>
          <t>RAGUNDA</t>
        </is>
      </c>
      <c r="G2713" t="n">
        <v>7.6</v>
      </c>
      <c r="H2713" t="n">
        <v>0</v>
      </c>
      <c r="I2713" t="n">
        <v>0</v>
      </c>
      <c r="J2713" t="n">
        <v>0</v>
      </c>
      <c r="K2713" t="n">
        <v>0</v>
      </c>
      <c r="L2713" t="n">
        <v>0</v>
      </c>
      <c r="M2713" t="n">
        <v>0</v>
      </c>
      <c r="N2713" t="n">
        <v>0</v>
      </c>
      <c r="O2713" t="n">
        <v>0</v>
      </c>
      <c r="P2713" t="n">
        <v>0</v>
      </c>
      <c r="Q2713" t="n">
        <v>0</v>
      </c>
      <c r="R2713" s="2" t="inlineStr"/>
    </row>
    <row r="2714" ht="15" customHeight="1">
      <c r="A2714" t="inlineStr">
        <is>
          <t>A 17464-2020</t>
        </is>
      </c>
      <c r="B2714" s="1" t="n">
        <v>43917</v>
      </c>
      <c r="C2714" s="1" t="n">
        <v>45182</v>
      </c>
      <c r="D2714" t="inlineStr">
        <is>
          <t>JÄMTLANDS LÄN</t>
        </is>
      </c>
      <c r="E2714" t="inlineStr">
        <is>
          <t>ÖSTERSUND</t>
        </is>
      </c>
      <c r="G2714" t="n">
        <v>3.8</v>
      </c>
      <c r="H2714" t="n">
        <v>0</v>
      </c>
      <c r="I2714" t="n">
        <v>0</v>
      </c>
      <c r="J2714" t="n">
        <v>0</v>
      </c>
      <c r="K2714" t="n">
        <v>0</v>
      </c>
      <c r="L2714" t="n">
        <v>0</v>
      </c>
      <c r="M2714" t="n">
        <v>0</v>
      </c>
      <c r="N2714" t="n">
        <v>0</v>
      </c>
      <c r="O2714" t="n">
        <v>0</v>
      </c>
      <c r="P2714" t="n">
        <v>0</v>
      </c>
      <c r="Q2714" t="n">
        <v>0</v>
      </c>
      <c r="R2714" s="2" t="inlineStr"/>
    </row>
    <row r="2715" ht="15" customHeight="1">
      <c r="A2715" t="inlineStr">
        <is>
          <t>A 16335-2020</t>
        </is>
      </c>
      <c r="B2715" s="1" t="n">
        <v>43917</v>
      </c>
      <c r="C2715" s="1" t="n">
        <v>45182</v>
      </c>
      <c r="D2715" t="inlineStr">
        <is>
          <t>JÄMTLANDS LÄN</t>
        </is>
      </c>
      <c r="E2715" t="inlineStr">
        <is>
          <t>STRÖMSUND</t>
        </is>
      </c>
      <c r="F2715" t="inlineStr">
        <is>
          <t>Kyrkan</t>
        </is>
      </c>
      <c r="G2715" t="n">
        <v>2.6</v>
      </c>
      <c r="H2715" t="n">
        <v>0</v>
      </c>
      <c r="I2715" t="n">
        <v>0</v>
      </c>
      <c r="J2715" t="n">
        <v>0</v>
      </c>
      <c r="K2715" t="n">
        <v>0</v>
      </c>
      <c r="L2715" t="n">
        <v>0</v>
      </c>
      <c r="M2715" t="n">
        <v>0</v>
      </c>
      <c r="N2715" t="n">
        <v>0</v>
      </c>
      <c r="O2715" t="n">
        <v>0</v>
      </c>
      <c r="P2715" t="n">
        <v>0</v>
      </c>
      <c r="Q2715" t="n">
        <v>0</v>
      </c>
      <c r="R2715" s="2" t="inlineStr"/>
    </row>
    <row r="2716" ht="15" customHeight="1">
      <c r="A2716" t="inlineStr">
        <is>
          <t>A 17527-2020</t>
        </is>
      </c>
      <c r="B2716" s="1" t="n">
        <v>43920</v>
      </c>
      <c r="C2716" s="1" t="n">
        <v>45182</v>
      </c>
      <c r="D2716" t="inlineStr">
        <is>
          <t>JÄMTLANDS LÄN</t>
        </is>
      </c>
      <c r="E2716" t="inlineStr">
        <is>
          <t>KROKOM</t>
        </is>
      </c>
      <c r="G2716" t="n">
        <v>4.2</v>
      </c>
      <c r="H2716" t="n">
        <v>0</v>
      </c>
      <c r="I2716" t="n">
        <v>0</v>
      </c>
      <c r="J2716" t="n">
        <v>0</v>
      </c>
      <c r="K2716" t="n">
        <v>0</v>
      </c>
      <c r="L2716" t="n">
        <v>0</v>
      </c>
      <c r="M2716" t="n">
        <v>0</v>
      </c>
      <c r="N2716" t="n">
        <v>0</v>
      </c>
      <c r="O2716" t="n">
        <v>0</v>
      </c>
      <c r="P2716" t="n">
        <v>0</v>
      </c>
      <c r="Q2716" t="n">
        <v>0</v>
      </c>
      <c r="R2716" s="2" t="inlineStr"/>
    </row>
    <row r="2717" ht="15" customHeight="1">
      <c r="A2717" t="inlineStr">
        <is>
          <t>A 17515-2020</t>
        </is>
      </c>
      <c r="B2717" s="1" t="n">
        <v>43920</v>
      </c>
      <c r="C2717" s="1" t="n">
        <v>45182</v>
      </c>
      <c r="D2717" t="inlineStr">
        <is>
          <t>JÄMTLANDS LÄN</t>
        </is>
      </c>
      <c r="E2717" t="inlineStr">
        <is>
          <t>HÄRJEDALEN</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16769-2020</t>
        </is>
      </c>
      <c r="B2718" s="1" t="n">
        <v>43920</v>
      </c>
      <c r="C2718" s="1" t="n">
        <v>45182</v>
      </c>
      <c r="D2718" t="inlineStr">
        <is>
          <t>JÄMTLANDS LÄN</t>
        </is>
      </c>
      <c r="E2718" t="inlineStr">
        <is>
          <t>BRÄCKE</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17024-2020</t>
        </is>
      </c>
      <c r="B2719" s="1" t="n">
        <v>43921</v>
      </c>
      <c r="C2719" s="1" t="n">
        <v>45182</v>
      </c>
      <c r="D2719" t="inlineStr">
        <is>
          <t>JÄMTLANDS LÄN</t>
        </is>
      </c>
      <c r="E2719" t="inlineStr">
        <is>
          <t>HÄRJEDALEN</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17063-2020</t>
        </is>
      </c>
      <c r="B2720" s="1" t="n">
        <v>43921</v>
      </c>
      <c r="C2720" s="1" t="n">
        <v>45182</v>
      </c>
      <c r="D2720" t="inlineStr">
        <is>
          <t>JÄMTLANDS LÄN</t>
        </is>
      </c>
      <c r="E2720" t="inlineStr">
        <is>
          <t>STRÖMSUND</t>
        </is>
      </c>
      <c r="G2720" t="n">
        <v>3.4</v>
      </c>
      <c r="H2720" t="n">
        <v>0</v>
      </c>
      <c r="I2720" t="n">
        <v>0</v>
      </c>
      <c r="J2720" t="n">
        <v>0</v>
      </c>
      <c r="K2720" t="n">
        <v>0</v>
      </c>
      <c r="L2720" t="n">
        <v>0</v>
      </c>
      <c r="M2720" t="n">
        <v>0</v>
      </c>
      <c r="N2720" t="n">
        <v>0</v>
      </c>
      <c r="O2720" t="n">
        <v>0</v>
      </c>
      <c r="P2720" t="n">
        <v>0</v>
      </c>
      <c r="Q2720" t="n">
        <v>0</v>
      </c>
      <c r="R2720" s="2" t="inlineStr"/>
    </row>
    <row r="2721" ht="15" customHeight="1">
      <c r="A2721" t="inlineStr">
        <is>
          <t>A 17081-2020</t>
        </is>
      </c>
      <c r="B2721" s="1" t="n">
        <v>43921</v>
      </c>
      <c r="C2721" s="1" t="n">
        <v>45182</v>
      </c>
      <c r="D2721" t="inlineStr">
        <is>
          <t>JÄMTLANDS LÄN</t>
        </is>
      </c>
      <c r="E2721" t="inlineStr">
        <is>
          <t>BRÄCKE</t>
        </is>
      </c>
      <c r="G2721" t="n">
        <v>13.6</v>
      </c>
      <c r="H2721" t="n">
        <v>0</v>
      </c>
      <c r="I2721" t="n">
        <v>0</v>
      </c>
      <c r="J2721" t="n">
        <v>0</v>
      </c>
      <c r="K2721" t="n">
        <v>0</v>
      </c>
      <c r="L2721" t="n">
        <v>0</v>
      </c>
      <c r="M2721" t="n">
        <v>0</v>
      </c>
      <c r="N2721" t="n">
        <v>0</v>
      </c>
      <c r="O2721" t="n">
        <v>0</v>
      </c>
      <c r="P2721" t="n">
        <v>0</v>
      </c>
      <c r="Q2721" t="n">
        <v>0</v>
      </c>
      <c r="R2721" s="2" t="inlineStr"/>
    </row>
    <row r="2722" ht="15" customHeight="1">
      <c r="A2722" t="inlineStr">
        <is>
          <t>A 17082-2020</t>
        </is>
      </c>
      <c r="B2722" s="1" t="n">
        <v>43921</v>
      </c>
      <c r="C2722" s="1" t="n">
        <v>45182</v>
      </c>
      <c r="D2722" t="inlineStr">
        <is>
          <t>JÄMTLANDS LÄN</t>
        </is>
      </c>
      <c r="E2722" t="inlineStr">
        <is>
          <t>BRÄCKE</t>
        </is>
      </c>
      <c r="G2722" t="n">
        <v>9.800000000000001</v>
      </c>
      <c r="H2722" t="n">
        <v>0</v>
      </c>
      <c r="I2722" t="n">
        <v>0</v>
      </c>
      <c r="J2722" t="n">
        <v>0</v>
      </c>
      <c r="K2722" t="n">
        <v>0</v>
      </c>
      <c r="L2722" t="n">
        <v>0</v>
      </c>
      <c r="M2722" t="n">
        <v>0</v>
      </c>
      <c r="N2722" t="n">
        <v>0</v>
      </c>
      <c r="O2722" t="n">
        <v>0</v>
      </c>
      <c r="P2722" t="n">
        <v>0</v>
      </c>
      <c r="Q2722" t="n">
        <v>0</v>
      </c>
      <c r="R2722" s="2" t="inlineStr"/>
    </row>
    <row r="2723" ht="15" customHeight="1">
      <c r="A2723" t="inlineStr">
        <is>
          <t>A 17078-2020</t>
        </is>
      </c>
      <c r="B2723" s="1" t="n">
        <v>43921</v>
      </c>
      <c r="C2723" s="1" t="n">
        <v>45182</v>
      </c>
      <c r="D2723" t="inlineStr">
        <is>
          <t>JÄMTLANDS LÄN</t>
        </is>
      </c>
      <c r="E2723" t="inlineStr">
        <is>
          <t>BRÄCKE</t>
        </is>
      </c>
      <c r="G2723" t="n">
        <v>1</v>
      </c>
      <c r="H2723" t="n">
        <v>0</v>
      </c>
      <c r="I2723" t="n">
        <v>0</v>
      </c>
      <c r="J2723" t="n">
        <v>0</v>
      </c>
      <c r="K2723" t="n">
        <v>0</v>
      </c>
      <c r="L2723" t="n">
        <v>0</v>
      </c>
      <c r="M2723" t="n">
        <v>0</v>
      </c>
      <c r="N2723" t="n">
        <v>0</v>
      </c>
      <c r="O2723" t="n">
        <v>0</v>
      </c>
      <c r="P2723" t="n">
        <v>0</v>
      </c>
      <c r="Q2723" t="n">
        <v>0</v>
      </c>
      <c r="R2723" s="2" t="inlineStr"/>
    </row>
    <row r="2724" ht="15" customHeight="1">
      <c r="A2724" t="inlineStr">
        <is>
          <t>A 17677-2020</t>
        </is>
      </c>
      <c r="B2724" s="1" t="n">
        <v>43923</v>
      </c>
      <c r="C2724" s="1" t="n">
        <v>45182</v>
      </c>
      <c r="D2724" t="inlineStr">
        <is>
          <t>JÄMTLANDS LÄN</t>
        </is>
      </c>
      <c r="E2724" t="inlineStr">
        <is>
          <t>BRÄCKE</t>
        </is>
      </c>
      <c r="F2724" t="inlineStr">
        <is>
          <t>SCA</t>
        </is>
      </c>
      <c r="G2724" t="n">
        <v>4.3</v>
      </c>
      <c r="H2724" t="n">
        <v>0</v>
      </c>
      <c r="I2724" t="n">
        <v>0</v>
      </c>
      <c r="J2724" t="n">
        <v>0</v>
      </c>
      <c r="K2724" t="n">
        <v>0</v>
      </c>
      <c r="L2724" t="n">
        <v>0</v>
      </c>
      <c r="M2724" t="n">
        <v>0</v>
      </c>
      <c r="N2724" t="n">
        <v>0</v>
      </c>
      <c r="O2724" t="n">
        <v>0</v>
      </c>
      <c r="P2724" t="n">
        <v>0</v>
      </c>
      <c r="Q2724" t="n">
        <v>0</v>
      </c>
      <c r="R2724" s="2" t="inlineStr"/>
    </row>
    <row r="2725" ht="15" customHeight="1">
      <c r="A2725" t="inlineStr">
        <is>
          <t>A 17845-2020</t>
        </is>
      </c>
      <c r="B2725" s="1" t="n">
        <v>43923</v>
      </c>
      <c r="C2725" s="1" t="n">
        <v>45182</v>
      </c>
      <c r="D2725" t="inlineStr">
        <is>
          <t>JÄMTLANDS LÄN</t>
        </is>
      </c>
      <c r="E2725" t="inlineStr">
        <is>
          <t>RAGUNDA</t>
        </is>
      </c>
      <c r="G2725" t="n">
        <v>12.1</v>
      </c>
      <c r="H2725" t="n">
        <v>0</v>
      </c>
      <c r="I2725" t="n">
        <v>0</v>
      </c>
      <c r="J2725" t="n">
        <v>0</v>
      </c>
      <c r="K2725" t="n">
        <v>0</v>
      </c>
      <c r="L2725" t="n">
        <v>0</v>
      </c>
      <c r="M2725" t="n">
        <v>0</v>
      </c>
      <c r="N2725" t="n">
        <v>0</v>
      </c>
      <c r="O2725" t="n">
        <v>0</v>
      </c>
      <c r="P2725" t="n">
        <v>0</v>
      </c>
      <c r="Q2725" t="n">
        <v>0</v>
      </c>
      <c r="R2725" s="2" t="inlineStr"/>
    </row>
    <row r="2726" ht="15" customHeight="1">
      <c r="A2726" t="inlineStr">
        <is>
          <t>A 17887-2020</t>
        </is>
      </c>
      <c r="B2726" s="1" t="n">
        <v>43924</v>
      </c>
      <c r="C2726" s="1" t="n">
        <v>45182</v>
      </c>
      <c r="D2726" t="inlineStr">
        <is>
          <t>JÄMTLANDS LÄN</t>
        </is>
      </c>
      <c r="E2726" t="inlineStr">
        <is>
          <t>BRÄCKE</t>
        </is>
      </c>
      <c r="F2726" t="inlineStr">
        <is>
          <t>SCA</t>
        </is>
      </c>
      <c r="G2726" t="n">
        <v>18.4</v>
      </c>
      <c r="H2726" t="n">
        <v>0</v>
      </c>
      <c r="I2726" t="n">
        <v>0</v>
      </c>
      <c r="J2726" t="n">
        <v>0</v>
      </c>
      <c r="K2726" t="n">
        <v>0</v>
      </c>
      <c r="L2726" t="n">
        <v>0</v>
      </c>
      <c r="M2726" t="n">
        <v>0</v>
      </c>
      <c r="N2726" t="n">
        <v>0</v>
      </c>
      <c r="O2726" t="n">
        <v>0</v>
      </c>
      <c r="P2726" t="n">
        <v>0</v>
      </c>
      <c r="Q2726" t="n">
        <v>0</v>
      </c>
      <c r="R2726" s="2" t="inlineStr"/>
    </row>
    <row r="2727" ht="15" customHeight="1">
      <c r="A2727" t="inlineStr">
        <is>
          <t>A 18038-2020</t>
        </is>
      </c>
      <c r="B2727" s="1" t="n">
        <v>43927</v>
      </c>
      <c r="C2727" s="1" t="n">
        <v>45182</v>
      </c>
      <c r="D2727" t="inlineStr">
        <is>
          <t>JÄMTLANDS LÄN</t>
        </is>
      </c>
      <c r="E2727" t="inlineStr">
        <is>
          <t>HÄRJEDALEN</t>
        </is>
      </c>
      <c r="G2727" t="n">
        <v>13.5</v>
      </c>
      <c r="H2727" t="n">
        <v>0</v>
      </c>
      <c r="I2727" t="n">
        <v>0</v>
      </c>
      <c r="J2727" t="n">
        <v>0</v>
      </c>
      <c r="K2727" t="n">
        <v>0</v>
      </c>
      <c r="L2727" t="n">
        <v>0</v>
      </c>
      <c r="M2727" t="n">
        <v>0</v>
      </c>
      <c r="N2727" t="n">
        <v>0</v>
      </c>
      <c r="O2727" t="n">
        <v>0</v>
      </c>
      <c r="P2727" t="n">
        <v>0</v>
      </c>
      <c r="Q2727" t="n">
        <v>0</v>
      </c>
      <c r="R2727" s="2" t="inlineStr"/>
    </row>
    <row r="2728" ht="15" customHeight="1">
      <c r="A2728" t="inlineStr">
        <is>
          <t>A 18445-2020</t>
        </is>
      </c>
      <c r="B2728" s="1" t="n">
        <v>43927</v>
      </c>
      <c r="C2728" s="1" t="n">
        <v>45182</v>
      </c>
      <c r="D2728" t="inlineStr">
        <is>
          <t>JÄMTLANDS LÄN</t>
        </is>
      </c>
      <c r="E2728" t="inlineStr">
        <is>
          <t>KROKOM</t>
        </is>
      </c>
      <c r="G2728" t="n">
        <v>4.2</v>
      </c>
      <c r="H2728" t="n">
        <v>0</v>
      </c>
      <c r="I2728" t="n">
        <v>0</v>
      </c>
      <c r="J2728" t="n">
        <v>0</v>
      </c>
      <c r="K2728" t="n">
        <v>0</v>
      </c>
      <c r="L2728" t="n">
        <v>0</v>
      </c>
      <c r="M2728" t="n">
        <v>0</v>
      </c>
      <c r="N2728" t="n">
        <v>0</v>
      </c>
      <c r="O2728" t="n">
        <v>0</v>
      </c>
      <c r="P2728" t="n">
        <v>0</v>
      </c>
      <c r="Q2728" t="n">
        <v>0</v>
      </c>
      <c r="R2728" s="2" t="inlineStr"/>
    </row>
    <row r="2729" ht="15" customHeight="1">
      <c r="A2729" t="inlineStr">
        <is>
          <t>A 18654-2020</t>
        </is>
      </c>
      <c r="B2729" s="1" t="n">
        <v>43927</v>
      </c>
      <c r="C2729" s="1" t="n">
        <v>45182</v>
      </c>
      <c r="D2729" t="inlineStr">
        <is>
          <t>JÄMTLANDS LÄN</t>
        </is>
      </c>
      <c r="E2729" t="inlineStr">
        <is>
          <t>BRÄCKE</t>
        </is>
      </c>
      <c r="G2729" t="n">
        <v>0.4</v>
      </c>
      <c r="H2729" t="n">
        <v>0</v>
      </c>
      <c r="I2729" t="n">
        <v>0</v>
      </c>
      <c r="J2729" t="n">
        <v>0</v>
      </c>
      <c r="K2729" t="n">
        <v>0</v>
      </c>
      <c r="L2729" t="n">
        <v>0</v>
      </c>
      <c r="M2729" t="n">
        <v>0</v>
      </c>
      <c r="N2729" t="n">
        <v>0</v>
      </c>
      <c r="O2729" t="n">
        <v>0</v>
      </c>
      <c r="P2729" t="n">
        <v>0</v>
      </c>
      <c r="Q2729" t="n">
        <v>0</v>
      </c>
      <c r="R2729" s="2" t="inlineStr"/>
    </row>
    <row r="2730" ht="15" customHeight="1">
      <c r="A2730" t="inlineStr">
        <is>
          <t>A 18047-2020</t>
        </is>
      </c>
      <c r="B2730" s="1" t="n">
        <v>43927</v>
      </c>
      <c r="C2730" s="1" t="n">
        <v>45182</v>
      </c>
      <c r="D2730" t="inlineStr">
        <is>
          <t>JÄMTLANDS LÄN</t>
        </is>
      </c>
      <c r="E2730" t="inlineStr">
        <is>
          <t>BERG</t>
        </is>
      </c>
      <c r="G2730" t="n">
        <v>15.8</v>
      </c>
      <c r="H2730" t="n">
        <v>0</v>
      </c>
      <c r="I2730" t="n">
        <v>0</v>
      </c>
      <c r="J2730" t="n">
        <v>0</v>
      </c>
      <c r="K2730" t="n">
        <v>0</v>
      </c>
      <c r="L2730" t="n">
        <v>0</v>
      </c>
      <c r="M2730" t="n">
        <v>0</v>
      </c>
      <c r="N2730" t="n">
        <v>0</v>
      </c>
      <c r="O2730" t="n">
        <v>0</v>
      </c>
      <c r="P2730" t="n">
        <v>0</v>
      </c>
      <c r="Q2730" t="n">
        <v>0</v>
      </c>
      <c r="R2730" s="2" t="inlineStr"/>
    </row>
    <row r="2731" ht="15" customHeight="1">
      <c r="A2731" t="inlineStr">
        <is>
          <t>A 18591-2020</t>
        </is>
      </c>
      <c r="B2731" s="1" t="n">
        <v>43928</v>
      </c>
      <c r="C2731" s="1" t="n">
        <v>45182</v>
      </c>
      <c r="D2731" t="inlineStr">
        <is>
          <t>JÄMTLANDS LÄN</t>
        </is>
      </c>
      <c r="E2731" t="inlineStr">
        <is>
          <t>KROKOM</t>
        </is>
      </c>
      <c r="G2731" t="n">
        <v>13.6</v>
      </c>
      <c r="H2731" t="n">
        <v>0</v>
      </c>
      <c r="I2731" t="n">
        <v>0</v>
      </c>
      <c r="J2731" t="n">
        <v>0</v>
      </c>
      <c r="K2731" t="n">
        <v>0</v>
      </c>
      <c r="L2731" t="n">
        <v>0</v>
      </c>
      <c r="M2731" t="n">
        <v>0</v>
      </c>
      <c r="N2731" t="n">
        <v>0</v>
      </c>
      <c r="O2731" t="n">
        <v>0</v>
      </c>
      <c r="P2731" t="n">
        <v>0</v>
      </c>
      <c r="Q2731" t="n">
        <v>0</v>
      </c>
      <c r="R2731" s="2" t="inlineStr"/>
    </row>
    <row r="2732" ht="15" customHeight="1">
      <c r="A2732" t="inlineStr">
        <is>
          <t>A 18339-2020</t>
        </is>
      </c>
      <c r="B2732" s="1" t="n">
        <v>43928</v>
      </c>
      <c r="C2732" s="1" t="n">
        <v>45182</v>
      </c>
      <c r="D2732" t="inlineStr">
        <is>
          <t>JÄMTLANDS LÄN</t>
        </is>
      </c>
      <c r="E2732" t="inlineStr">
        <is>
          <t>ÖSTERSUND</t>
        </is>
      </c>
      <c r="G2732" t="n">
        <v>1.7</v>
      </c>
      <c r="H2732" t="n">
        <v>0</v>
      </c>
      <c r="I2732" t="n">
        <v>0</v>
      </c>
      <c r="J2732" t="n">
        <v>0</v>
      </c>
      <c r="K2732" t="n">
        <v>0</v>
      </c>
      <c r="L2732" t="n">
        <v>0</v>
      </c>
      <c r="M2732" t="n">
        <v>0</v>
      </c>
      <c r="N2732" t="n">
        <v>0</v>
      </c>
      <c r="O2732" t="n">
        <v>0</v>
      </c>
      <c r="P2732" t="n">
        <v>0</v>
      </c>
      <c r="Q2732" t="n">
        <v>0</v>
      </c>
      <c r="R2732" s="2" t="inlineStr"/>
    </row>
    <row r="2733" ht="15" customHeight="1">
      <c r="A2733" t="inlineStr">
        <is>
          <t>A 18613-2020</t>
        </is>
      </c>
      <c r="B2733" s="1" t="n">
        <v>43929</v>
      </c>
      <c r="C2733" s="1" t="n">
        <v>45182</v>
      </c>
      <c r="D2733" t="inlineStr">
        <is>
          <t>JÄMTLANDS LÄN</t>
        </is>
      </c>
      <c r="E2733" t="inlineStr">
        <is>
          <t>BERG</t>
        </is>
      </c>
      <c r="G2733" t="n">
        <v>2.6</v>
      </c>
      <c r="H2733" t="n">
        <v>0</v>
      </c>
      <c r="I2733" t="n">
        <v>0</v>
      </c>
      <c r="J2733" t="n">
        <v>0</v>
      </c>
      <c r="K2733" t="n">
        <v>0</v>
      </c>
      <c r="L2733" t="n">
        <v>0</v>
      </c>
      <c r="M2733" t="n">
        <v>0</v>
      </c>
      <c r="N2733" t="n">
        <v>0</v>
      </c>
      <c r="O2733" t="n">
        <v>0</v>
      </c>
      <c r="P2733" t="n">
        <v>0</v>
      </c>
      <c r="Q2733" t="n">
        <v>0</v>
      </c>
      <c r="R2733" s="2" t="inlineStr"/>
    </row>
    <row r="2734" ht="15" customHeight="1">
      <c r="A2734" t="inlineStr">
        <is>
          <t>A 18931-2020</t>
        </is>
      </c>
      <c r="B2734" s="1" t="n">
        <v>43929</v>
      </c>
      <c r="C2734" s="1" t="n">
        <v>45182</v>
      </c>
      <c r="D2734" t="inlineStr">
        <is>
          <t>JÄMTLANDS LÄN</t>
        </is>
      </c>
      <c r="E2734" t="inlineStr">
        <is>
          <t>STRÖMSUND</t>
        </is>
      </c>
      <c r="G2734" t="n">
        <v>6.3</v>
      </c>
      <c r="H2734" t="n">
        <v>0</v>
      </c>
      <c r="I2734" t="n">
        <v>0</v>
      </c>
      <c r="J2734" t="n">
        <v>0</v>
      </c>
      <c r="K2734" t="n">
        <v>0</v>
      </c>
      <c r="L2734" t="n">
        <v>0</v>
      </c>
      <c r="M2734" t="n">
        <v>0</v>
      </c>
      <c r="N2734" t="n">
        <v>0</v>
      </c>
      <c r="O2734" t="n">
        <v>0</v>
      </c>
      <c r="P2734" t="n">
        <v>0</v>
      </c>
      <c r="Q2734" t="n">
        <v>0</v>
      </c>
      <c r="R2734" s="2" t="inlineStr"/>
    </row>
    <row r="2735" ht="15" customHeight="1">
      <c r="A2735" t="inlineStr">
        <is>
          <t>A 18683-2020</t>
        </is>
      </c>
      <c r="B2735" s="1" t="n">
        <v>43930</v>
      </c>
      <c r="C2735" s="1" t="n">
        <v>45182</v>
      </c>
      <c r="D2735" t="inlineStr">
        <is>
          <t>JÄMTLANDS LÄN</t>
        </is>
      </c>
      <c r="E2735" t="inlineStr">
        <is>
          <t>ÖSTERSUND</t>
        </is>
      </c>
      <c r="G2735" t="n">
        <v>1.7</v>
      </c>
      <c r="H2735" t="n">
        <v>0</v>
      </c>
      <c r="I2735" t="n">
        <v>0</v>
      </c>
      <c r="J2735" t="n">
        <v>0</v>
      </c>
      <c r="K2735" t="n">
        <v>0</v>
      </c>
      <c r="L2735" t="n">
        <v>0</v>
      </c>
      <c r="M2735" t="n">
        <v>0</v>
      </c>
      <c r="N2735" t="n">
        <v>0</v>
      </c>
      <c r="O2735" t="n">
        <v>0</v>
      </c>
      <c r="P2735" t="n">
        <v>0</v>
      </c>
      <c r="Q2735" t="n">
        <v>0</v>
      </c>
      <c r="R2735" s="2" t="inlineStr"/>
    </row>
    <row r="2736" ht="15" customHeight="1">
      <c r="A2736" t="inlineStr">
        <is>
          <t>A 18731-2020</t>
        </is>
      </c>
      <c r="B2736" s="1" t="n">
        <v>43930</v>
      </c>
      <c r="C2736" s="1" t="n">
        <v>45182</v>
      </c>
      <c r="D2736" t="inlineStr">
        <is>
          <t>JÄMTLANDS LÄN</t>
        </is>
      </c>
      <c r="E2736" t="inlineStr">
        <is>
          <t>STRÖMSUND</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18760-2020</t>
        </is>
      </c>
      <c r="B2737" s="1" t="n">
        <v>43930</v>
      </c>
      <c r="C2737" s="1" t="n">
        <v>45182</v>
      </c>
      <c r="D2737" t="inlineStr">
        <is>
          <t>JÄMTLANDS LÄN</t>
        </is>
      </c>
      <c r="E2737" t="inlineStr">
        <is>
          <t>HÄRJEDALEN</t>
        </is>
      </c>
      <c r="F2737" t="inlineStr">
        <is>
          <t>Sveaskog</t>
        </is>
      </c>
      <c r="G2737" t="n">
        <v>16.1</v>
      </c>
      <c r="H2737" t="n">
        <v>0</v>
      </c>
      <c r="I2737" t="n">
        <v>0</v>
      </c>
      <c r="J2737" t="n">
        <v>0</v>
      </c>
      <c r="K2737" t="n">
        <v>0</v>
      </c>
      <c r="L2737" t="n">
        <v>0</v>
      </c>
      <c r="M2737" t="n">
        <v>0</v>
      </c>
      <c r="N2737" t="n">
        <v>0</v>
      </c>
      <c r="O2737" t="n">
        <v>0</v>
      </c>
      <c r="P2737" t="n">
        <v>0</v>
      </c>
      <c r="Q2737" t="n">
        <v>0</v>
      </c>
      <c r="R2737" s="2" t="inlineStr"/>
    </row>
    <row r="2738" ht="15" customHeight="1">
      <c r="A2738" t="inlineStr">
        <is>
          <t>A 18780-2020</t>
        </is>
      </c>
      <c r="B2738" s="1" t="n">
        <v>43930</v>
      </c>
      <c r="C2738" s="1" t="n">
        <v>45182</v>
      </c>
      <c r="D2738" t="inlineStr">
        <is>
          <t>JÄMTLANDS LÄN</t>
        </is>
      </c>
      <c r="E2738" t="inlineStr">
        <is>
          <t>STRÖMSUND</t>
        </is>
      </c>
      <c r="F2738" t="inlineStr">
        <is>
          <t>SCA</t>
        </is>
      </c>
      <c r="G2738" t="n">
        <v>4</v>
      </c>
      <c r="H2738" t="n">
        <v>0</v>
      </c>
      <c r="I2738" t="n">
        <v>0</v>
      </c>
      <c r="J2738" t="n">
        <v>0</v>
      </c>
      <c r="K2738" t="n">
        <v>0</v>
      </c>
      <c r="L2738" t="n">
        <v>0</v>
      </c>
      <c r="M2738" t="n">
        <v>0</v>
      </c>
      <c r="N2738" t="n">
        <v>0</v>
      </c>
      <c r="O2738" t="n">
        <v>0</v>
      </c>
      <c r="P2738" t="n">
        <v>0</v>
      </c>
      <c r="Q2738" t="n">
        <v>0</v>
      </c>
      <c r="R2738" s="2" t="inlineStr"/>
    </row>
    <row r="2739" ht="15" customHeight="1">
      <c r="A2739" t="inlineStr">
        <is>
          <t>A 18761-2020</t>
        </is>
      </c>
      <c r="B2739" s="1" t="n">
        <v>43930</v>
      </c>
      <c r="C2739" s="1" t="n">
        <v>45182</v>
      </c>
      <c r="D2739" t="inlineStr">
        <is>
          <t>JÄMTLANDS LÄN</t>
        </is>
      </c>
      <c r="E2739" t="inlineStr">
        <is>
          <t>HÄRJEDALEN</t>
        </is>
      </c>
      <c r="F2739" t="inlineStr">
        <is>
          <t>Sveaskog</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18877-2020</t>
        </is>
      </c>
      <c r="B2740" s="1" t="n">
        <v>43935</v>
      </c>
      <c r="C2740" s="1" t="n">
        <v>45182</v>
      </c>
      <c r="D2740" t="inlineStr">
        <is>
          <t>JÄMTLANDS LÄN</t>
        </is>
      </c>
      <c r="E2740" t="inlineStr">
        <is>
          <t>HÄRJEDALEN</t>
        </is>
      </c>
      <c r="G2740" t="n">
        <v>7</v>
      </c>
      <c r="H2740" t="n">
        <v>0</v>
      </c>
      <c r="I2740" t="n">
        <v>0</v>
      </c>
      <c r="J2740" t="n">
        <v>0</v>
      </c>
      <c r="K2740" t="n">
        <v>0</v>
      </c>
      <c r="L2740" t="n">
        <v>0</v>
      </c>
      <c r="M2740" t="n">
        <v>0</v>
      </c>
      <c r="N2740" t="n">
        <v>0</v>
      </c>
      <c r="O2740" t="n">
        <v>0</v>
      </c>
      <c r="P2740" t="n">
        <v>0</v>
      </c>
      <c r="Q2740" t="n">
        <v>0</v>
      </c>
      <c r="R2740" s="2" t="inlineStr"/>
    </row>
    <row r="2741" ht="15" customHeight="1">
      <c r="A2741" t="inlineStr">
        <is>
          <t>A 19089-2020</t>
        </is>
      </c>
      <c r="B2741" s="1" t="n">
        <v>43935</v>
      </c>
      <c r="C2741" s="1" t="n">
        <v>45182</v>
      </c>
      <c r="D2741" t="inlineStr">
        <is>
          <t>JÄMTLANDS LÄN</t>
        </is>
      </c>
      <c r="E2741" t="inlineStr">
        <is>
          <t>STRÖMSUND</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18879-2020</t>
        </is>
      </c>
      <c r="B2742" s="1" t="n">
        <v>43935</v>
      </c>
      <c r="C2742" s="1" t="n">
        <v>45182</v>
      </c>
      <c r="D2742" t="inlineStr">
        <is>
          <t>JÄMTLANDS LÄN</t>
        </is>
      </c>
      <c r="E2742" t="inlineStr">
        <is>
          <t>HÄRJEDALEN</t>
        </is>
      </c>
      <c r="G2742" t="n">
        <v>5.5</v>
      </c>
      <c r="H2742" t="n">
        <v>0</v>
      </c>
      <c r="I2742" t="n">
        <v>0</v>
      </c>
      <c r="J2742" t="n">
        <v>0</v>
      </c>
      <c r="K2742" t="n">
        <v>0</v>
      </c>
      <c r="L2742" t="n">
        <v>0</v>
      </c>
      <c r="M2742" t="n">
        <v>0</v>
      </c>
      <c r="N2742" t="n">
        <v>0</v>
      </c>
      <c r="O2742" t="n">
        <v>0</v>
      </c>
      <c r="P2742" t="n">
        <v>0</v>
      </c>
      <c r="Q2742" t="n">
        <v>0</v>
      </c>
      <c r="R2742" s="2" t="inlineStr"/>
    </row>
    <row r="2743" ht="15" customHeight="1">
      <c r="A2743" t="inlineStr">
        <is>
          <t>A 19031-2020</t>
        </is>
      </c>
      <c r="B2743" s="1" t="n">
        <v>43936</v>
      </c>
      <c r="C2743" s="1" t="n">
        <v>45182</v>
      </c>
      <c r="D2743" t="inlineStr">
        <is>
          <t>JÄMTLANDS LÄN</t>
        </is>
      </c>
      <c r="E2743" t="inlineStr">
        <is>
          <t>KROKOM</t>
        </is>
      </c>
      <c r="G2743" t="n">
        <v>1.4</v>
      </c>
      <c r="H2743" t="n">
        <v>0</v>
      </c>
      <c r="I2743" t="n">
        <v>0</v>
      </c>
      <c r="J2743" t="n">
        <v>0</v>
      </c>
      <c r="K2743" t="n">
        <v>0</v>
      </c>
      <c r="L2743" t="n">
        <v>0</v>
      </c>
      <c r="M2743" t="n">
        <v>0</v>
      </c>
      <c r="N2743" t="n">
        <v>0</v>
      </c>
      <c r="O2743" t="n">
        <v>0</v>
      </c>
      <c r="P2743" t="n">
        <v>0</v>
      </c>
      <c r="Q2743" t="n">
        <v>0</v>
      </c>
      <c r="R2743" s="2" t="inlineStr"/>
    </row>
    <row r="2744" ht="15" customHeight="1">
      <c r="A2744" t="inlineStr">
        <is>
          <t>A 19631-2020</t>
        </is>
      </c>
      <c r="B2744" s="1" t="n">
        <v>43936</v>
      </c>
      <c r="C2744" s="1" t="n">
        <v>45182</v>
      </c>
      <c r="D2744" t="inlineStr">
        <is>
          <t>JÄMTLANDS LÄN</t>
        </is>
      </c>
      <c r="E2744" t="inlineStr">
        <is>
          <t>ÖSTERSUND</t>
        </is>
      </c>
      <c r="G2744" t="n">
        <v>5.5</v>
      </c>
      <c r="H2744" t="n">
        <v>0</v>
      </c>
      <c r="I2744" t="n">
        <v>0</v>
      </c>
      <c r="J2744" t="n">
        <v>0</v>
      </c>
      <c r="K2744" t="n">
        <v>0</v>
      </c>
      <c r="L2744" t="n">
        <v>0</v>
      </c>
      <c r="M2744" t="n">
        <v>0</v>
      </c>
      <c r="N2744" t="n">
        <v>0</v>
      </c>
      <c r="O2744" t="n">
        <v>0</v>
      </c>
      <c r="P2744" t="n">
        <v>0</v>
      </c>
      <c r="Q2744" t="n">
        <v>0</v>
      </c>
      <c r="R2744" s="2" t="inlineStr"/>
    </row>
    <row r="2745" ht="15" customHeight="1">
      <c r="A2745" t="inlineStr">
        <is>
          <t>A 19304-2020</t>
        </is>
      </c>
      <c r="B2745" s="1" t="n">
        <v>43937</v>
      </c>
      <c r="C2745" s="1" t="n">
        <v>45182</v>
      </c>
      <c r="D2745" t="inlineStr">
        <is>
          <t>JÄMTLANDS LÄN</t>
        </is>
      </c>
      <c r="E2745" t="inlineStr">
        <is>
          <t>HÄRJEDALEN</t>
        </is>
      </c>
      <c r="F2745" t="inlineStr">
        <is>
          <t>Bergvik skog väst AB</t>
        </is>
      </c>
      <c r="G2745" t="n">
        <v>4</v>
      </c>
      <c r="H2745" t="n">
        <v>0</v>
      </c>
      <c r="I2745" t="n">
        <v>0</v>
      </c>
      <c r="J2745" t="n">
        <v>0</v>
      </c>
      <c r="K2745" t="n">
        <v>0</v>
      </c>
      <c r="L2745" t="n">
        <v>0</v>
      </c>
      <c r="M2745" t="n">
        <v>0</v>
      </c>
      <c r="N2745" t="n">
        <v>0</v>
      </c>
      <c r="O2745" t="n">
        <v>0</v>
      </c>
      <c r="P2745" t="n">
        <v>0</v>
      </c>
      <c r="Q2745" t="n">
        <v>0</v>
      </c>
      <c r="R2745" s="2" t="inlineStr"/>
    </row>
    <row r="2746" ht="15" customHeight="1">
      <c r="A2746" t="inlineStr">
        <is>
          <t>A 19314-2020</t>
        </is>
      </c>
      <c r="B2746" s="1" t="n">
        <v>43937</v>
      </c>
      <c r="C2746" s="1" t="n">
        <v>45182</v>
      </c>
      <c r="D2746" t="inlineStr">
        <is>
          <t>JÄMTLANDS LÄN</t>
        </is>
      </c>
      <c r="E2746" t="inlineStr">
        <is>
          <t>BRÄCKE</t>
        </is>
      </c>
      <c r="F2746" t="inlineStr">
        <is>
          <t>SCA</t>
        </is>
      </c>
      <c r="G2746" t="n">
        <v>5.2</v>
      </c>
      <c r="H2746" t="n">
        <v>0</v>
      </c>
      <c r="I2746" t="n">
        <v>0</v>
      </c>
      <c r="J2746" t="n">
        <v>0</v>
      </c>
      <c r="K2746" t="n">
        <v>0</v>
      </c>
      <c r="L2746" t="n">
        <v>0</v>
      </c>
      <c r="M2746" t="n">
        <v>0</v>
      </c>
      <c r="N2746" t="n">
        <v>0</v>
      </c>
      <c r="O2746" t="n">
        <v>0</v>
      </c>
      <c r="P2746" t="n">
        <v>0</v>
      </c>
      <c r="Q2746" t="n">
        <v>0</v>
      </c>
      <c r="R2746" s="2" t="inlineStr"/>
    </row>
    <row r="2747" ht="15" customHeight="1">
      <c r="A2747" t="inlineStr">
        <is>
          <t>A 19827-2020</t>
        </is>
      </c>
      <c r="B2747" s="1" t="n">
        <v>43938</v>
      </c>
      <c r="C2747" s="1" t="n">
        <v>45182</v>
      </c>
      <c r="D2747" t="inlineStr">
        <is>
          <t>JÄMTLANDS LÄN</t>
        </is>
      </c>
      <c r="E2747" t="inlineStr">
        <is>
          <t>KROKOM</t>
        </is>
      </c>
      <c r="G2747" t="n">
        <v>2.5</v>
      </c>
      <c r="H2747" t="n">
        <v>0</v>
      </c>
      <c r="I2747" t="n">
        <v>0</v>
      </c>
      <c r="J2747" t="n">
        <v>0</v>
      </c>
      <c r="K2747" t="n">
        <v>0</v>
      </c>
      <c r="L2747" t="n">
        <v>0</v>
      </c>
      <c r="M2747" t="n">
        <v>0</v>
      </c>
      <c r="N2747" t="n">
        <v>0</v>
      </c>
      <c r="O2747" t="n">
        <v>0</v>
      </c>
      <c r="P2747" t="n">
        <v>0</v>
      </c>
      <c r="Q2747" t="n">
        <v>0</v>
      </c>
      <c r="R2747" s="2" t="inlineStr"/>
    </row>
    <row r="2748" ht="15" customHeight="1">
      <c r="A2748" t="inlineStr">
        <is>
          <t>A 19531-2020</t>
        </is>
      </c>
      <c r="B2748" s="1" t="n">
        <v>43940</v>
      </c>
      <c r="C2748" s="1" t="n">
        <v>45182</v>
      </c>
      <c r="D2748" t="inlineStr">
        <is>
          <t>JÄMTLANDS LÄN</t>
        </is>
      </c>
      <c r="E2748" t="inlineStr">
        <is>
          <t>BERG</t>
        </is>
      </c>
      <c r="G2748" t="n">
        <v>4.2</v>
      </c>
      <c r="H2748" t="n">
        <v>0</v>
      </c>
      <c r="I2748" t="n">
        <v>0</v>
      </c>
      <c r="J2748" t="n">
        <v>0</v>
      </c>
      <c r="K2748" t="n">
        <v>0</v>
      </c>
      <c r="L2748" t="n">
        <v>0</v>
      </c>
      <c r="M2748" t="n">
        <v>0</v>
      </c>
      <c r="N2748" t="n">
        <v>0</v>
      </c>
      <c r="O2748" t="n">
        <v>0</v>
      </c>
      <c r="P2748" t="n">
        <v>0</v>
      </c>
      <c r="Q2748" t="n">
        <v>0</v>
      </c>
      <c r="R2748" s="2" t="inlineStr"/>
    </row>
    <row r="2749" ht="15" customHeight="1">
      <c r="A2749" t="inlineStr">
        <is>
          <t>A 19648-2020</t>
        </is>
      </c>
      <c r="B2749" s="1" t="n">
        <v>43941</v>
      </c>
      <c r="C2749" s="1" t="n">
        <v>45182</v>
      </c>
      <c r="D2749" t="inlineStr">
        <is>
          <t>JÄMTLANDS LÄN</t>
        </is>
      </c>
      <c r="E2749" t="inlineStr">
        <is>
          <t>KROKOM</t>
        </is>
      </c>
      <c r="G2749" t="n">
        <v>21.6</v>
      </c>
      <c r="H2749" t="n">
        <v>0</v>
      </c>
      <c r="I2749" t="n">
        <v>0</v>
      </c>
      <c r="J2749" t="n">
        <v>0</v>
      </c>
      <c r="K2749" t="n">
        <v>0</v>
      </c>
      <c r="L2749" t="n">
        <v>0</v>
      </c>
      <c r="M2749" t="n">
        <v>0</v>
      </c>
      <c r="N2749" t="n">
        <v>0</v>
      </c>
      <c r="O2749" t="n">
        <v>0</v>
      </c>
      <c r="P2749" t="n">
        <v>0</v>
      </c>
      <c r="Q2749" t="n">
        <v>0</v>
      </c>
      <c r="R2749" s="2" t="inlineStr"/>
    </row>
    <row r="2750" ht="15" customHeight="1">
      <c r="A2750" t="inlineStr">
        <is>
          <t>A 19777-2020</t>
        </is>
      </c>
      <c r="B2750" s="1" t="n">
        <v>43942</v>
      </c>
      <c r="C2750" s="1" t="n">
        <v>45182</v>
      </c>
      <c r="D2750" t="inlineStr">
        <is>
          <t>JÄMTLANDS LÄN</t>
        </is>
      </c>
      <c r="E2750" t="inlineStr">
        <is>
          <t>KROKOM</t>
        </is>
      </c>
      <c r="F2750" t="inlineStr">
        <is>
          <t>Kyrkan</t>
        </is>
      </c>
      <c r="G2750" t="n">
        <v>2.6</v>
      </c>
      <c r="H2750" t="n">
        <v>0</v>
      </c>
      <c r="I2750" t="n">
        <v>0</v>
      </c>
      <c r="J2750" t="n">
        <v>0</v>
      </c>
      <c r="K2750" t="n">
        <v>0</v>
      </c>
      <c r="L2750" t="n">
        <v>0</v>
      </c>
      <c r="M2750" t="n">
        <v>0</v>
      </c>
      <c r="N2750" t="n">
        <v>0</v>
      </c>
      <c r="O2750" t="n">
        <v>0</v>
      </c>
      <c r="P2750" t="n">
        <v>0</v>
      </c>
      <c r="Q2750" t="n">
        <v>0</v>
      </c>
      <c r="R2750" s="2" t="inlineStr"/>
    </row>
    <row r="2751" ht="15" customHeight="1">
      <c r="A2751" t="inlineStr">
        <is>
          <t>A 19842-2020</t>
        </is>
      </c>
      <c r="B2751" s="1" t="n">
        <v>43942</v>
      </c>
      <c r="C2751" s="1" t="n">
        <v>45182</v>
      </c>
      <c r="D2751" t="inlineStr">
        <is>
          <t>JÄMTLANDS LÄN</t>
        </is>
      </c>
      <c r="E2751" t="inlineStr">
        <is>
          <t>STRÖMSUND</t>
        </is>
      </c>
      <c r="G2751" t="n">
        <v>20.3</v>
      </c>
      <c r="H2751" t="n">
        <v>0</v>
      </c>
      <c r="I2751" t="n">
        <v>0</v>
      </c>
      <c r="J2751" t="n">
        <v>0</v>
      </c>
      <c r="K2751" t="n">
        <v>0</v>
      </c>
      <c r="L2751" t="n">
        <v>0</v>
      </c>
      <c r="M2751" t="n">
        <v>0</v>
      </c>
      <c r="N2751" t="n">
        <v>0</v>
      </c>
      <c r="O2751" t="n">
        <v>0</v>
      </c>
      <c r="P2751" t="n">
        <v>0</v>
      </c>
      <c r="Q2751" t="n">
        <v>0</v>
      </c>
      <c r="R2751" s="2" t="inlineStr"/>
    </row>
    <row r="2752" ht="15" customHeight="1">
      <c r="A2752" t="inlineStr">
        <is>
          <t>A 19768-2020</t>
        </is>
      </c>
      <c r="B2752" s="1" t="n">
        <v>43942</v>
      </c>
      <c r="C2752" s="1" t="n">
        <v>45182</v>
      </c>
      <c r="D2752" t="inlineStr">
        <is>
          <t>JÄMTLANDS LÄN</t>
        </is>
      </c>
      <c r="E2752" t="inlineStr">
        <is>
          <t>KROKOM</t>
        </is>
      </c>
      <c r="F2752" t="inlineStr">
        <is>
          <t>Kyrkan</t>
        </is>
      </c>
      <c r="G2752" t="n">
        <v>2</v>
      </c>
      <c r="H2752" t="n">
        <v>0</v>
      </c>
      <c r="I2752" t="n">
        <v>0</v>
      </c>
      <c r="J2752" t="n">
        <v>0</v>
      </c>
      <c r="K2752" t="n">
        <v>0</v>
      </c>
      <c r="L2752" t="n">
        <v>0</v>
      </c>
      <c r="M2752" t="n">
        <v>0</v>
      </c>
      <c r="N2752" t="n">
        <v>0</v>
      </c>
      <c r="O2752" t="n">
        <v>0</v>
      </c>
      <c r="P2752" t="n">
        <v>0</v>
      </c>
      <c r="Q2752" t="n">
        <v>0</v>
      </c>
      <c r="R2752" s="2" t="inlineStr"/>
    </row>
    <row r="2753" ht="15" customHeight="1">
      <c r="A2753" t="inlineStr">
        <is>
          <t>A 19923-2020</t>
        </is>
      </c>
      <c r="B2753" s="1" t="n">
        <v>43943</v>
      </c>
      <c r="C2753" s="1" t="n">
        <v>45182</v>
      </c>
      <c r="D2753" t="inlineStr">
        <is>
          <t>JÄMTLANDS LÄN</t>
        </is>
      </c>
      <c r="E2753" t="inlineStr">
        <is>
          <t>ÖSTERSUND</t>
        </is>
      </c>
      <c r="G2753" t="n">
        <v>0.5</v>
      </c>
      <c r="H2753" t="n">
        <v>0</v>
      </c>
      <c r="I2753" t="n">
        <v>0</v>
      </c>
      <c r="J2753" t="n">
        <v>0</v>
      </c>
      <c r="K2753" t="n">
        <v>0</v>
      </c>
      <c r="L2753" t="n">
        <v>0</v>
      </c>
      <c r="M2753" t="n">
        <v>0</v>
      </c>
      <c r="N2753" t="n">
        <v>0</v>
      </c>
      <c r="O2753" t="n">
        <v>0</v>
      </c>
      <c r="P2753" t="n">
        <v>0</v>
      </c>
      <c r="Q2753" t="n">
        <v>0</v>
      </c>
      <c r="R2753" s="2" t="inlineStr"/>
    </row>
    <row r="2754" ht="15" customHeight="1">
      <c r="A2754" t="inlineStr">
        <is>
          <t>A 19918-2020</t>
        </is>
      </c>
      <c r="B2754" s="1" t="n">
        <v>43943</v>
      </c>
      <c r="C2754" s="1" t="n">
        <v>45182</v>
      </c>
      <c r="D2754" t="inlineStr">
        <is>
          <t>JÄMTLANDS LÄN</t>
        </is>
      </c>
      <c r="E2754" t="inlineStr">
        <is>
          <t>RAGUNDA</t>
        </is>
      </c>
      <c r="G2754" t="n">
        <v>6.2</v>
      </c>
      <c r="H2754" t="n">
        <v>0</v>
      </c>
      <c r="I2754" t="n">
        <v>0</v>
      </c>
      <c r="J2754" t="n">
        <v>0</v>
      </c>
      <c r="K2754" t="n">
        <v>0</v>
      </c>
      <c r="L2754" t="n">
        <v>0</v>
      </c>
      <c r="M2754" t="n">
        <v>0</v>
      </c>
      <c r="N2754" t="n">
        <v>0</v>
      </c>
      <c r="O2754" t="n">
        <v>0</v>
      </c>
      <c r="P2754" t="n">
        <v>0</v>
      </c>
      <c r="Q2754" t="n">
        <v>0</v>
      </c>
      <c r="R2754" s="2" t="inlineStr"/>
    </row>
    <row r="2755" ht="15" customHeight="1">
      <c r="A2755" t="inlineStr">
        <is>
          <t>A 20034-2020</t>
        </is>
      </c>
      <c r="B2755" s="1" t="n">
        <v>43943</v>
      </c>
      <c r="C2755" s="1" t="n">
        <v>45182</v>
      </c>
      <c r="D2755" t="inlineStr">
        <is>
          <t>JÄMTLANDS LÄN</t>
        </is>
      </c>
      <c r="E2755" t="inlineStr">
        <is>
          <t>BRÄCKE</t>
        </is>
      </c>
      <c r="G2755" t="n">
        <v>3.2</v>
      </c>
      <c r="H2755" t="n">
        <v>0</v>
      </c>
      <c r="I2755" t="n">
        <v>0</v>
      </c>
      <c r="J2755" t="n">
        <v>0</v>
      </c>
      <c r="K2755" t="n">
        <v>0</v>
      </c>
      <c r="L2755" t="n">
        <v>0</v>
      </c>
      <c r="M2755" t="n">
        <v>0</v>
      </c>
      <c r="N2755" t="n">
        <v>0</v>
      </c>
      <c r="O2755" t="n">
        <v>0</v>
      </c>
      <c r="P2755" t="n">
        <v>0</v>
      </c>
      <c r="Q2755" t="n">
        <v>0</v>
      </c>
      <c r="R2755" s="2" t="inlineStr"/>
    </row>
    <row r="2756" ht="15" customHeight="1">
      <c r="A2756" t="inlineStr">
        <is>
          <t>A 20198-2020</t>
        </is>
      </c>
      <c r="B2756" s="1" t="n">
        <v>43944</v>
      </c>
      <c r="C2756" s="1" t="n">
        <v>45182</v>
      </c>
      <c r="D2756" t="inlineStr">
        <is>
          <t>JÄMTLANDS LÄN</t>
        </is>
      </c>
      <c r="E2756" t="inlineStr">
        <is>
          <t>ÖSTERSUND</t>
        </is>
      </c>
      <c r="G2756" t="n">
        <v>2</v>
      </c>
      <c r="H2756" t="n">
        <v>0</v>
      </c>
      <c r="I2756" t="n">
        <v>0</v>
      </c>
      <c r="J2756" t="n">
        <v>0</v>
      </c>
      <c r="K2756" t="n">
        <v>0</v>
      </c>
      <c r="L2756" t="n">
        <v>0</v>
      </c>
      <c r="M2756" t="n">
        <v>0</v>
      </c>
      <c r="N2756" t="n">
        <v>0</v>
      </c>
      <c r="O2756" t="n">
        <v>0</v>
      </c>
      <c r="P2756" t="n">
        <v>0</v>
      </c>
      <c r="Q2756" t="n">
        <v>0</v>
      </c>
      <c r="R2756" s="2" t="inlineStr"/>
    </row>
    <row r="2757" ht="15" customHeight="1">
      <c r="A2757" t="inlineStr">
        <is>
          <t>A 20426-2020</t>
        </is>
      </c>
      <c r="B2757" s="1" t="n">
        <v>43945</v>
      </c>
      <c r="C2757" s="1" t="n">
        <v>45182</v>
      </c>
      <c r="D2757" t="inlineStr">
        <is>
          <t>JÄMTLANDS LÄN</t>
        </is>
      </c>
      <c r="E2757" t="inlineStr">
        <is>
          <t>BRÄCKE</t>
        </is>
      </c>
      <c r="F2757" t="inlineStr">
        <is>
          <t>SCA</t>
        </is>
      </c>
      <c r="G2757" t="n">
        <v>5.7</v>
      </c>
      <c r="H2757" t="n">
        <v>0</v>
      </c>
      <c r="I2757" t="n">
        <v>0</v>
      </c>
      <c r="J2757" t="n">
        <v>0</v>
      </c>
      <c r="K2757" t="n">
        <v>0</v>
      </c>
      <c r="L2757" t="n">
        <v>0</v>
      </c>
      <c r="M2757" t="n">
        <v>0</v>
      </c>
      <c r="N2757" t="n">
        <v>0</v>
      </c>
      <c r="O2757" t="n">
        <v>0</v>
      </c>
      <c r="P2757" t="n">
        <v>0</v>
      </c>
      <c r="Q2757" t="n">
        <v>0</v>
      </c>
      <c r="R2757" s="2" t="inlineStr"/>
    </row>
    <row r="2758" ht="15" customHeight="1">
      <c r="A2758" t="inlineStr">
        <is>
          <t>A 20616-2020</t>
        </is>
      </c>
      <c r="B2758" s="1" t="n">
        <v>43948</v>
      </c>
      <c r="C2758" s="1" t="n">
        <v>45182</v>
      </c>
      <c r="D2758" t="inlineStr">
        <is>
          <t>JÄMTLANDS LÄN</t>
        </is>
      </c>
      <c r="E2758" t="inlineStr">
        <is>
          <t>RAGUNDA</t>
        </is>
      </c>
      <c r="G2758" t="n">
        <v>4.1</v>
      </c>
      <c r="H2758" t="n">
        <v>0</v>
      </c>
      <c r="I2758" t="n">
        <v>0</v>
      </c>
      <c r="J2758" t="n">
        <v>0</v>
      </c>
      <c r="K2758" t="n">
        <v>0</v>
      </c>
      <c r="L2758" t="n">
        <v>0</v>
      </c>
      <c r="M2758" t="n">
        <v>0</v>
      </c>
      <c r="N2758" t="n">
        <v>0</v>
      </c>
      <c r="O2758" t="n">
        <v>0</v>
      </c>
      <c r="P2758" t="n">
        <v>0</v>
      </c>
      <c r="Q2758" t="n">
        <v>0</v>
      </c>
      <c r="R2758" s="2" t="inlineStr"/>
    </row>
    <row r="2759" ht="15" customHeight="1">
      <c r="A2759" t="inlineStr">
        <is>
          <t>A 20538-2020</t>
        </is>
      </c>
      <c r="B2759" s="1" t="n">
        <v>43948</v>
      </c>
      <c r="C2759" s="1" t="n">
        <v>45182</v>
      </c>
      <c r="D2759" t="inlineStr">
        <is>
          <t>JÄMTLANDS LÄN</t>
        </is>
      </c>
      <c r="E2759" t="inlineStr">
        <is>
          <t>ÅRE</t>
        </is>
      </c>
      <c r="G2759" t="n">
        <v>3.7</v>
      </c>
      <c r="H2759" t="n">
        <v>0</v>
      </c>
      <c r="I2759" t="n">
        <v>0</v>
      </c>
      <c r="J2759" t="n">
        <v>0</v>
      </c>
      <c r="K2759" t="n">
        <v>0</v>
      </c>
      <c r="L2759" t="n">
        <v>0</v>
      </c>
      <c r="M2759" t="n">
        <v>0</v>
      </c>
      <c r="N2759" t="n">
        <v>0</v>
      </c>
      <c r="O2759" t="n">
        <v>0</v>
      </c>
      <c r="P2759" t="n">
        <v>0</v>
      </c>
      <c r="Q2759" t="n">
        <v>0</v>
      </c>
      <c r="R2759" s="2" t="inlineStr"/>
    </row>
    <row r="2760" ht="15" customHeight="1">
      <c r="A2760" t="inlineStr">
        <is>
          <t>A 20617-2020</t>
        </is>
      </c>
      <c r="B2760" s="1" t="n">
        <v>43948</v>
      </c>
      <c r="C2760" s="1" t="n">
        <v>45182</v>
      </c>
      <c r="D2760" t="inlineStr">
        <is>
          <t>JÄMTLANDS LÄN</t>
        </is>
      </c>
      <c r="E2760" t="inlineStr">
        <is>
          <t>BRÄCKE</t>
        </is>
      </c>
      <c r="F2760" t="inlineStr">
        <is>
          <t>SCA</t>
        </is>
      </c>
      <c r="G2760" t="n">
        <v>3.6</v>
      </c>
      <c r="H2760" t="n">
        <v>0</v>
      </c>
      <c r="I2760" t="n">
        <v>0</v>
      </c>
      <c r="J2760" t="n">
        <v>0</v>
      </c>
      <c r="K2760" t="n">
        <v>0</v>
      </c>
      <c r="L2760" t="n">
        <v>0</v>
      </c>
      <c r="M2760" t="n">
        <v>0</v>
      </c>
      <c r="N2760" t="n">
        <v>0</v>
      </c>
      <c r="O2760" t="n">
        <v>0</v>
      </c>
      <c r="P2760" t="n">
        <v>0</v>
      </c>
      <c r="Q2760" t="n">
        <v>0</v>
      </c>
      <c r="R2760" s="2" t="inlineStr"/>
    </row>
    <row r="2761" ht="15" customHeight="1">
      <c r="A2761" t="inlineStr">
        <is>
          <t>A 20781-2020</t>
        </is>
      </c>
      <c r="B2761" s="1" t="n">
        <v>43949</v>
      </c>
      <c r="C2761" s="1" t="n">
        <v>45182</v>
      </c>
      <c r="D2761" t="inlineStr">
        <is>
          <t>JÄMTLANDS LÄN</t>
        </is>
      </c>
      <c r="E2761" t="inlineStr">
        <is>
          <t>HÄRJEDALEN</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20815-2020</t>
        </is>
      </c>
      <c r="B2762" s="1" t="n">
        <v>43949</v>
      </c>
      <c r="C2762" s="1" t="n">
        <v>45182</v>
      </c>
      <c r="D2762" t="inlineStr">
        <is>
          <t>JÄMTLANDS LÄN</t>
        </is>
      </c>
      <c r="E2762" t="inlineStr">
        <is>
          <t>RAGUNDA</t>
        </is>
      </c>
      <c r="F2762" t="inlineStr">
        <is>
          <t>SCA</t>
        </is>
      </c>
      <c r="G2762" t="n">
        <v>0.6</v>
      </c>
      <c r="H2762" t="n">
        <v>0</v>
      </c>
      <c r="I2762" t="n">
        <v>0</v>
      </c>
      <c r="J2762" t="n">
        <v>0</v>
      </c>
      <c r="K2762" t="n">
        <v>0</v>
      </c>
      <c r="L2762" t="n">
        <v>0</v>
      </c>
      <c r="M2762" t="n">
        <v>0</v>
      </c>
      <c r="N2762" t="n">
        <v>0</v>
      </c>
      <c r="O2762" t="n">
        <v>0</v>
      </c>
      <c r="P2762" t="n">
        <v>0</v>
      </c>
      <c r="Q2762" t="n">
        <v>0</v>
      </c>
      <c r="R2762" s="2" t="inlineStr"/>
    </row>
    <row r="2763" ht="15" customHeight="1">
      <c r="A2763" t="inlineStr">
        <is>
          <t>A 20816-2020</t>
        </is>
      </c>
      <c r="B2763" s="1" t="n">
        <v>43949</v>
      </c>
      <c r="C2763" s="1" t="n">
        <v>45182</v>
      </c>
      <c r="D2763" t="inlineStr">
        <is>
          <t>JÄMTLANDS LÄN</t>
        </is>
      </c>
      <c r="E2763" t="inlineStr">
        <is>
          <t>STRÖMSUND</t>
        </is>
      </c>
      <c r="F2763" t="inlineStr">
        <is>
          <t>SCA</t>
        </is>
      </c>
      <c r="G2763" t="n">
        <v>4</v>
      </c>
      <c r="H2763" t="n">
        <v>0</v>
      </c>
      <c r="I2763" t="n">
        <v>0</v>
      </c>
      <c r="J2763" t="n">
        <v>0</v>
      </c>
      <c r="K2763" t="n">
        <v>0</v>
      </c>
      <c r="L2763" t="n">
        <v>0</v>
      </c>
      <c r="M2763" t="n">
        <v>0</v>
      </c>
      <c r="N2763" t="n">
        <v>0</v>
      </c>
      <c r="O2763" t="n">
        <v>0</v>
      </c>
      <c r="P2763" t="n">
        <v>0</v>
      </c>
      <c r="Q2763" t="n">
        <v>0</v>
      </c>
      <c r="R2763" s="2" t="inlineStr"/>
    </row>
    <row r="2764" ht="15" customHeight="1">
      <c r="A2764" t="inlineStr">
        <is>
          <t>A 20745-2020</t>
        </is>
      </c>
      <c r="B2764" s="1" t="n">
        <v>43949</v>
      </c>
      <c r="C2764" s="1" t="n">
        <v>45182</v>
      </c>
      <c r="D2764" t="inlineStr">
        <is>
          <t>JÄMTLANDS LÄN</t>
        </is>
      </c>
      <c r="E2764" t="inlineStr">
        <is>
          <t>BERG</t>
        </is>
      </c>
      <c r="G2764" t="n">
        <v>9.1</v>
      </c>
      <c r="H2764" t="n">
        <v>0</v>
      </c>
      <c r="I2764" t="n">
        <v>0</v>
      </c>
      <c r="J2764" t="n">
        <v>0</v>
      </c>
      <c r="K2764" t="n">
        <v>0</v>
      </c>
      <c r="L2764" t="n">
        <v>0</v>
      </c>
      <c r="M2764" t="n">
        <v>0</v>
      </c>
      <c r="N2764" t="n">
        <v>0</v>
      </c>
      <c r="O2764" t="n">
        <v>0</v>
      </c>
      <c r="P2764" t="n">
        <v>0</v>
      </c>
      <c r="Q2764" t="n">
        <v>0</v>
      </c>
      <c r="R2764" s="2" t="inlineStr"/>
    </row>
    <row r="2765" ht="15" customHeight="1">
      <c r="A2765" t="inlineStr">
        <is>
          <t>A 21144-2020</t>
        </is>
      </c>
      <c r="B2765" s="1" t="n">
        <v>43951</v>
      </c>
      <c r="C2765" s="1" t="n">
        <v>45182</v>
      </c>
      <c r="D2765" t="inlineStr">
        <is>
          <t>JÄMTLANDS LÄN</t>
        </is>
      </c>
      <c r="E2765" t="inlineStr">
        <is>
          <t>KROKOM</t>
        </is>
      </c>
      <c r="G2765" t="n">
        <v>2.7</v>
      </c>
      <c r="H2765" t="n">
        <v>0</v>
      </c>
      <c r="I2765" t="n">
        <v>0</v>
      </c>
      <c r="J2765" t="n">
        <v>0</v>
      </c>
      <c r="K2765" t="n">
        <v>0</v>
      </c>
      <c r="L2765" t="n">
        <v>0</v>
      </c>
      <c r="M2765" t="n">
        <v>0</v>
      </c>
      <c r="N2765" t="n">
        <v>0</v>
      </c>
      <c r="O2765" t="n">
        <v>0</v>
      </c>
      <c r="P2765" t="n">
        <v>0</v>
      </c>
      <c r="Q2765" t="n">
        <v>0</v>
      </c>
      <c r="R2765" s="2" t="inlineStr"/>
    </row>
    <row r="2766" ht="15" customHeight="1">
      <c r="A2766" t="inlineStr">
        <is>
          <t>A 21106-2020</t>
        </is>
      </c>
      <c r="B2766" s="1" t="n">
        <v>43951</v>
      </c>
      <c r="C2766" s="1" t="n">
        <v>45182</v>
      </c>
      <c r="D2766" t="inlineStr">
        <is>
          <t>JÄMTLANDS LÄN</t>
        </is>
      </c>
      <c r="E2766" t="inlineStr">
        <is>
          <t>KROKOM</t>
        </is>
      </c>
      <c r="G2766" t="n">
        <v>17.7</v>
      </c>
      <c r="H2766" t="n">
        <v>0</v>
      </c>
      <c r="I2766" t="n">
        <v>0</v>
      </c>
      <c r="J2766" t="n">
        <v>0</v>
      </c>
      <c r="K2766" t="n">
        <v>0</v>
      </c>
      <c r="L2766" t="n">
        <v>0</v>
      </c>
      <c r="M2766" t="n">
        <v>0</v>
      </c>
      <c r="N2766" t="n">
        <v>0</v>
      </c>
      <c r="O2766" t="n">
        <v>0</v>
      </c>
      <c r="P2766" t="n">
        <v>0</v>
      </c>
      <c r="Q2766" t="n">
        <v>0</v>
      </c>
      <c r="R2766" s="2" t="inlineStr"/>
    </row>
    <row r="2767" ht="15" customHeight="1">
      <c r="A2767" t="inlineStr">
        <is>
          <t>A 21172-2020</t>
        </is>
      </c>
      <c r="B2767" s="1" t="n">
        <v>43951</v>
      </c>
      <c r="C2767" s="1" t="n">
        <v>45182</v>
      </c>
      <c r="D2767" t="inlineStr">
        <is>
          <t>JÄMTLANDS LÄN</t>
        </is>
      </c>
      <c r="E2767" t="inlineStr">
        <is>
          <t>RAGUNDA</t>
        </is>
      </c>
      <c r="G2767" t="n">
        <v>3.6</v>
      </c>
      <c r="H2767" t="n">
        <v>0</v>
      </c>
      <c r="I2767" t="n">
        <v>0</v>
      </c>
      <c r="J2767" t="n">
        <v>0</v>
      </c>
      <c r="K2767" t="n">
        <v>0</v>
      </c>
      <c r="L2767" t="n">
        <v>0</v>
      </c>
      <c r="M2767" t="n">
        <v>0</v>
      </c>
      <c r="N2767" t="n">
        <v>0</v>
      </c>
      <c r="O2767" t="n">
        <v>0</v>
      </c>
      <c r="P2767" t="n">
        <v>0</v>
      </c>
      <c r="Q2767" t="n">
        <v>0</v>
      </c>
      <c r="R2767" s="2" t="inlineStr"/>
    </row>
    <row r="2768" ht="15" customHeight="1">
      <c r="A2768" t="inlineStr">
        <is>
          <t>A 21416-2020</t>
        </is>
      </c>
      <c r="B2768" s="1" t="n">
        <v>43955</v>
      </c>
      <c r="C2768" s="1" t="n">
        <v>45182</v>
      </c>
      <c r="D2768" t="inlineStr">
        <is>
          <t>JÄMTLANDS LÄN</t>
        </is>
      </c>
      <c r="E2768" t="inlineStr">
        <is>
          <t>RAGUNDA</t>
        </is>
      </c>
      <c r="F2768" t="inlineStr">
        <is>
          <t>SCA</t>
        </is>
      </c>
      <c r="G2768" t="n">
        <v>2.4</v>
      </c>
      <c r="H2768" t="n">
        <v>0</v>
      </c>
      <c r="I2768" t="n">
        <v>0</v>
      </c>
      <c r="J2768" t="n">
        <v>0</v>
      </c>
      <c r="K2768" t="n">
        <v>0</v>
      </c>
      <c r="L2768" t="n">
        <v>0</v>
      </c>
      <c r="M2768" t="n">
        <v>0</v>
      </c>
      <c r="N2768" t="n">
        <v>0</v>
      </c>
      <c r="O2768" t="n">
        <v>0</v>
      </c>
      <c r="P2768" t="n">
        <v>0</v>
      </c>
      <c r="Q2768" t="n">
        <v>0</v>
      </c>
      <c r="R2768" s="2" t="inlineStr"/>
    </row>
    <row r="2769" ht="15" customHeight="1">
      <c r="A2769" t="inlineStr">
        <is>
          <t>A 21443-2020</t>
        </is>
      </c>
      <c r="B2769" s="1" t="n">
        <v>43955</v>
      </c>
      <c r="C2769" s="1" t="n">
        <v>45182</v>
      </c>
      <c r="D2769" t="inlineStr">
        <is>
          <t>JÄMTLANDS LÄN</t>
        </is>
      </c>
      <c r="E2769" t="inlineStr">
        <is>
          <t>KROKOM</t>
        </is>
      </c>
      <c r="G2769" t="n">
        <v>7.7</v>
      </c>
      <c r="H2769" t="n">
        <v>0</v>
      </c>
      <c r="I2769" t="n">
        <v>0</v>
      </c>
      <c r="J2769" t="n">
        <v>0</v>
      </c>
      <c r="K2769" t="n">
        <v>0</v>
      </c>
      <c r="L2769" t="n">
        <v>0</v>
      </c>
      <c r="M2769" t="n">
        <v>0</v>
      </c>
      <c r="N2769" t="n">
        <v>0</v>
      </c>
      <c r="O2769" t="n">
        <v>0</v>
      </c>
      <c r="P2769" t="n">
        <v>0</v>
      </c>
      <c r="Q2769" t="n">
        <v>0</v>
      </c>
      <c r="R2769" s="2" t="inlineStr"/>
    </row>
    <row r="2770" ht="15" customHeight="1">
      <c r="A2770" t="inlineStr">
        <is>
          <t>A 21420-2020</t>
        </is>
      </c>
      <c r="B2770" s="1" t="n">
        <v>43955</v>
      </c>
      <c r="C2770" s="1" t="n">
        <v>45182</v>
      </c>
      <c r="D2770" t="inlineStr">
        <is>
          <t>JÄMTLANDS LÄN</t>
        </is>
      </c>
      <c r="E2770" t="inlineStr">
        <is>
          <t>RAGUNDA</t>
        </is>
      </c>
      <c r="F2770" t="inlineStr">
        <is>
          <t>SCA</t>
        </is>
      </c>
      <c r="G2770" t="n">
        <v>3.3</v>
      </c>
      <c r="H2770" t="n">
        <v>0</v>
      </c>
      <c r="I2770" t="n">
        <v>0</v>
      </c>
      <c r="J2770" t="n">
        <v>0</v>
      </c>
      <c r="K2770" t="n">
        <v>0</v>
      </c>
      <c r="L2770" t="n">
        <v>0</v>
      </c>
      <c r="M2770" t="n">
        <v>0</v>
      </c>
      <c r="N2770" t="n">
        <v>0</v>
      </c>
      <c r="O2770" t="n">
        <v>0</v>
      </c>
      <c r="P2770" t="n">
        <v>0</v>
      </c>
      <c r="Q2770" t="n">
        <v>0</v>
      </c>
      <c r="R2770" s="2" t="inlineStr"/>
    </row>
    <row r="2771" ht="15" customHeight="1">
      <c r="A2771" t="inlineStr">
        <is>
          <t>A 21426-2020</t>
        </is>
      </c>
      <c r="B2771" s="1" t="n">
        <v>43955</v>
      </c>
      <c r="C2771" s="1" t="n">
        <v>45182</v>
      </c>
      <c r="D2771" t="inlineStr">
        <is>
          <t>JÄMTLANDS LÄN</t>
        </is>
      </c>
      <c r="E2771" t="inlineStr">
        <is>
          <t>BRÄCKE</t>
        </is>
      </c>
      <c r="F2771" t="inlineStr">
        <is>
          <t>SCA</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21939-2020</t>
        </is>
      </c>
      <c r="B2772" s="1" t="n">
        <v>43955</v>
      </c>
      <c r="C2772" s="1" t="n">
        <v>45182</v>
      </c>
      <c r="D2772" t="inlineStr">
        <is>
          <t>JÄMTLANDS LÄN</t>
        </is>
      </c>
      <c r="E2772" t="inlineStr">
        <is>
          <t>STRÖMSUND</t>
        </is>
      </c>
      <c r="G2772" t="n">
        <v>4.5</v>
      </c>
      <c r="H2772" t="n">
        <v>0</v>
      </c>
      <c r="I2772" t="n">
        <v>0</v>
      </c>
      <c r="J2772" t="n">
        <v>0</v>
      </c>
      <c r="K2772" t="n">
        <v>0</v>
      </c>
      <c r="L2772" t="n">
        <v>0</v>
      </c>
      <c r="M2772" t="n">
        <v>0</v>
      </c>
      <c r="N2772" t="n">
        <v>0</v>
      </c>
      <c r="O2772" t="n">
        <v>0</v>
      </c>
      <c r="P2772" t="n">
        <v>0</v>
      </c>
      <c r="Q2772" t="n">
        <v>0</v>
      </c>
      <c r="R2772" s="2" t="inlineStr"/>
    </row>
    <row r="2773" ht="15" customHeight="1">
      <c r="A2773" t="inlineStr">
        <is>
          <t>A 21418-2020</t>
        </is>
      </c>
      <c r="B2773" s="1" t="n">
        <v>43955</v>
      </c>
      <c r="C2773" s="1" t="n">
        <v>45182</v>
      </c>
      <c r="D2773" t="inlineStr">
        <is>
          <t>JÄMTLANDS LÄN</t>
        </is>
      </c>
      <c r="E2773" t="inlineStr">
        <is>
          <t>RAGUNDA</t>
        </is>
      </c>
      <c r="F2773" t="inlineStr">
        <is>
          <t>SCA</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21419-2020</t>
        </is>
      </c>
      <c r="B2774" s="1" t="n">
        <v>43955</v>
      </c>
      <c r="C2774" s="1" t="n">
        <v>45182</v>
      </c>
      <c r="D2774" t="inlineStr">
        <is>
          <t>JÄMTLANDS LÄN</t>
        </is>
      </c>
      <c r="E2774" t="inlineStr">
        <is>
          <t>RAGUNDA</t>
        </is>
      </c>
      <c r="F2774" t="inlineStr">
        <is>
          <t>SCA</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21425-2020</t>
        </is>
      </c>
      <c r="B2775" s="1" t="n">
        <v>43955</v>
      </c>
      <c r="C2775" s="1" t="n">
        <v>45182</v>
      </c>
      <c r="D2775" t="inlineStr">
        <is>
          <t>JÄMTLANDS LÄN</t>
        </is>
      </c>
      <c r="E2775" t="inlineStr">
        <is>
          <t>BRÄCKE</t>
        </is>
      </c>
      <c r="F2775" t="inlineStr">
        <is>
          <t>SCA</t>
        </is>
      </c>
      <c r="G2775" t="n">
        <v>2.7</v>
      </c>
      <c r="H2775" t="n">
        <v>0</v>
      </c>
      <c r="I2775" t="n">
        <v>0</v>
      </c>
      <c r="J2775" t="n">
        <v>0</v>
      </c>
      <c r="K2775" t="n">
        <v>0</v>
      </c>
      <c r="L2775" t="n">
        <v>0</v>
      </c>
      <c r="M2775" t="n">
        <v>0</v>
      </c>
      <c r="N2775" t="n">
        <v>0</v>
      </c>
      <c r="O2775" t="n">
        <v>0</v>
      </c>
      <c r="P2775" t="n">
        <v>0</v>
      </c>
      <c r="Q2775" t="n">
        <v>0</v>
      </c>
      <c r="R2775" s="2" t="inlineStr"/>
    </row>
    <row r="2776" ht="15" customHeight="1">
      <c r="A2776" t="inlineStr">
        <is>
          <t>A 21448-2020</t>
        </is>
      </c>
      <c r="B2776" s="1" t="n">
        <v>43956</v>
      </c>
      <c r="C2776" s="1" t="n">
        <v>45182</v>
      </c>
      <c r="D2776" t="inlineStr">
        <is>
          <t>JÄMTLANDS LÄN</t>
        </is>
      </c>
      <c r="E2776" t="inlineStr">
        <is>
          <t>ÅRE</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21537-2020</t>
        </is>
      </c>
      <c r="B2777" s="1" t="n">
        <v>43956</v>
      </c>
      <c r="C2777" s="1" t="n">
        <v>45182</v>
      </c>
      <c r="D2777" t="inlineStr">
        <is>
          <t>JÄMTLANDS LÄN</t>
        </is>
      </c>
      <c r="E2777" t="inlineStr">
        <is>
          <t>HÄRJEDALEN</t>
        </is>
      </c>
      <c r="G2777" t="n">
        <v>4.3</v>
      </c>
      <c r="H2777" t="n">
        <v>0</v>
      </c>
      <c r="I2777" t="n">
        <v>0</v>
      </c>
      <c r="J2777" t="n">
        <v>0</v>
      </c>
      <c r="K2777" t="n">
        <v>0</v>
      </c>
      <c r="L2777" t="n">
        <v>0</v>
      </c>
      <c r="M2777" t="n">
        <v>0</v>
      </c>
      <c r="N2777" t="n">
        <v>0</v>
      </c>
      <c r="O2777" t="n">
        <v>0</v>
      </c>
      <c r="P2777" t="n">
        <v>0</v>
      </c>
      <c r="Q2777" t="n">
        <v>0</v>
      </c>
      <c r="R2777" s="2" t="inlineStr"/>
    </row>
    <row r="2778" ht="15" customHeight="1">
      <c r="A2778" t="inlineStr">
        <is>
          <t>A 21593-2020</t>
        </is>
      </c>
      <c r="B2778" s="1" t="n">
        <v>43956</v>
      </c>
      <c r="C2778" s="1" t="n">
        <v>45182</v>
      </c>
      <c r="D2778" t="inlineStr">
        <is>
          <t>JÄMTLANDS LÄN</t>
        </is>
      </c>
      <c r="E2778" t="inlineStr">
        <is>
          <t>RAGUNDA</t>
        </is>
      </c>
      <c r="F2778" t="inlineStr">
        <is>
          <t>SCA</t>
        </is>
      </c>
      <c r="G2778" t="n">
        <v>5.9</v>
      </c>
      <c r="H2778" t="n">
        <v>0</v>
      </c>
      <c r="I2778" t="n">
        <v>0</v>
      </c>
      <c r="J2778" t="n">
        <v>0</v>
      </c>
      <c r="K2778" t="n">
        <v>0</v>
      </c>
      <c r="L2778" t="n">
        <v>0</v>
      </c>
      <c r="M2778" t="n">
        <v>0</v>
      </c>
      <c r="N2778" t="n">
        <v>0</v>
      </c>
      <c r="O2778" t="n">
        <v>0</v>
      </c>
      <c r="P2778" t="n">
        <v>0</v>
      </c>
      <c r="Q2778" t="n">
        <v>0</v>
      </c>
      <c r="R2778" s="2" t="inlineStr"/>
    </row>
    <row r="2779" ht="15" customHeight="1">
      <c r="A2779" t="inlineStr">
        <is>
          <t>A 21681-2020</t>
        </is>
      </c>
      <c r="B2779" s="1" t="n">
        <v>43957</v>
      </c>
      <c r="C2779" s="1" t="n">
        <v>45182</v>
      </c>
      <c r="D2779" t="inlineStr">
        <is>
          <t>JÄMTLANDS LÄN</t>
        </is>
      </c>
      <c r="E2779" t="inlineStr">
        <is>
          <t>RAGUNDA</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21771-2020</t>
        </is>
      </c>
      <c r="B2780" s="1" t="n">
        <v>43957</v>
      </c>
      <c r="C2780" s="1" t="n">
        <v>45182</v>
      </c>
      <c r="D2780" t="inlineStr">
        <is>
          <t>JÄMTLANDS LÄN</t>
        </is>
      </c>
      <c r="E2780" t="inlineStr">
        <is>
          <t>STRÖMSUND</t>
        </is>
      </c>
      <c r="F2780" t="inlineStr">
        <is>
          <t>SCA</t>
        </is>
      </c>
      <c r="G2780" t="n">
        <v>2</v>
      </c>
      <c r="H2780" t="n">
        <v>0</v>
      </c>
      <c r="I2780" t="n">
        <v>0</v>
      </c>
      <c r="J2780" t="n">
        <v>0</v>
      </c>
      <c r="K2780" t="n">
        <v>0</v>
      </c>
      <c r="L2780" t="n">
        <v>0</v>
      </c>
      <c r="M2780" t="n">
        <v>0</v>
      </c>
      <c r="N2780" t="n">
        <v>0</v>
      </c>
      <c r="O2780" t="n">
        <v>0</v>
      </c>
      <c r="P2780" t="n">
        <v>0</v>
      </c>
      <c r="Q2780" t="n">
        <v>0</v>
      </c>
      <c r="R2780" s="2" t="inlineStr"/>
    </row>
    <row r="2781" ht="15" customHeight="1">
      <c r="A2781" t="inlineStr">
        <is>
          <t>A 21773-2020</t>
        </is>
      </c>
      <c r="B2781" s="1" t="n">
        <v>43957</v>
      </c>
      <c r="C2781" s="1" t="n">
        <v>45182</v>
      </c>
      <c r="D2781" t="inlineStr">
        <is>
          <t>JÄMTLANDS LÄN</t>
        </is>
      </c>
      <c r="E2781" t="inlineStr">
        <is>
          <t>STRÖMSUND</t>
        </is>
      </c>
      <c r="F2781" t="inlineStr">
        <is>
          <t>SCA</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21971-2020</t>
        </is>
      </c>
      <c r="B2782" s="1" t="n">
        <v>43958</v>
      </c>
      <c r="C2782" s="1" t="n">
        <v>45182</v>
      </c>
      <c r="D2782" t="inlineStr">
        <is>
          <t>JÄMTLANDS LÄN</t>
        </is>
      </c>
      <c r="E2782" t="inlineStr">
        <is>
          <t>STRÖMSUND</t>
        </is>
      </c>
      <c r="F2782" t="inlineStr">
        <is>
          <t>SCA</t>
        </is>
      </c>
      <c r="G2782" t="n">
        <v>8.800000000000001</v>
      </c>
      <c r="H2782" t="n">
        <v>0</v>
      </c>
      <c r="I2782" t="n">
        <v>0</v>
      </c>
      <c r="J2782" t="n">
        <v>0</v>
      </c>
      <c r="K2782" t="n">
        <v>0</v>
      </c>
      <c r="L2782" t="n">
        <v>0</v>
      </c>
      <c r="M2782" t="n">
        <v>0</v>
      </c>
      <c r="N2782" t="n">
        <v>0</v>
      </c>
      <c r="O2782" t="n">
        <v>0</v>
      </c>
      <c r="P2782" t="n">
        <v>0</v>
      </c>
      <c r="Q2782" t="n">
        <v>0</v>
      </c>
      <c r="R2782" s="2" t="inlineStr"/>
    </row>
    <row r="2783" ht="15" customHeight="1">
      <c r="A2783" t="inlineStr">
        <is>
          <t>A 22092-2020</t>
        </is>
      </c>
      <c r="B2783" s="1" t="n">
        <v>43959</v>
      </c>
      <c r="C2783" s="1" t="n">
        <v>45182</v>
      </c>
      <c r="D2783" t="inlineStr">
        <is>
          <t>JÄMTLANDS LÄN</t>
        </is>
      </c>
      <c r="E2783" t="inlineStr">
        <is>
          <t>STRÖMSUND</t>
        </is>
      </c>
      <c r="F2783" t="inlineStr">
        <is>
          <t>SCA</t>
        </is>
      </c>
      <c r="G2783" t="n">
        <v>4.3</v>
      </c>
      <c r="H2783" t="n">
        <v>0</v>
      </c>
      <c r="I2783" t="n">
        <v>0</v>
      </c>
      <c r="J2783" t="n">
        <v>0</v>
      </c>
      <c r="K2783" t="n">
        <v>0</v>
      </c>
      <c r="L2783" t="n">
        <v>0</v>
      </c>
      <c r="M2783" t="n">
        <v>0</v>
      </c>
      <c r="N2783" t="n">
        <v>0</v>
      </c>
      <c r="O2783" t="n">
        <v>0</v>
      </c>
      <c r="P2783" t="n">
        <v>0</v>
      </c>
      <c r="Q2783" t="n">
        <v>0</v>
      </c>
      <c r="R2783" s="2" t="inlineStr"/>
    </row>
    <row r="2784" ht="15" customHeight="1">
      <c r="A2784" t="inlineStr">
        <is>
          <t>A 22005-2020</t>
        </is>
      </c>
      <c r="B2784" s="1" t="n">
        <v>43959</v>
      </c>
      <c r="C2784" s="1" t="n">
        <v>45182</v>
      </c>
      <c r="D2784" t="inlineStr">
        <is>
          <t>JÄMTLANDS LÄN</t>
        </is>
      </c>
      <c r="E2784" t="inlineStr">
        <is>
          <t>KROKOM</t>
        </is>
      </c>
      <c r="G2784" t="n">
        <v>3.5</v>
      </c>
      <c r="H2784" t="n">
        <v>0</v>
      </c>
      <c r="I2784" t="n">
        <v>0</v>
      </c>
      <c r="J2784" t="n">
        <v>0</v>
      </c>
      <c r="K2784" t="n">
        <v>0</v>
      </c>
      <c r="L2784" t="n">
        <v>0</v>
      </c>
      <c r="M2784" t="n">
        <v>0</v>
      </c>
      <c r="N2784" t="n">
        <v>0</v>
      </c>
      <c r="O2784" t="n">
        <v>0</v>
      </c>
      <c r="P2784" t="n">
        <v>0</v>
      </c>
      <c r="Q2784" t="n">
        <v>0</v>
      </c>
      <c r="R2784" s="2" t="inlineStr"/>
    </row>
    <row r="2785" ht="15" customHeight="1">
      <c r="A2785" t="inlineStr">
        <is>
          <t>A 22081-2020</t>
        </is>
      </c>
      <c r="B2785" s="1" t="n">
        <v>43959</v>
      </c>
      <c r="C2785" s="1" t="n">
        <v>45182</v>
      </c>
      <c r="D2785" t="inlineStr">
        <is>
          <t>JÄMTLANDS LÄN</t>
        </is>
      </c>
      <c r="E2785" t="inlineStr">
        <is>
          <t>BRÄCKE</t>
        </is>
      </c>
      <c r="F2785" t="inlineStr">
        <is>
          <t>Kyrkan</t>
        </is>
      </c>
      <c r="G2785" t="n">
        <v>2.4</v>
      </c>
      <c r="H2785" t="n">
        <v>0</v>
      </c>
      <c r="I2785" t="n">
        <v>0</v>
      </c>
      <c r="J2785" t="n">
        <v>0</v>
      </c>
      <c r="K2785" t="n">
        <v>0</v>
      </c>
      <c r="L2785" t="n">
        <v>0</v>
      </c>
      <c r="M2785" t="n">
        <v>0</v>
      </c>
      <c r="N2785" t="n">
        <v>0</v>
      </c>
      <c r="O2785" t="n">
        <v>0</v>
      </c>
      <c r="P2785" t="n">
        <v>0</v>
      </c>
      <c r="Q2785" t="n">
        <v>0</v>
      </c>
      <c r="R2785" s="2" t="inlineStr"/>
    </row>
    <row r="2786" ht="15" customHeight="1">
      <c r="A2786" t="inlineStr">
        <is>
          <t>A 22405-2020</t>
        </is>
      </c>
      <c r="B2786" s="1" t="n">
        <v>43962</v>
      </c>
      <c r="C2786" s="1" t="n">
        <v>45182</v>
      </c>
      <c r="D2786" t="inlineStr">
        <is>
          <t>JÄMTLANDS LÄN</t>
        </is>
      </c>
      <c r="E2786" t="inlineStr">
        <is>
          <t>BRÄCKE</t>
        </is>
      </c>
      <c r="F2786" t="inlineStr">
        <is>
          <t>SCA</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22699-2020</t>
        </is>
      </c>
      <c r="B2787" s="1" t="n">
        <v>43963</v>
      </c>
      <c r="C2787" s="1" t="n">
        <v>45182</v>
      </c>
      <c r="D2787" t="inlineStr">
        <is>
          <t>JÄMTLANDS LÄN</t>
        </is>
      </c>
      <c r="E2787" t="inlineStr">
        <is>
          <t>STRÖMSUND</t>
        </is>
      </c>
      <c r="F2787" t="inlineStr">
        <is>
          <t>SCA</t>
        </is>
      </c>
      <c r="G2787" t="n">
        <v>7.7</v>
      </c>
      <c r="H2787" t="n">
        <v>0</v>
      </c>
      <c r="I2787" t="n">
        <v>0</v>
      </c>
      <c r="J2787" t="n">
        <v>0</v>
      </c>
      <c r="K2787" t="n">
        <v>0</v>
      </c>
      <c r="L2787" t="n">
        <v>0</v>
      </c>
      <c r="M2787" t="n">
        <v>0</v>
      </c>
      <c r="N2787" t="n">
        <v>0</v>
      </c>
      <c r="O2787" t="n">
        <v>0</v>
      </c>
      <c r="P2787" t="n">
        <v>0</v>
      </c>
      <c r="Q2787" t="n">
        <v>0</v>
      </c>
      <c r="R2787" s="2" t="inlineStr"/>
    </row>
    <row r="2788" ht="15" customHeight="1">
      <c r="A2788" t="inlineStr">
        <is>
          <t>A 23082-2020</t>
        </is>
      </c>
      <c r="B2788" s="1" t="n">
        <v>43964</v>
      </c>
      <c r="C2788" s="1" t="n">
        <v>45182</v>
      </c>
      <c r="D2788" t="inlineStr">
        <is>
          <t>JÄMTLANDS LÄN</t>
        </is>
      </c>
      <c r="E2788" t="inlineStr">
        <is>
          <t>HÄRJEDALEN</t>
        </is>
      </c>
      <c r="G2788" t="n">
        <v>2.1</v>
      </c>
      <c r="H2788" t="n">
        <v>0</v>
      </c>
      <c r="I2788" t="n">
        <v>0</v>
      </c>
      <c r="J2788" t="n">
        <v>0</v>
      </c>
      <c r="K2788" t="n">
        <v>0</v>
      </c>
      <c r="L2788" t="n">
        <v>0</v>
      </c>
      <c r="M2788" t="n">
        <v>0</v>
      </c>
      <c r="N2788" t="n">
        <v>0</v>
      </c>
      <c r="O2788" t="n">
        <v>0</v>
      </c>
      <c r="P2788" t="n">
        <v>0</v>
      </c>
      <c r="Q2788" t="n">
        <v>0</v>
      </c>
      <c r="R2788" s="2" t="inlineStr"/>
    </row>
    <row r="2789" ht="15" customHeight="1">
      <c r="A2789" t="inlineStr">
        <is>
          <t>A 22906-2020</t>
        </is>
      </c>
      <c r="B2789" s="1" t="n">
        <v>43964</v>
      </c>
      <c r="C2789" s="1" t="n">
        <v>45182</v>
      </c>
      <c r="D2789" t="inlineStr">
        <is>
          <t>JÄMTLANDS LÄN</t>
        </is>
      </c>
      <c r="E2789" t="inlineStr">
        <is>
          <t>STRÖMSUND</t>
        </is>
      </c>
      <c r="F2789" t="inlineStr">
        <is>
          <t>SCA</t>
        </is>
      </c>
      <c r="G2789" t="n">
        <v>15</v>
      </c>
      <c r="H2789" t="n">
        <v>0</v>
      </c>
      <c r="I2789" t="n">
        <v>0</v>
      </c>
      <c r="J2789" t="n">
        <v>0</v>
      </c>
      <c r="K2789" t="n">
        <v>0</v>
      </c>
      <c r="L2789" t="n">
        <v>0</v>
      </c>
      <c r="M2789" t="n">
        <v>0</v>
      </c>
      <c r="N2789" t="n">
        <v>0</v>
      </c>
      <c r="O2789" t="n">
        <v>0</v>
      </c>
      <c r="P2789" t="n">
        <v>0</v>
      </c>
      <c r="Q2789" t="n">
        <v>0</v>
      </c>
      <c r="R2789" s="2" t="inlineStr"/>
    </row>
    <row r="2790" ht="15" customHeight="1">
      <c r="A2790" t="inlineStr">
        <is>
          <t>A 22912-2020</t>
        </is>
      </c>
      <c r="B2790" s="1" t="n">
        <v>43964</v>
      </c>
      <c r="C2790" s="1" t="n">
        <v>45182</v>
      </c>
      <c r="D2790" t="inlineStr">
        <is>
          <t>JÄMTLANDS LÄN</t>
        </is>
      </c>
      <c r="E2790" t="inlineStr">
        <is>
          <t>STRÖMSUND</t>
        </is>
      </c>
      <c r="F2790" t="inlineStr">
        <is>
          <t>SCA</t>
        </is>
      </c>
      <c r="G2790" t="n">
        <v>8.800000000000001</v>
      </c>
      <c r="H2790" t="n">
        <v>0</v>
      </c>
      <c r="I2790" t="n">
        <v>0</v>
      </c>
      <c r="J2790" t="n">
        <v>0</v>
      </c>
      <c r="K2790" t="n">
        <v>0</v>
      </c>
      <c r="L2790" t="n">
        <v>0</v>
      </c>
      <c r="M2790" t="n">
        <v>0</v>
      </c>
      <c r="N2790" t="n">
        <v>0</v>
      </c>
      <c r="O2790" t="n">
        <v>0</v>
      </c>
      <c r="P2790" t="n">
        <v>0</v>
      </c>
      <c r="Q2790" t="n">
        <v>0</v>
      </c>
      <c r="R2790" s="2" t="inlineStr"/>
    </row>
    <row r="2791" ht="15" customHeight="1">
      <c r="A2791" t="inlineStr">
        <is>
          <t>A 22904-2020</t>
        </is>
      </c>
      <c r="B2791" s="1" t="n">
        <v>43964</v>
      </c>
      <c r="C2791" s="1" t="n">
        <v>45182</v>
      </c>
      <c r="D2791" t="inlineStr">
        <is>
          <t>JÄMTLANDS LÄN</t>
        </is>
      </c>
      <c r="E2791" t="inlineStr">
        <is>
          <t>STRÖMSUND</t>
        </is>
      </c>
      <c r="F2791" t="inlineStr">
        <is>
          <t>SCA</t>
        </is>
      </c>
      <c r="G2791" t="n">
        <v>3.2</v>
      </c>
      <c r="H2791" t="n">
        <v>0</v>
      </c>
      <c r="I2791" t="n">
        <v>0</v>
      </c>
      <c r="J2791" t="n">
        <v>0</v>
      </c>
      <c r="K2791" t="n">
        <v>0</v>
      </c>
      <c r="L2791" t="n">
        <v>0</v>
      </c>
      <c r="M2791" t="n">
        <v>0</v>
      </c>
      <c r="N2791" t="n">
        <v>0</v>
      </c>
      <c r="O2791" t="n">
        <v>0</v>
      </c>
      <c r="P2791" t="n">
        <v>0</v>
      </c>
      <c r="Q2791" t="n">
        <v>0</v>
      </c>
      <c r="R2791" s="2" t="inlineStr"/>
    </row>
    <row r="2792" ht="15" customHeight="1">
      <c r="A2792" t="inlineStr">
        <is>
          <t>A 22905-2020</t>
        </is>
      </c>
      <c r="B2792" s="1" t="n">
        <v>43964</v>
      </c>
      <c r="C2792" s="1" t="n">
        <v>45182</v>
      </c>
      <c r="D2792" t="inlineStr">
        <is>
          <t>JÄMTLANDS LÄN</t>
        </is>
      </c>
      <c r="E2792" t="inlineStr">
        <is>
          <t>STRÖMSUND</t>
        </is>
      </c>
      <c r="F2792" t="inlineStr">
        <is>
          <t>SCA</t>
        </is>
      </c>
      <c r="G2792" t="n">
        <v>5.3</v>
      </c>
      <c r="H2792" t="n">
        <v>0</v>
      </c>
      <c r="I2792" t="n">
        <v>0</v>
      </c>
      <c r="J2792" t="n">
        <v>0</v>
      </c>
      <c r="K2792" t="n">
        <v>0</v>
      </c>
      <c r="L2792" t="n">
        <v>0</v>
      </c>
      <c r="M2792" t="n">
        <v>0</v>
      </c>
      <c r="N2792" t="n">
        <v>0</v>
      </c>
      <c r="O2792" t="n">
        <v>0</v>
      </c>
      <c r="P2792" t="n">
        <v>0</v>
      </c>
      <c r="Q2792" t="n">
        <v>0</v>
      </c>
      <c r="R2792" s="2" t="inlineStr"/>
    </row>
    <row r="2793" ht="15" customHeight="1">
      <c r="A2793" t="inlineStr">
        <is>
          <t>A 22948-2020</t>
        </is>
      </c>
      <c r="B2793" s="1" t="n">
        <v>43965</v>
      </c>
      <c r="C2793" s="1" t="n">
        <v>45182</v>
      </c>
      <c r="D2793" t="inlineStr">
        <is>
          <t>JÄMTLANDS LÄN</t>
        </is>
      </c>
      <c r="E2793" t="inlineStr">
        <is>
          <t>RAGUNDA</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23174-2020</t>
        </is>
      </c>
      <c r="B2794" s="1" t="n">
        <v>43966</v>
      </c>
      <c r="C2794" s="1" t="n">
        <v>45182</v>
      </c>
      <c r="D2794" t="inlineStr">
        <is>
          <t>JÄMTLANDS LÄN</t>
        </is>
      </c>
      <c r="E2794" t="inlineStr">
        <is>
          <t>HÄRJEDALEN</t>
        </is>
      </c>
      <c r="G2794" t="n">
        <v>2.9</v>
      </c>
      <c r="H2794" t="n">
        <v>0</v>
      </c>
      <c r="I2794" t="n">
        <v>0</v>
      </c>
      <c r="J2794" t="n">
        <v>0</v>
      </c>
      <c r="K2794" t="n">
        <v>0</v>
      </c>
      <c r="L2794" t="n">
        <v>0</v>
      </c>
      <c r="M2794" t="n">
        <v>0</v>
      </c>
      <c r="N2794" t="n">
        <v>0</v>
      </c>
      <c r="O2794" t="n">
        <v>0</v>
      </c>
      <c r="P2794" t="n">
        <v>0</v>
      </c>
      <c r="Q2794" t="n">
        <v>0</v>
      </c>
      <c r="R2794" s="2" t="inlineStr"/>
    </row>
    <row r="2795" ht="15" customHeight="1">
      <c r="A2795" t="inlineStr">
        <is>
          <t>A 23310-2020</t>
        </is>
      </c>
      <c r="B2795" s="1" t="n">
        <v>43966</v>
      </c>
      <c r="C2795" s="1" t="n">
        <v>45182</v>
      </c>
      <c r="D2795" t="inlineStr">
        <is>
          <t>JÄMTLANDS LÄN</t>
        </is>
      </c>
      <c r="E2795" t="inlineStr">
        <is>
          <t>HÄRJEDALEN</t>
        </is>
      </c>
      <c r="G2795" t="n">
        <v>1.6</v>
      </c>
      <c r="H2795" t="n">
        <v>0</v>
      </c>
      <c r="I2795" t="n">
        <v>0</v>
      </c>
      <c r="J2795" t="n">
        <v>0</v>
      </c>
      <c r="K2795" t="n">
        <v>0</v>
      </c>
      <c r="L2795" t="n">
        <v>0</v>
      </c>
      <c r="M2795" t="n">
        <v>0</v>
      </c>
      <c r="N2795" t="n">
        <v>0</v>
      </c>
      <c r="O2795" t="n">
        <v>0</v>
      </c>
      <c r="P2795" t="n">
        <v>0</v>
      </c>
      <c r="Q2795" t="n">
        <v>0</v>
      </c>
      <c r="R2795" s="2" t="inlineStr"/>
    </row>
    <row r="2796" ht="15" customHeight="1">
      <c r="A2796" t="inlineStr">
        <is>
          <t>A 23355-2020</t>
        </is>
      </c>
      <c r="B2796" s="1" t="n">
        <v>43966</v>
      </c>
      <c r="C2796" s="1" t="n">
        <v>45182</v>
      </c>
      <c r="D2796" t="inlineStr">
        <is>
          <t>JÄMTLANDS LÄN</t>
        </is>
      </c>
      <c r="E2796" t="inlineStr">
        <is>
          <t>STRÖMSUND</t>
        </is>
      </c>
      <c r="F2796" t="inlineStr">
        <is>
          <t>SCA</t>
        </is>
      </c>
      <c r="G2796" t="n">
        <v>10.2</v>
      </c>
      <c r="H2796" t="n">
        <v>0</v>
      </c>
      <c r="I2796" t="n">
        <v>0</v>
      </c>
      <c r="J2796" t="n">
        <v>0</v>
      </c>
      <c r="K2796" t="n">
        <v>0</v>
      </c>
      <c r="L2796" t="n">
        <v>0</v>
      </c>
      <c r="M2796" t="n">
        <v>0</v>
      </c>
      <c r="N2796" t="n">
        <v>0</v>
      </c>
      <c r="O2796" t="n">
        <v>0</v>
      </c>
      <c r="P2796" t="n">
        <v>0</v>
      </c>
      <c r="Q2796" t="n">
        <v>0</v>
      </c>
      <c r="R2796" s="2" t="inlineStr"/>
    </row>
    <row r="2797" ht="15" customHeight="1">
      <c r="A2797" t="inlineStr">
        <is>
          <t>A 23490-2020</t>
        </is>
      </c>
      <c r="B2797" s="1" t="n">
        <v>43966</v>
      </c>
      <c r="C2797" s="1" t="n">
        <v>45182</v>
      </c>
      <c r="D2797" t="inlineStr">
        <is>
          <t>JÄMTLANDS LÄN</t>
        </is>
      </c>
      <c r="E2797" t="inlineStr">
        <is>
          <t>BERG</t>
        </is>
      </c>
      <c r="G2797" t="n">
        <v>8.6</v>
      </c>
      <c r="H2797" t="n">
        <v>0</v>
      </c>
      <c r="I2797" t="n">
        <v>0</v>
      </c>
      <c r="J2797" t="n">
        <v>0</v>
      </c>
      <c r="K2797" t="n">
        <v>0</v>
      </c>
      <c r="L2797" t="n">
        <v>0</v>
      </c>
      <c r="M2797" t="n">
        <v>0</v>
      </c>
      <c r="N2797" t="n">
        <v>0</v>
      </c>
      <c r="O2797" t="n">
        <v>0</v>
      </c>
      <c r="P2797" t="n">
        <v>0</v>
      </c>
      <c r="Q2797" t="n">
        <v>0</v>
      </c>
      <c r="R2797" s="2" t="inlineStr"/>
    </row>
    <row r="2798" ht="15" customHeight="1">
      <c r="A2798" t="inlineStr">
        <is>
          <t>A 23393-2020</t>
        </is>
      </c>
      <c r="B2798" s="1" t="n">
        <v>43968</v>
      </c>
      <c r="C2798" s="1" t="n">
        <v>45182</v>
      </c>
      <c r="D2798" t="inlineStr">
        <is>
          <t>JÄMTLANDS LÄN</t>
        </is>
      </c>
      <c r="E2798" t="inlineStr">
        <is>
          <t>ÅRE</t>
        </is>
      </c>
      <c r="G2798" t="n">
        <v>5</v>
      </c>
      <c r="H2798" t="n">
        <v>0</v>
      </c>
      <c r="I2798" t="n">
        <v>0</v>
      </c>
      <c r="J2798" t="n">
        <v>0</v>
      </c>
      <c r="K2798" t="n">
        <v>0</v>
      </c>
      <c r="L2798" t="n">
        <v>0</v>
      </c>
      <c r="M2798" t="n">
        <v>0</v>
      </c>
      <c r="N2798" t="n">
        <v>0</v>
      </c>
      <c r="O2798" t="n">
        <v>0</v>
      </c>
      <c r="P2798" t="n">
        <v>0</v>
      </c>
      <c r="Q2798" t="n">
        <v>0</v>
      </c>
      <c r="R2798" s="2" t="inlineStr"/>
    </row>
    <row r="2799" ht="15" customHeight="1">
      <c r="A2799" t="inlineStr">
        <is>
          <t>A 23633-2020</t>
        </is>
      </c>
      <c r="B2799" s="1" t="n">
        <v>43969</v>
      </c>
      <c r="C2799" s="1" t="n">
        <v>45182</v>
      </c>
      <c r="D2799" t="inlineStr">
        <is>
          <t>JÄMTLANDS LÄN</t>
        </is>
      </c>
      <c r="E2799" t="inlineStr">
        <is>
          <t>RAGUNDA</t>
        </is>
      </c>
      <c r="F2799" t="inlineStr">
        <is>
          <t>SCA</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23412-2020</t>
        </is>
      </c>
      <c r="B2800" s="1" t="n">
        <v>43969</v>
      </c>
      <c r="C2800" s="1" t="n">
        <v>45182</v>
      </c>
      <c r="D2800" t="inlineStr">
        <is>
          <t>JÄMTLANDS LÄN</t>
        </is>
      </c>
      <c r="E2800" t="inlineStr">
        <is>
          <t>STRÖMSUND</t>
        </is>
      </c>
      <c r="F2800" t="inlineStr">
        <is>
          <t>Holmen skog AB</t>
        </is>
      </c>
      <c r="G2800" t="n">
        <v>1.6</v>
      </c>
      <c r="H2800" t="n">
        <v>0</v>
      </c>
      <c r="I2800" t="n">
        <v>0</v>
      </c>
      <c r="J2800" t="n">
        <v>0</v>
      </c>
      <c r="K2800" t="n">
        <v>0</v>
      </c>
      <c r="L2800" t="n">
        <v>0</v>
      </c>
      <c r="M2800" t="n">
        <v>0</v>
      </c>
      <c r="N2800" t="n">
        <v>0</v>
      </c>
      <c r="O2800" t="n">
        <v>0</v>
      </c>
      <c r="P2800" t="n">
        <v>0</v>
      </c>
      <c r="Q2800" t="n">
        <v>0</v>
      </c>
      <c r="R2800" s="2" t="inlineStr"/>
    </row>
    <row r="2801" ht="15" customHeight="1">
      <c r="A2801" t="inlineStr">
        <is>
          <t>A 23445-2020</t>
        </is>
      </c>
      <c r="B2801" s="1" t="n">
        <v>43969</v>
      </c>
      <c r="C2801" s="1" t="n">
        <v>45182</v>
      </c>
      <c r="D2801" t="inlineStr">
        <is>
          <t>JÄMTLANDS LÄN</t>
        </is>
      </c>
      <c r="E2801" t="inlineStr">
        <is>
          <t>ÖSTERSUND</t>
        </is>
      </c>
      <c r="G2801" t="n">
        <v>0.9</v>
      </c>
      <c r="H2801" t="n">
        <v>0</v>
      </c>
      <c r="I2801" t="n">
        <v>0</v>
      </c>
      <c r="J2801" t="n">
        <v>0</v>
      </c>
      <c r="K2801" t="n">
        <v>0</v>
      </c>
      <c r="L2801" t="n">
        <v>0</v>
      </c>
      <c r="M2801" t="n">
        <v>0</v>
      </c>
      <c r="N2801" t="n">
        <v>0</v>
      </c>
      <c r="O2801" t="n">
        <v>0</v>
      </c>
      <c r="P2801" t="n">
        <v>0</v>
      </c>
      <c r="Q2801" t="n">
        <v>0</v>
      </c>
      <c r="R2801" s="2" t="inlineStr"/>
    </row>
    <row r="2802" ht="15" customHeight="1">
      <c r="A2802" t="inlineStr">
        <is>
          <t>A 23507-2020</t>
        </is>
      </c>
      <c r="B2802" s="1" t="n">
        <v>43969</v>
      </c>
      <c r="C2802" s="1" t="n">
        <v>45182</v>
      </c>
      <c r="D2802" t="inlineStr">
        <is>
          <t>JÄMTLANDS LÄN</t>
        </is>
      </c>
      <c r="E2802" t="inlineStr">
        <is>
          <t>ÖSTERSUND</t>
        </is>
      </c>
      <c r="G2802" t="n">
        <v>5.8</v>
      </c>
      <c r="H2802" t="n">
        <v>0</v>
      </c>
      <c r="I2802" t="n">
        <v>0</v>
      </c>
      <c r="J2802" t="n">
        <v>0</v>
      </c>
      <c r="K2802" t="n">
        <v>0</v>
      </c>
      <c r="L2802" t="n">
        <v>0</v>
      </c>
      <c r="M2802" t="n">
        <v>0</v>
      </c>
      <c r="N2802" t="n">
        <v>0</v>
      </c>
      <c r="O2802" t="n">
        <v>0</v>
      </c>
      <c r="P2802" t="n">
        <v>0</v>
      </c>
      <c r="Q2802" t="n">
        <v>0</v>
      </c>
      <c r="R2802" s="2" t="inlineStr"/>
    </row>
    <row r="2803" ht="15" customHeight="1">
      <c r="A2803" t="inlineStr">
        <is>
          <t>A 23560-2020</t>
        </is>
      </c>
      <c r="B2803" s="1" t="n">
        <v>43969</v>
      </c>
      <c r="C2803" s="1" t="n">
        <v>45182</v>
      </c>
      <c r="D2803" t="inlineStr">
        <is>
          <t>JÄMTLANDS LÄN</t>
        </is>
      </c>
      <c r="E2803" t="inlineStr">
        <is>
          <t>HÄRJEDALEN</t>
        </is>
      </c>
      <c r="G2803" t="n">
        <v>1.7</v>
      </c>
      <c r="H2803" t="n">
        <v>0</v>
      </c>
      <c r="I2803" t="n">
        <v>0</v>
      </c>
      <c r="J2803" t="n">
        <v>0</v>
      </c>
      <c r="K2803" t="n">
        <v>0</v>
      </c>
      <c r="L2803" t="n">
        <v>0</v>
      </c>
      <c r="M2803" t="n">
        <v>0</v>
      </c>
      <c r="N2803" t="n">
        <v>0</v>
      </c>
      <c r="O2803" t="n">
        <v>0</v>
      </c>
      <c r="P2803" t="n">
        <v>0</v>
      </c>
      <c r="Q2803" t="n">
        <v>0</v>
      </c>
      <c r="R2803" s="2" t="inlineStr"/>
    </row>
    <row r="2804" ht="15" customHeight="1">
      <c r="A2804" t="inlineStr">
        <is>
          <t>A 23647-2020</t>
        </is>
      </c>
      <c r="B2804" s="1" t="n">
        <v>43969</v>
      </c>
      <c r="C2804" s="1" t="n">
        <v>45182</v>
      </c>
      <c r="D2804" t="inlineStr">
        <is>
          <t>JÄMTLANDS LÄN</t>
        </is>
      </c>
      <c r="E2804" t="inlineStr">
        <is>
          <t>STRÖMSUND</t>
        </is>
      </c>
      <c r="F2804" t="inlineStr">
        <is>
          <t>SCA</t>
        </is>
      </c>
      <c r="G2804" t="n">
        <v>6.1</v>
      </c>
      <c r="H2804" t="n">
        <v>0</v>
      </c>
      <c r="I2804" t="n">
        <v>0</v>
      </c>
      <c r="J2804" t="n">
        <v>0</v>
      </c>
      <c r="K2804" t="n">
        <v>0</v>
      </c>
      <c r="L2804" t="n">
        <v>0</v>
      </c>
      <c r="M2804" t="n">
        <v>0</v>
      </c>
      <c r="N2804" t="n">
        <v>0</v>
      </c>
      <c r="O2804" t="n">
        <v>0</v>
      </c>
      <c r="P2804" t="n">
        <v>0</v>
      </c>
      <c r="Q2804" t="n">
        <v>0</v>
      </c>
      <c r="R2804" s="2" t="inlineStr"/>
    </row>
    <row r="2805" ht="15" customHeight="1">
      <c r="A2805" t="inlineStr">
        <is>
          <t>A 24259-2020</t>
        </is>
      </c>
      <c r="B2805" s="1" t="n">
        <v>43970</v>
      </c>
      <c r="C2805" s="1" t="n">
        <v>45182</v>
      </c>
      <c r="D2805" t="inlineStr">
        <is>
          <t>JÄMTLANDS LÄN</t>
        </is>
      </c>
      <c r="E2805" t="inlineStr">
        <is>
          <t>ÖSTERSUND</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24253-2020</t>
        </is>
      </c>
      <c r="B2806" s="1" t="n">
        <v>43970</v>
      </c>
      <c r="C2806" s="1" t="n">
        <v>45182</v>
      </c>
      <c r="D2806" t="inlineStr">
        <is>
          <t>JÄMTLANDS LÄN</t>
        </is>
      </c>
      <c r="E2806" t="inlineStr">
        <is>
          <t>ÖSTERSUND</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23836-2020</t>
        </is>
      </c>
      <c r="B2807" s="1" t="n">
        <v>43970</v>
      </c>
      <c r="C2807" s="1" t="n">
        <v>45182</v>
      </c>
      <c r="D2807" t="inlineStr">
        <is>
          <t>JÄMTLANDS LÄN</t>
        </is>
      </c>
      <c r="E2807" t="inlineStr">
        <is>
          <t>STRÖMSUND</t>
        </is>
      </c>
      <c r="F2807" t="inlineStr">
        <is>
          <t>SCA</t>
        </is>
      </c>
      <c r="G2807" t="n">
        <v>9.6</v>
      </c>
      <c r="H2807" t="n">
        <v>0</v>
      </c>
      <c r="I2807" t="n">
        <v>0</v>
      </c>
      <c r="J2807" t="n">
        <v>0</v>
      </c>
      <c r="K2807" t="n">
        <v>0</v>
      </c>
      <c r="L2807" t="n">
        <v>0</v>
      </c>
      <c r="M2807" t="n">
        <v>0</v>
      </c>
      <c r="N2807" t="n">
        <v>0</v>
      </c>
      <c r="O2807" t="n">
        <v>0</v>
      </c>
      <c r="P2807" t="n">
        <v>0</v>
      </c>
      <c r="Q2807" t="n">
        <v>0</v>
      </c>
      <c r="R2807" s="2" t="inlineStr"/>
    </row>
    <row r="2808" ht="15" customHeight="1">
      <c r="A2808" t="inlineStr">
        <is>
          <t>A 24335-2020</t>
        </is>
      </c>
      <c r="B2808" s="1" t="n">
        <v>43971</v>
      </c>
      <c r="C2808" s="1" t="n">
        <v>45182</v>
      </c>
      <c r="D2808" t="inlineStr">
        <is>
          <t>JÄMTLANDS LÄN</t>
        </is>
      </c>
      <c r="E2808" t="inlineStr">
        <is>
          <t>STRÖMSUND</t>
        </is>
      </c>
      <c r="G2808" t="n">
        <v>14.3</v>
      </c>
      <c r="H2808" t="n">
        <v>0</v>
      </c>
      <c r="I2808" t="n">
        <v>0</v>
      </c>
      <c r="J2808" t="n">
        <v>0</v>
      </c>
      <c r="K2808" t="n">
        <v>0</v>
      </c>
      <c r="L2808" t="n">
        <v>0</v>
      </c>
      <c r="M2808" t="n">
        <v>0</v>
      </c>
      <c r="N2808" t="n">
        <v>0</v>
      </c>
      <c r="O2808" t="n">
        <v>0</v>
      </c>
      <c r="P2808" t="n">
        <v>0</v>
      </c>
      <c r="Q2808" t="n">
        <v>0</v>
      </c>
      <c r="R2808" s="2" t="inlineStr"/>
    </row>
    <row r="2809" ht="15" customHeight="1">
      <c r="A2809" t="inlineStr">
        <is>
          <t>A 24032-2020</t>
        </is>
      </c>
      <c r="B2809" s="1" t="n">
        <v>43971</v>
      </c>
      <c r="C2809" s="1" t="n">
        <v>45182</v>
      </c>
      <c r="D2809" t="inlineStr">
        <is>
          <t>JÄMTLANDS LÄN</t>
        </is>
      </c>
      <c r="E2809" t="inlineStr">
        <is>
          <t>RAGUNDA</t>
        </is>
      </c>
      <c r="G2809" t="n">
        <v>6.9</v>
      </c>
      <c r="H2809" t="n">
        <v>0</v>
      </c>
      <c r="I2809" t="n">
        <v>0</v>
      </c>
      <c r="J2809" t="n">
        <v>0</v>
      </c>
      <c r="K2809" t="n">
        <v>0</v>
      </c>
      <c r="L2809" t="n">
        <v>0</v>
      </c>
      <c r="M2809" t="n">
        <v>0</v>
      </c>
      <c r="N2809" t="n">
        <v>0</v>
      </c>
      <c r="O2809" t="n">
        <v>0</v>
      </c>
      <c r="P2809" t="n">
        <v>0</v>
      </c>
      <c r="Q2809" t="n">
        <v>0</v>
      </c>
      <c r="R2809" s="2" t="inlineStr"/>
    </row>
    <row r="2810" ht="15" customHeight="1">
      <c r="A2810" t="inlineStr">
        <is>
          <t>A 24054-2020</t>
        </is>
      </c>
      <c r="B2810" s="1" t="n">
        <v>43971</v>
      </c>
      <c r="C2810" s="1" t="n">
        <v>45182</v>
      </c>
      <c r="D2810" t="inlineStr">
        <is>
          <t>JÄMTLANDS LÄN</t>
        </is>
      </c>
      <c r="E2810" t="inlineStr">
        <is>
          <t>STRÖMSUND</t>
        </is>
      </c>
      <c r="F2810" t="inlineStr">
        <is>
          <t>SCA</t>
        </is>
      </c>
      <c r="G2810" t="n">
        <v>3.8</v>
      </c>
      <c r="H2810" t="n">
        <v>0</v>
      </c>
      <c r="I2810" t="n">
        <v>0</v>
      </c>
      <c r="J2810" t="n">
        <v>0</v>
      </c>
      <c r="K2810" t="n">
        <v>0</v>
      </c>
      <c r="L2810" t="n">
        <v>0</v>
      </c>
      <c r="M2810" t="n">
        <v>0</v>
      </c>
      <c r="N2810" t="n">
        <v>0</v>
      </c>
      <c r="O2810" t="n">
        <v>0</v>
      </c>
      <c r="P2810" t="n">
        <v>0</v>
      </c>
      <c r="Q2810" t="n">
        <v>0</v>
      </c>
      <c r="R2810" s="2" t="inlineStr"/>
    </row>
    <row r="2811" ht="15" customHeight="1">
      <c r="A2811" t="inlineStr">
        <is>
          <t>A 24033-2020</t>
        </is>
      </c>
      <c r="B2811" s="1" t="n">
        <v>43971</v>
      </c>
      <c r="C2811" s="1" t="n">
        <v>45182</v>
      </c>
      <c r="D2811" t="inlineStr">
        <is>
          <t>JÄMTLANDS LÄN</t>
        </is>
      </c>
      <c r="E2811" t="inlineStr">
        <is>
          <t>RAGUNDA</t>
        </is>
      </c>
      <c r="G2811" t="n">
        <v>3.9</v>
      </c>
      <c r="H2811" t="n">
        <v>0</v>
      </c>
      <c r="I2811" t="n">
        <v>0</v>
      </c>
      <c r="J2811" t="n">
        <v>0</v>
      </c>
      <c r="K2811" t="n">
        <v>0</v>
      </c>
      <c r="L2811" t="n">
        <v>0</v>
      </c>
      <c r="M2811" t="n">
        <v>0</v>
      </c>
      <c r="N2811" t="n">
        <v>0</v>
      </c>
      <c r="O2811" t="n">
        <v>0</v>
      </c>
      <c r="P2811" t="n">
        <v>0</v>
      </c>
      <c r="Q2811" t="n">
        <v>0</v>
      </c>
      <c r="R2811" s="2" t="inlineStr"/>
    </row>
    <row r="2812" ht="15" customHeight="1">
      <c r="A2812" t="inlineStr">
        <is>
          <t>A 24064-2020</t>
        </is>
      </c>
      <c r="B2812" s="1" t="n">
        <v>43971</v>
      </c>
      <c r="C2812" s="1" t="n">
        <v>45182</v>
      </c>
      <c r="D2812" t="inlineStr">
        <is>
          <t>JÄMTLANDS LÄN</t>
        </is>
      </c>
      <c r="E2812" t="inlineStr">
        <is>
          <t>STRÖMSUND</t>
        </is>
      </c>
      <c r="F2812" t="inlineStr">
        <is>
          <t>SCA</t>
        </is>
      </c>
      <c r="G2812" t="n">
        <v>15.3</v>
      </c>
      <c r="H2812" t="n">
        <v>0</v>
      </c>
      <c r="I2812" t="n">
        <v>0</v>
      </c>
      <c r="J2812" t="n">
        <v>0</v>
      </c>
      <c r="K2812" t="n">
        <v>0</v>
      </c>
      <c r="L2812" t="n">
        <v>0</v>
      </c>
      <c r="M2812" t="n">
        <v>0</v>
      </c>
      <c r="N2812" t="n">
        <v>0</v>
      </c>
      <c r="O2812" t="n">
        <v>0</v>
      </c>
      <c r="P2812" t="n">
        <v>0</v>
      </c>
      <c r="Q2812" t="n">
        <v>0</v>
      </c>
      <c r="R2812" s="2" t="inlineStr"/>
    </row>
    <row r="2813" ht="15" customHeight="1">
      <c r="A2813" t="inlineStr">
        <is>
          <t>A 24077-2020</t>
        </is>
      </c>
      <c r="B2813" s="1" t="n">
        <v>43972</v>
      </c>
      <c r="C2813" s="1" t="n">
        <v>45182</v>
      </c>
      <c r="D2813" t="inlineStr">
        <is>
          <t>JÄMTLANDS LÄN</t>
        </is>
      </c>
      <c r="E2813" t="inlineStr">
        <is>
          <t>HÄRJEDALEN</t>
        </is>
      </c>
      <c r="F2813" t="inlineStr">
        <is>
          <t>Sveaskog</t>
        </is>
      </c>
      <c r="G2813" t="n">
        <v>9.6</v>
      </c>
      <c r="H2813" t="n">
        <v>0</v>
      </c>
      <c r="I2813" t="n">
        <v>0</v>
      </c>
      <c r="J2813" t="n">
        <v>0</v>
      </c>
      <c r="K2813" t="n">
        <v>0</v>
      </c>
      <c r="L2813" t="n">
        <v>0</v>
      </c>
      <c r="M2813" t="n">
        <v>0</v>
      </c>
      <c r="N2813" t="n">
        <v>0</v>
      </c>
      <c r="O2813" t="n">
        <v>0</v>
      </c>
      <c r="P2813" t="n">
        <v>0</v>
      </c>
      <c r="Q2813" t="n">
        <v>0</v>
      </c>
      <c r="R2813" s="2" t="inlineStr"/>
    </row>
    <row r="2814" ht="15" customHeight="1">
      <c r="A2814" t="inlineStr">
        <is>
          <t>A 24127-2020</t>
        </is>
      </c>
      <c r="B2814" s="1" t="n">
        <v>43973</v>
      </c>
      <c r="C2814" s="1" t="n">
        <v>45182</v>
      </c>
      <c r="D2814" t="inlineStr">
        <is>
          <t>JÄMTLANDS LÄN</t>
        </is>
      </c>
      <c r="E2814" t="inlineStr">
        <is>
          <t>HÄRJEDALEN</t>
        </is>
      </c>
      <c r="G2814" t="n">
        <v>4.6</v>
      </c>
      <c r="H2814" t="n">
        <v>0</v>
      </c>
      <c r="I2814" t="n">
        <v>0</v>
      </c>
      <c r="J2814" t="n">
        <v>0</v>
      </c>
      <c r="K2814" t="n">
        <v>0</v>
      </c>
      <c r="L2814" t="n">
        <v>0</v>
      </c>
      <c r="M2814" t="n">
        <v>0</v>
      </c>
      <c r="N2814" t="n">
        <v>0</v>
      </c>
      <c r="O2814" t="n">
        <v>0</v>
      </c>
      <c r="P2814" t="n">
        <v>0</v>
      </c>
      <c r="Q2814" t="n">
        <v>0</v>
      </c>
      <c r="R2814" s="2" t="inlineStr"/>
    </row>
    <row r="2815" ht="15" customHeight="1">
      <c r="A2815" t="inlineStr">
        <is>
          <t>A 24117-2020</t>
        </is>
      </c>
      <c r="B2815" s="1" t="n">
        <v>43973</v>
      </c>
      <c r="C2815" s="1" t="n">
        <v>45182</v>
      </c>
      <c r="D2815" t="inlineStr">
        <is>
          <t>JÄMTLANDS LÄN</t>
        </is>
      </c>
      <c r="E2815" t="inlineStr">
        <is>
          <t>STRÖMSUND</t>
        </is>
      </c>
      <c r="F2815" t="inlineStr">
        <is>
          <t>Holmen skog AB</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24292-2020</t>
        </is>
      </c>
      <c r="B2816" s="1" t="n">
        <v>43976</v>
      </c>
      <c r="C2816" s="1" t="n">
        <v>45182</v>
      </c>
      <c r="D2816" t="inlineStr">
        <is>
          <t>JÄMTLANDS LÄN</t>
        </is>
      </c>
      <c r="E2816" t="inlineStr">
        <is>
          <t>BERG</t>
        </is>
      </c>
      <c r="F2816" t="inlineStr">
        <is>
          <t>Kyrkan</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24414-2020</t>
        </is>
      </c>
      <c r="B2817" s="1" t="n">
        <v>43976</v>
      </c>
      <c r="C2817" s="1" t="n">
        <v>45182</v>
      </c>
      <c r="D2817" t="inlineStr">
        <is>
          <t>JÄMTLANDS LÄN</t>
        </is>
      </c>
      <c r="E2817" t="inlineStr">
        <is>
          <t>STRÖMSUND</t>
        </is>
      </c>
      <c r="F2817" t="inlineStr">
        <is>
          <t>SCA</t>
        </is>
      </c>
      <c r="G2817" t="n">
        <v>4.9</v>
      </c>
      <c r="H2817" t="n">
        <v>0</v>
      </c>
      <c r="I2817" t="n">
        <v>0</v>
      </c>
      <c r="J2817" t="n">
        <v>0</v>
      </c>
      <c r="K2817" t="n">
        <v>0</v>
      </c>
      <c r="L2817" t="n">
        <v>0</v>
      </c>
      <c r="M2817" t="n">
        <v>0</v>
      </c>
      <c r="N2817" t="n">
        <v>0</v>
      </c>
      <c r="O2817" t="n">
        <v>0</v>
      </c>
      <c r="P2817" t="n">
        <v>0</v>
      </c>
      <c r="Q2817" t="n">
        <v>0</v>
      </c>
      <c r="R2817" s="2" t="inlineStr"/>
    </row>
    <row r="2818" ht="15" customHeight="1">
      <c r="A2818" t="inlineStr">
        <is>
          <t>A 24413-2020</t>
        </is>
      </c>
      <c r="B2818" s="1" t="n">
        <v>43976</v>
      </c>
      <c r="C2818" s="1" t="n">
        <v>45182</v>
      </c>
      <c r="D2818" t="inlineStr">
        <is>
          <t>JÄMTLANDS LÄN</t>
        </is>
      </c>
      <c r="E2818" t="inlineStr">
        <is>
          <t>STRÖMSUND</t>
        </is>
      </c>
      <c r="F2818" t="inlineStr">
        <is>
          <t>SCA</t>
        </is>
      </c>
      <c r="G2818" t="n">
        <v>1.9</v>
      </c>
      <c r="H2818" t="n">
        <v>0</v>
      </c>
      <c r="I2818" t="n">
        <v>0</v>
      </c>
      <c r="J2818" t="n">
        <v>0</v>
      </c>
      <c r="K2818" t="n">
        <v>0</v>
      </c>
      <c r="L2818" t="n">
        <v>0</v>
      </c>
      <c r="M2818" t="n">
        <v>0</v>
      </c>
      <c r="N2818" t="n">
        <v>0</v>
      </c>
      <c r="O2818" t="n">
        <v>0</v>
      </c>
      <c r="P2818" t="n">
        <v>0</v>
      </c>
      <c r="Q2818" t="n">
        <v>0</v>
      </c>
      <c r="R2818" s="2" t="inlineStr"/>
    </row>
    <row r="2819" ht="15" customHeight="1">
      <c r="A2819" t="inlineStr">
        <is>
          <t>A 24436-2020</t>
        </is>
      </c>
      <c r="B2819" s="1" t="n">
        <v>43976</v>
      </c>
      <c r="C2819" s="1" t="n">
        <v>45182</v>
      </c>
      <c r="D2819" t="inlineStr">
        <is>
          <t>JÄMTLANDS LÄN</t>
        </is>
      </c>
      <c r="E2819" t="inlineStr">
        <is>
          <t>ÅRE</t>
        </is>
      </c>
      <c r="G2819" t="n">
        <v>3.3</v>
      </c>
      <c r="H2819" t="n">
        <v>0</v>
      </c>
      <c r="I2819" t="n">
        <v>0</v>
      </c>
      <c r="J2819" t="n">
        <v>0</v>
      </c>
      <c r="K2819" t="n">
        <v>0</v>
      </c>
      <c r="L2819" t="n">
        <v>0</v>
      </c>
      <c r="M2819" t="n">
        <v>0</v>
      </c>
      <c r="N2819" t="n">
        <v>0</v>
      </c>
      <c r="O2819" t="n">
        <v>0</v>
      </c>
      <c r="P2819" t="n">
        <v>0</v>
      </c>
      <c r="Q2819" t="n">
        <v>0</v>
      </c>
      <c r="R2819" s="2" t="inlineStr"/>
    </row>
    <row r="2820" ht="15" customHeight="1">
      <c r="A2820" t="inlineStr">
        <is>
          <t>A 24384-2020</t>
        </is>
      </c>
      <c r="B2820" s="1" t="n">
        <v>43976</v>
      </c>
      <c r="C2820" s="1" t="n">
        <v>45182</v>
      </c>
      <c r="D2820" t="inlineStr">
        <is>
          <t>JÄMTLANDS LÄN</t>
        </is>
      </c>
      <c r="E2820" t="inlineStr">
        <is>
          <t>STRÖMSUND</t>
        </is>
      </c>
      <c r="G2820" t="n">
        <v>1.1</v>
      </c>
      <c r="H2820" t="n">
        <v>0</v>
      </c>
      <c r="I2820" t="n">
        <v>0</v>
      </c>
      <c r="J2820" t="n">
        <v>0</v>
      </c>
      <c r="K2820" t="n">
        <v>0</v>
      </c>
      <c r="L2820" t="n">
        <v>0</v>
      </c>
      <c r="M2820" t="n">
        <v>0</v>
      </c>
      <c r="N2820" t="n">
        <v>0</v>
      </c>
      <c r="O2820" t="n">
        <v>0</v>
      </c>
      <c r="P2820" t="n">
        <v>0</v>
      </c>
      <c r="Q2820" t="n">
        <v>0</v>
      </c>
      <c r="R2820" s="2" t="inlineStr"/>
    </row>
    <row r="2821" ht="15" customHeight="1">
      <c r="A2821" t="inlineStr">
        <is>
          <t>A 24244-2020</t>
        </is>
      </c>
      <c r="B2821" s="1" t="n">
        <v>43976</v>
      </c>
      <c r="C2821" s="1" t="n">
        <v>45182</v>
      </c>
      <c r="D2821" t="inlineStr">
        <is>
          <t>JÄMTLANDS LÄN</t>
        </is>
      </c>
      <c r="E2821" t="inlineStr">
        <is>
          <t>BRÄCKE</t>
        </is>
      </c>
      <c r="G2821" t="n">
        <v>1.4</v>
      </c>
      <c r="H2821" t="n">
        <v>0</v>
      </c>
      <c r="I2821" t="n">
        <v>0</v>
      </c>
      <c r="J2821" t="n">
        <v>0</v>
      </c>
      <c r="K2821" t="n">
        <v>0</v>
      </c>
      <c r="L2821" t="n">
        <v>0</v>
      </c>
      <c r="M2821" t="n">
        <v>0</v>
      </c>
      <c r="N2821" t="n">
        <v>0</v>
      </c>
      <c r="O2821" t="n">
        <v>0</v>
      </c>
      <c r="P2821" t="n">
        <v>0</v>
      </c>
      <c r="Q2821" t="n">
        <v>0</v>
      </c>
      <c r="R2821" s="2" t="inlineStr"/>
    </row>
    <row r="2822" ht="15" customHeight="1">
      <c r="A2822" t="inlineStr">
        <is>
          <t>A 24379-2020</t>
        </is>
      </c>
      <c r="B2822" s="1" t="n">
        <v>43976</v>
      </c>
      <c r="C2822" s="1" t="n">
        <v>45182</v>
      </c>
      <c r="D2822" t="inlineStr">
        <is>
          <t>JÄMTLANDS LÄN</t>
        </is>
      </c>
      <c r="E2822" t="inlineStr">
        <is>
          <t>STRÖMSUND</t>
        </is>
      </c>
      <c r="F2822" t="inlineStr">
        <is>
          <t>Holmen skog AB</t>
        </is>
      </c>
      <c r="G2822" t="n">
        <v>1.4</v>
      </c>
      <c r="H2822" t="n">
        <v>0</v>
      </c>
      <c r="I2822" t="n">
        <v>0</v>
      </c>
      <c r="J2822" t="n">
        <v>0</v>
      </c>
      <c r="K2822" t="n">
        <v>0</v>
      </c>
      <c r="L2822" t="n">
        <v>0</v>
      </c>
      <c r="M2822" t="n">
        <v>0</v>
      </c>
      <c r="N2822" t="n">
        <v>0</v>
      </c>
      <c r="O2822" t="n">
        <v>0</v>
      </c>
      <c r="P2822" t="n">
        <v>0</v>
      </c>
      <c r="Q2822" t="n">
        <v>0</v>
      </c>
      <c r="R2822" s="2" t="inlineStr"/>
    </row>
    <row r="2823" ht="15" customHeight="1">
      <c r="A2823" t="inlineStr">
        <is>
          <t>A 24415-2020</t>
        </is>
      </c>
      <c r="B2823" s="1" t="n">
        <v>43976</v>
      </c>
      <c r="C2823" s="1" t="n">
        <v>45182</v>
      </c>
      <c r="D2823" t="inlineStr">
        <is>
          <t>JÄMTLANDS LÄN</t>
        </is>
      </c>
      <c r="E2823" t="inlineStr">
        <is>
          <t>STRÖMSUND</t>
        </is>
      </c>
      <c r="F2823" t="inlineStr">
        <is>
          <t>SCA</t>
        </is>
      </c>
      <c r="G2823" t="n">
        <v>9.699999999999999</v>
      </c>
      <c r="H2823" t="n">
        <v>0</v>
      </c>
      <c r="I2823" t="n">
        <v>0</v>
      </c>
      <c r="J2823" t="n">
        <v>0</v>
      </c>
      <c r="K2823" t="n">
        <v>0</v>
      </c>
      <c r="L2823" t="n">
        <v>0</v>
      </c>
      <c r="M2823" t="n">
        <v>0</v>
      </c>
      <c r="N2823" t="n">
        <v>0</v>
      </c>
      <c r="O2823" t="n">
        <v>0</v>
      </c>
      <c r="P2823" t="n">
        <v>0</v>
      </c>
      <c r="Q2823" t="n">
        <v>0</v>
      </c>
      <c r="R2823" s="2" t="inlineStr"/>
    </row>
    <row r="2824" ht="15" customHeight="1">
      <c r="A2824" t="inlineStr">
        <is>
          <t>A 24429-2020</t>
        </is>
      </c>
      <c r="B2824" s="1" t="n">
        <v>43976</v>
      </c>
      <c r="C2824" s="1" t="n">
        <v>45182</v>
      </c>
      <c r="D2824" t="inlineStr">
        <is>
          <t>JÄMTLANDS LÄN</t>
        </is>
      </c>
      <c r="E2824" t="inlineStr">
        <is>
          <t>BRÄCKE</t>
        </is>
      </c>
      <c r="F2824" t="inlineStr">
        <is>
          <t>SCA</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24640-2020</t>
        </is>
      </c>
      <c r="B2825" s="1" t="n">
        <v>43977</v>
      </c>
      <c r="C2825" s="1" t="n">
        <v>45182</v>
      </c>
      <c r="D2825" t="inlineStr">
        <is>
          <t>JÄMTLANDS LÄN</t>
        </is>
      </c>
      <c r="E2825" t="inlineStr">
        <is>
          <t>RAGUNDA</t>
        </is>
      </c>
      <c r="F2825" t="inlineStr">
        <is>
          <t>SCA</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25148-2020</t>
        </is>
      </c>
      <c r="B2826" s="1" t="n">
        <v>43978</v>
      </c>
      <c r="C2826" s="1" t="n">
        <v>45182</v>
      </c>
      <c r="D2826" t="inlineStr">
        <is>
          <t>JÄMTLANDS LÄN</t>
        </is>
      </c>
      <c r="E2826" t="inlineStr">
        <is>
          <t>ÖSTERSUND</t>
        </is>
      </c>
      <c r="G2826" t="n">
        <v>0.4</v>
      </c>
      <c r="H2826" t="n">
        <v>0</v>
      </c>
      <c r="I2826" t="n">
        <v>0</v>
      </c>
      <c r="J2826" t="n">
        <v>0</v>
      </c>
      <c r="K2826" t="n">
        <v>0</v>
      </c>
      <c r="L2826" t="n">
        <v>0</v>
      </c>
      <c r="M2826" t="n">
        <v>0</v>
      </c>
      <c r="N2826" t="n">
        <v>0</v>
      </c>
      <c r="O2826" t="n">
        <v>0</v>
      </c>
      <c r="P2826" t="n">
        <v>0</v>
      </c>
      <c r="Q2826" t="n">
        <v>0</v>
      </c>
      <c r="R2826" s="2" t="inlineStr"/>
    </row>
    <row r="2827" ht="15" customHeight="1">
      <c r="A2827" t="inlineStr">
        <is>
          <t>A 24863-2020</t>
        </is>
      </c>
      <c r="B2827" s="1" t="n">
        <v>43978</v>
      </c>
      <c r="C2827" s="1" t="n">
        <v>45182</v>
      </c>
      <c r="D2827" t="inlineStr">
        <is>
          <t>JÄMTLANDS LÄN</t>
        </is>
      </c>
      <c r="E2827" t="inlineStr">
        <is>
          <t>BRÄCKE</t>
        </is>
      </c>
      <c r="F2827" t="inlineStr">
        <is>
          <t>SCA</t>
        </is>
      </c>
      <c r="G2827" t="n">
        <v>0.7</v>
      </c>
      <c r="H2827" t="n">
        <v>0</v>
      </c>
      <c r="I2827" t="n">
        <v>0</v>
      </c>
      <c r="J2827" t="n">
        <v>0</v>
      </c>
      <c r="K2827" t="n">
        <v>0</v>
      </c>
      <c r="L2827" t="n">
        <v>0</v>
      </c>
      <c r="M2827" t="n">
        <v>0</v>
      </c>
      <c r="N2827" t="n">
        <v>0</v>
      </c>
      <c r="O2827" t="n">
        <v>0</v>
      </c>
      <c r="P2827" t="n">
        <v>0</v>
      </c>
      <c r="Q2827" t="n">
        <v>0</v>
      </c>
      <c r="R2827" s="2" t="inlineStr"/>
    </row>
    <row r="2828" ht="15" customHeight="1">
      <c r="A2828" t="inlineStr">
        <is>
          <t>A 25109-2020</t>
        </is>
      </c>
      <c r="B2828" s="1" t="n">
        <v>43979</v>
      </c>
      <c r="C2828" s="1" t="n">
        <v>45182</v>
      </c>
      <c r="D2828" t="inlineStr">
        <is>
          <t>JÄMTLANDS LÄN</t>
        </is>
      </c>
      <c r="E2828" t="inlineStr">
        <is>
          <t>STRÖMSUND</t>
        </is>
      </c>
      <c r="F2828" t="inlineStr">
        <is>
          <t>SCA</t>
        </is>
      </c>
      <c r="G2828" t="n">
        <v>10.7</v>
      </c>
      <c r="H2828" t="n">
        <v>0</v>
      </c>
      <c r="I2828" t="n">
        <v>0</v>
      </c>
      <c r="J2828" t="n">
        <v>0</v>
      </c>
      <c r="K2828" t="n">
        <v>0</v>
      </c>
      <c r="L2828" t="n">
        <v>0</v>
      </c>
      <c r="M2828" t="n">
        <v>0</v>
      </c>
      <c r="N2828" t="n">
        <v>0</v>
      </c>
      <c r="O2828" t="n">
        <v>0</v>
      </c>
      <c r="P2828" t="n">
        <v>0</v>
      </c>
      <c r="Q2828" t="n">
        <v>0</v>
      </c>
      <c r="R2828" s="2" t="inlineStr"/>
    </row>
    <row r="2829" ht="15" customHeight="1">
      <c r="A2829" t="inlineStr">
        <is>
          <t>A 25107-2020</t>
        </is>
      </c>
      <c r="B2829" s="1" t="n">
        <v>43979</v>
      </c>
      <c r="C2829" s="1" t="n">
        <v>45182</v>
      </c>
      <c r="D2829" t="inlineStr">
        <is>
          <t>JÄMTLANDS LÄN</t>
        </is>
      </c>
      <c r="E2829" t="inlineStr">
        <is>
          <t>STRÖMSUND</t>
        </is>
      </c>
      <c r="F2829" t="inlineStr">
        <is>
          <t>SCA</t>
        </is>
      </c>
      <c r="G2829" t="n">
        <v>0.2</v>
      </c>
      <c r="H2829" t="n">
        <v>0</v>
      </c>
      <c r="I2829" t="n">
        <v>0</v>
      </c>
      <c r="J2829" t="n">
        <v>0</v>
      </c>
      <c r="K2829" t="n">
        <v>0</v>
      </c>
      <c r="L2829" t="n">
        <v>0</v>
      </c>
      <c r="M2829" t="n">
        <v>0</v>
      </c>
      <c r="N2829" t="n">
        <v>0</v>
      </c>
      <c r="O2829" t="n">
        <v>0</v>
      </c>
      <c r="P2829" t="n">
        <v>0</v>
      </c>
      <c r="Q2829" t="n">
        <v>0</v>
      </c>
      <c r="R2829" s="2" t="inlineStr"/>
    </row>
    <row r="2830" ht="15" customHeight="1">
      <c r="A2830" t="inlineStr">
        <is>
          <t>A 25115-2020</t>
        </is>
      </c>
      <c r="B2830" s="1" t="n">
        <v>43979</v>
      </c>
      <c r="C2830" s="1" t="n">
        <v>45182</v>
      </c>
      <c r="D2830" t="inlineStr">
        <is>
          <t>JÄMTLANDS LÄN</t>
        </is>
      </c>
      <c r="E2830" t="inlineStr">
        <is>
          <t>RAGUNDA</t>
        </is>
      </c>
      <c r="G2830" t="n">
        <v>1</v>
      </c>
      <c r="H2830" t="n">
        <v>0</v>
      </c>
      <c r="I2830" t="n">
        <v>0</v>
      </c>
      <c r="J2830" t="n">
        <v>0</v>
      </c>
      <c r="K2830" t="n">
        <v>0</v>
      </c>
      <c r="L2830" t="n">
        <v>0</v>
      </c>
      <c r="M2830" t="n">
        <v>0</v>
      </c>
      <c r="N2830" t="n">
        <v>0</v>
      </c>
      <c r="O2830" t="n">
        <v>0</v>
      </c>
      <c r="P2830" t="n">
        <v>0</v>
      </c>
      <c r="Q2830" t="n">
        <v>0</v>
      </c>
      <c r="R2830" s="2" t="inlineStr"/>
    </row>
    <row r="2831" ht="15" customHeight="1">
      <c r="A2831" t="inlineStr">
        <is>
          <t>A 24932-2020</t>
        </is>
      </c>
      <c r="B2831" s="1" t="n">
        <v>43979</v>
      </c>
      <c r="C2831" s="1" t="n">
        <v>45182</v>
      </c>
      <c r="D2831" t="inlineStr">
        <is>
          <t>JÄMTLANDS LÄN</t>
        </is>
      </c>
      <c r="E2831" t="inlineStr">
        <is>
          <t>BERG</t>
        </is>
      </c>
      <c r="F2831" t="inlineStr">
        <is>
          <t>Kyrkan</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25236-2020</t>
        </is>
      </c>
      <c r="B2832" s="1" t="n">
        <v>43980</v>
      </c>
      <c r="C2832" s="1" t="n">
        <v>45182</v>
      </c>
      <c r="D2832" t="inlineStr">
        <is>
          <t>JÄMTLANDS LÄN</t>
        </is>
      </c>
      <c r="E2832" t="inlineStr">
        <is>
          <t>HÄRJEDALEN</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25376-2020</t>
        </is>
      </c>
      <c r="B2833" s="1" t="n">
        <v>43980</v>
      </c>
      <c r="C2833" s="1" t="n">
        <v>45182</v>
      </c>
      <c r="D2833" t="inlineStr">
        <is>
          <t>JÄMTLANDS LÄN</t>
        </is>
      </c>
      <c r="E2833" t="inlineStr">
        <is>
          <t>STRÖMSUND</t>
        </is>
      </c>
      <c r="F2833" t="inlineStr">
        <is>
          <t>SCA</t>
        </is>
      </c>
      <c r="G2833" t="n">
        <v>7.1</v>
      </c>
      <c r="H2833" t="n">
        <v>0</v>
      </c>
      <c r="I2833" t="n">
        <v>0</v>
      </c>
      <c r="J2833" t="n">
        <v>0</v>
      </c>
      <c r="K2833" t="n">
        <v>0</v>
      </c>
      <c r="L2833" t="n">
        <v>0</v>
      </c>
      <c r="M2833" t="n">
        <v>0</v>
      </c>
      <c r="N2833" t="n">
        <v>0</v>
      </c>
      <c r="O2833" t="n">
        <v>0</v>
      </c>
      <c r="P2833" t="n">
        <v>0</v>
      </c>
      <c r="Q2833" t="n">
        <v>0</v>
      </c>
      <c r="R2833" s="2" t="inlineStr"/>
    </row>
    <row r="2834" ht="15" customHeight="1">
      <c r="A2834" t="inlineStr">
        <is>
          <t>A 25390-2020</t>
        </is>
      </c>
      <c r="B2834" s="1" t="n">
        <v>43980</v>
      </c>
      <c r="C2834" s="1" t="n">
        <v>45182</v>
      </c>
      <c r="D2834" t="inlineStr">
        <is>
          <t>JÄMTLANDS LÄN</t>
        </is>
      </c>
      <c r="E2834" t="inlineStr">
        <is>
          <t>STRÖMSUND</t>
        </is>
      </c>
      <c r="F2834" t="inlineStr">
        <is>
          <t>SCA</t>
        </is>
      </c>
      <c r="G2834" t="n">
        <v>8.199999999999999</v>
      </c>
      <c r="H2834" t="n">
        <v>0</v>
      </c>
      <c r="I2834" t="n">
        <v>0</v>
      </c>
      <c r="J2834" t="n">
        <v>0</v>
      </c>
      <c r="K2834" t="n">
        <v>0</v>
      </c>
      <c r="L2834" t="n">
        <v>0</v>
      </c>
      <c r="M2834" t="n">
        <v>0</v>
      </c>
      <c r="N2834" t="n">
        <v>0</v>
      </c>
      <c r="O2834" t="n">
        <v>0</v>
      </c>
      <c r="P2834" t="n">
        <v>0</v>
      </c>
      <c r="Q2834" t="n">
        <v>0</v>
      </c>
      <c r="R2834" s="2" t="inlineStr"/>
    </row>
    <row r="2835" ht="15" customHeight="1">
      <c r="A2835" t="inlineStr">
        <is>
          <t>A 25232-2020</t>
        </is>
      </c>
      <c r="B2835" s="1" t="n">
        <v>43980</v>
      </c>
      <c r="C2835" s="1" t="n">
        <v>45182</v>
      </c>
      <c r="D2835" t="inlineStr">
        <is>
          <t>JÄMTLANDS LÄN</t>
        </is>
      </c>
      <c r="E2835" t="inlineStr">
        <is>
          <t>HÄRJEDALEN</t>
        </is>
      </c>
      <c r="G2835" t="n">
        <v>14.9</v>
      </c>
      <c r="H2835" t="n">
        <v>0</v>
      </c>
      <c r="I2835" t="n">
        <v>0</v>
      </c>
      <c r="J2835" t="n">
        <v>0</v>
      </c>
      <c r="K2835" t="n">
        <v>0</v>
      </c>
      <c r="L2835" t="n">
        <v>0</v>
      </c>
      <c r="M2835" t="n">
        <v>0</v>
      </c>
      <c r="N2835" t="n">
        <v>0</v>
      </c>
      <c r="O2835" t="n">
        <v>0</v>
      </c>
      <c r="P2835" t="n">
        <v>0</v>
      </c>
      <c r="Q2835" t="n">
        <v>0</v>
      </c>
      <c r="R2835" s="2" t="inlineStr"/>
    </row>
    <row r="2836" ht="15" customHeight="1">
      <c r="A2836" t="inlineStr">
        <is>
          <t>A 25341-2020</t>
        </is>
      </c>
      <c r="B2836" s="1" t="n">
        <v>43980</v>
      </c>
      <c r="C2836" s="1" t="n">
        <v>45182</v>
      </c>
      <c r="D2836" t="inlineStr">
        <is>
          <t>JÄMTLANDS LÄN</t>
        </is>
      </c>
      <c r="E2836" t="inlineStr">
        <is>
          <t>HÄRJEDALEN</t>
        </is>
      </c>
      <c r="G2836" t="n">
        <v>2</v>
      </c>
      <c r="H2836" t="n">
        <v>0</v>
      </c>
      <c r="I2836" t="n">
        <v>0</v>
      </c>
      <c r="J2836" t="n">
        <v>0</v>
      </c>
      <c r="K2836" t="n">
        <v>0</v>
      </c>
      <c r="L2836" t="n">
        <v>0</v>
      </c>
      <c r="M2836" t="n">
        <v>0</v>
      </c>
      <c r="N2836" t="n">
        <v>0</v>
      </c>
      <c r="O2836" t="n">
        <v>0</v>
      </c>
      <c r="P2836" t="n">
        <v>0</v>
      </c>
      <c r="Q2836" t="n">
        <v>0</v>
      </c>
      <c r="R2836" s="2" t="inlineStr"/>
    </row>
    <row r="2837" ht="15" customHeight="1">
      <c r="A2837" t="inlineStr">
        <is>
          <t>A 25382-2020</t>
        </is>
      </c>
      <c r="B2837" s="1" t="n">
        <v>43980</v>
      </c>
      <c r="C2837" s="1" t="n">
        <v>45182</v>
      </c>
      <c r="D2837" t="inlineStr">
        <is>
          <t>JÄMTLANDS LÄN</t>
        </is>
      </c>
      <c r="E2837" t="inlineStr">
        <is>
          <t>BRÄCKE</t>
        </is>
      </c>
      <c r="F2837" t="inlineStr">
        <is>
          <t>SCA</t>
        </is>
      </c>
      <c r="G2837" t="n">
        <v>0.8</v>
      </c>
      <c r="H2837" t="n">
        <v>0</v>
      </c>
      <c r="I2837" t="n">
        <v>0</v>
      </c>
      <c r="J2837" t="n">
        <v>0</v>
      </c>
      <c r="K2837" t="n">
        <v>0</v>
      </c>
      <c r="L2837" t="n">
        <v>0</v>
      </c>
      <c r="M2837" t="n">
        <v>0</v>
      </c>
      <c r="N2837" t="n">
        <v>0</v>
      </c>
      <c r="O2837" t="n">
        <v>0</v>
      </c>
      <c r="P2837" t="n">
        <v>0</v>
      </c>
      <c r="Q2837" t="n">
        <v>0</v>
      </c>
      <c r="R2837" s="2" t="inlineStr"/>
    </row>
    <row r="2838" ht="15" customHeight="1">
      <c r="A2838" t="inlineStr">
        <is>
          <t>A 25396-2020</t>
        </is>
      </c>
      <c r="B2838" s="1" t="n">
        <v>43980</v>
      </c>
      <c r="C2838" s="1" t="n">
        <v>45182</v>
      </c>
      <c r="D2838" t="inlineStr">
        <is>
          <t>JÄMTLANDS LÄN</t>
        </is>
      </c>
      <c r="E2838" t="inlineStr">
        <is>
          <t>STRÖMSUND</t>
        </is>
      </c>
      <c r="F2838" t="inlineStr">
        <is>
          <t>SCA</t>
        </is>
      </c>
      <c r="G2838" t="n">
        <v>2.3</v>
      </c>
      <c r="H2838" t="n">
        <v>0</v>
      </c>
      <c r="I2838" t="n">
        <v>0</v>
      </c>
      <c r="J2838" t="n">
        <v>0</v>
      </c>
      <c r="K2838" t="n">
        <v>0</v>
      </c>
      <c r="L2838" t="n">
        <v>0</v>
      </c>
      <c r="M2838" t="n">
        <v>0</v>
      </c>
      <c r="N2838" t="n">
        <v>0</v>
      </c>
      <c r="O2838" t="n">
        <v>0</v>
      </c>
      <c r="P2838" t="n">
        <v>0</v>
      </c>
      <c r="Q2838" t="n">
        <v>0</v>
      </c>
      <c r="R2838" s="2" t="inlineStr"/>
    </row>
    <row r="2839" ht="15" customHeight="1">
      <c r="A2839" t="inlineStr">
        <is>
          <t>A 25238-2020</t>
        </is>
      </c>
      <c r="B2839" s="1" t="n">
        <v>43980</v>
      </c>
      <c r="C2839" s="1" t="n">
        <v>45182</v>
      </c>
      <c r="D2839" t="inlineStr">
        <is>
          <t>JÄMTLANDS LÄN</t>
        </is>
      </c>
      <c r="E2839" t="inlineStr">
        <is>
          <t>HÄRJEDALEN</t>
        </is>
      </c>
      <c r="G2839" t="n">
        <v>2.6</v>
      </c>
      <c r="H2839" t="n">
        <v>0</v>
      </c>
      <c r="I2839" t="n">
        <v>0</v>
      </c>
      <c r="J2839" t="n">
        <v>0</v>
      </c>
      <c r="K2839" t="n">
        <v>0</v>
      </c>
      <c r="L2839" t="n">
        <v>0</v>
      </c>
      <c r="M2839" t="n">
        <v>0</v>
      </c>
      <c r="N2839" t="n">
        <v>0</v>
      </c>
      <c r="O2839" t="n">
        <v>0</v>
      </c>
      <c r="P2839" t="n">
        <v>0</v>
      </c>
      <c r="Q2839" t="n">
        <v>0</v>
      </c>
      <c r="R2839" s="2" t="inlineStr"/>
    </row>
    <row r="2840" ht="15" customHeight="1">
      <c r="A2840" t="inlineStr">
        <is>
          <t>A 25381-2020</t>
        </is>
      </c>
      <c r="B2840" s="1" t="n">
        <v>43980</v>
      </c>
      <c r="C2840" s="1" t="n">
        <v>45182</v>
      </c>
      <c r="D2840" t="inlineStr">
        <is>
          <t>JÄMTLANDS LÄN</t>
        </is>
      </c>
      <c r="E2840" t="inlineStr">
        <is>
          <t>STRÖMSUND</t>
        </is>
      </c>
      <c r="F2840" t="inlineStr">
        <is>
          <t>SCA</t>
        </is>
      </c>
      <c r="G2840" t="n">
        <v>3.6</v>
      </c>
      <c r="H2840" t="n">
        <v>0</v>
      </c>
      <c r="I2840" t="n">
        <v>0</v>
      </c>
      <c r="J2840" t="n">
        <v>0</v>
      </c>
      <c r="K2840" t="n">
        <v>0</v>
      </c>
      <c r="L2840" t="n">
        <v>0</v>
      </c>
      <c r="M2840" t="n">
        <v>0</v>
      </c>
      <c r="N2840" t="n">
        <v>0</v>
      </c>
      <c r="O2840" t="n">
        <v>0</v>
      </c>
      <c r="P2840" t="n">
        <v>0</v>
      </c>
      <c r="Q2840" t="n">
        <v>0</v>
      </c>
      <c r="R2840" s="2" t="inlineStr"/>
    </row>
    <row r="2841" ht="15" customHeight="1">
      <c r="A2841" t="inlineStr">
        <is>
          <t>A 25392-2020</t>
        </is>
      </c>
      <c r="B2841" s="1" t="n">
        <v>43980</v>
      </c>
      <c r="C2841" s="1" t="n">
        <v>45182</v>
      </c>
      <c r="D2841" t="inlineStr">
        <is>
          <t>JÄMTLANDS LÄN</t>
        </is>
      </c>
      <c r="E2841" t="inlineStr">
        <is>
          <t>STRÖMSUND</t>
        </is>
      </c>
      <c r="F2841" t="inlineStr">
        <is>
          <t>SCA</t>
        </is>
      </c>
      <c r="G2841" t="n">
        <v>2.9</v>
      </c>
      <c r="H2841" t="n">
        <v>0</v>
      </c>
      <c r="I2841" t="n">
        <v>0</v>
      </c>
      <c r="J2841" t="n">
        <v>0</v>
      </c>
      <c r="K2841" t="n">
        <v>0</v>
      </c>
      <c r="L2841" t="n">
        <v>0</v>
      </c>
      <c r="M2841" t="n">
        <v>0</v>
      </c>
      <c r="N2841" t="n">
        <v>0</v>
      </c>
      <c r="O2841" t="n">
        <v>0</v>
      </c>
      <c r="P2841" t="n">
        <v>0</v>
      </c>
      <c r="Q2841" t="n">
        <v>0</v>
      </c>
      <c r="R2841" s="2" t="inlineStr"/>
    </row>
    <row r="2842" ht="15" customHeight="1">
      <c r="A2842" t="inlineStr">
        <is>
          <t>A 25240-2020</t>
        </is>
      </c>
      <c r="B2842" s="1" t="n">
        <v>43980</v>
      </c>
      <c r="C2842" s="1" t="n">
        <v>45182</v>
      </c>
      <c r="D2842" t="inlineStr">
        <is>
          <t>JÄMTLANDS LÄN</t>
        </is>
      </c>
      <c r="E2842" t="inlineStr">
        <is>
          <t>HÄRJEDALEN</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25375-2020</t>
        </is>
      </c>
      <c r="B2843" s="1" t="n">
        <v>43980</v>
      </c>
      <c r="C2843" s="1" t="n">
        <v>45182</v>
      </c>
      <c r="D2843" t="inlineStr">
        <is>
          <t>JÄMTLANDS LÄN</t>
        </is>
      </c>
      <c r="E2843" t="inlineStr">
        <is>
          <t>STRÖMSUND</t>
        </is>
      </c>
      <c r="F2843" t="inlineStr">
        <is>
          <t>SCA</t>
        </is>
      </c>
      <c r="G2843" t="n">
        <v>5</v>
      </c>
      <c r="H2843" t="n">
        <v>0</v>
      </c>
      <c r="I2843" t="n">
        <v>0</v>
      </c>
      <c r="J2843" t="n">
        <v>0</v>
      </c>
      <c r="K2843" t="n">
        <v>0</v>
      </c>
      <c r="L2843" t="n">
        <v>0</v>
      </c>
      <c r="M2843" t="n">
        <v>0</v>
      </c>
      <c r="N2843" t="n">
        <v>0</v>
      </c>
      <c r="O2843" t="n">
        <v>0</v>
      </c>
      <c r="P2843" t="n">
        <v>0</v>
      </c>
      <c r="Q2843" t="n">
        <v>0</v>
      </c>
      <c r="R2843" s="2" t="inlineStr"/>
    </row>
    <row r="2844" ht="15" customHeight="1">
      <c r="A2844" t="inlineStr">
        <is>
          <t>A 25388-2020</t>
        </is>
      </c>
      <c r="B2844" s="1" t="n">
        <v>43980</v>
      </c>
      <c r="C2844" s="1" t="n">
        <v>45182</v>
      </c>
      <c r="D2844" t="inlineStr">
        <is>
          <t>JÄMTLANDS LÄN</t>
        </is>
      </c>
      <c r="E2844" t="inlineStr">
        <is>
          <t>STRÖMSUND</t>
        </is>
      </c>
      <c r="F2844" t="inlineStr">
        <is>
          <t>SCA</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25398-2020</t>
        </is>
      </c>
      <c r="B2845" s="1" t="n">
        <v>43980</v>
      </c>
      <c r="C2845" s="1" t="n">
        <v>45182</v>
      </c>
      <c r="D2845" t="inlineStr">
        <is>
          <t>JÄMTLANDS LÄN</t>
        </is>
      </c>
      <c r="E2845" t="inlineStr">
        <is>
          <t>STRÖMSUND</t>
        </is>
      </c>
      <c r="F2845" t="inlineStr">
        <is>
          <t>SCA</t>
        </is>
      </c>
      <c r="G2845" t="n">
        <v>2.4</v>
      </c>
      <c r="H2845" t="n">
        <v>0</v>
      </c>
      <c r="I2845" t="n">
        <v>0</v>
      </c>
      <c r="J2845" t="n">
        <v>0</v>
      </c>
      <c r="K2845" t="n">
        <v>0</v>
      </c>
      <c r="L2845" t="n">
        <v>0</v>
      </c>
      <c r="M2845" t="n">
        <v>0</v>
      </c>
      <c r="N2845" t="n">
        <v>0</v>
      </c>
      <c r="O2845" t="n">
        <v>0</v>
      </c>
      <c r="P2845" t="n">
        <v>0</v>
      </c>
      <c r="Q2845" t="n">
        <v>0</v>
      </c>
      <c r="R2845" s="2" t="inlineStr"/>
    </row>
    <row r="2846" ht="15" customHeight="1">
      <c r="A2846" t="inlineStr">
        <is>
          <t>A 25489-2020</t>
        </is>
      </c>
      <c r="B2846" s="1" t="n">
        <v>43983</v>
      </c>
      <c r="C2846" s="1" t="n">
        <v>45182</v>
      </c>
      <c r="D2846" t="inlineStr">
        <is>
          <t>JÄMTLANDS LÄN</t>
        </is>
      </c>
      <c r="E2846" t="inlineStr">
        <is>
          <t>KROKOM</t>
        </is>
      </c>
      <c r="G2846" t="n">
        <v>1.4</v>
      </c>
      <c r="H2846" t="n">
        <v>0</v>
      </c>
      <c r="I2846" t="n">
        <v>0</v>
      </c>
      <c r="J2846" t="n">
        <v>0</v>
      </c>
      <c r="K2846" t="n">
        <v>0</v>
      </c>
      <c r="L2846" t="n">
        <v>0</v>
      </c>
      <c r="M2846" t="n">
        <v>0</v>
      </c>
      <c r="N2846" t="n">
        <v>0</v>
      </c>
      <c r="O2846" t="n">
        <v>0</v>
      </c>
      <c r="P2846" t="n">
        <v>0</v>
      </c>
      <c r="Q2846" t="n">
        <v>0</v>
      </c>
      <c r="R2846" s="2" t="inlineStr"/>
    </row>
    <row r="2847" ht="15" customHeight="1">
      <c r="A2847" t="inlineStr">
        <is>
          <t>A 25587-2020</t>
        </is>
      </c>
      <c r="B2847" s="1" t="n">
        <v>43983</v>
      </c>
      <c r="C2847" s="1" t="n">
        <v>45182</v>
      </c>
      <c r="D2847" t="inlineStr">
        <is>
          <t>JÄMTLANDS LÄN</t>
        </is>
      </c>
      <c r="E2847" t="inlineStr">
        <is>
          <t>ÅRE</t>
        </is>
      </c>
      <c r="G2847" t="n">
        <v>10.3</v>
      </c>
      <c r="H2847" t="n">
        <v>0</v>
      </c>
      <c r="I2847" t="n">
        <v>0</v>
      </c>
      <c r="J2847" t="n">
        <v>0</v>
      </c>
      <c r="K2847" t="n">
        <v>0</v>
      </c>
      <c r="L2847" t="n">
        <v>0</v>
      </c>
      <c r="M2847" t="n">
        <v>0</v>
      </c>
      <c r="N2847" t="n">
        <v>0</v>
      </c>
      <c r="O2847" t="n">
        <v>0</v>
      </c>
      <c r="P2847" t="n">
        <v>0</v>
      </c>
      <c r="Q2847" t="n">
        <v>0</v>
      </c>
      <c r="R2847" s="2" t="inlineStr"/>
    </row>
    <row r="2848" ht="15" customHeight="1">
      <c r="A2848" t="inlineStr">
        <is>
          <t>A 25592-2020</t>
        </is>
      </c>
      <c r="B2848" s="1" t="n">
        <v>43983</v>
      </c>
      <c r="C2848" s="1" t="n">
        <v>45182</v>
      </c>
      <c r="D2848" t="inlineStr">
        <is>
          <t>JÄMTLANDS LÄN</t>
        </is>
      </c>
      <c r="E2848" t="inlineStr">
        <is>
          <t>ÅRE</t>
        </is>
      </c>
      <c r="G2848" t="n">
        <v>6.6</v>
      </c>
      <c r="H2848" t="n">
        <v>0</v>
      </c>
      <c r="I2848" t="n">
        <v>0</v>
      </c>
      <c r="J2848" t="n">
        <v>0</v>
      </c>
      <c r="K2848" t="n">
        <v>0</v>
      </c>
      <c r="L2848" t="n">
        <v>0</v>
      </c>
      <c r="M2848" t="n">
        <v>0</v>
      </c>
      <c r="N2848" t="n">
        <v>0</v>
      </c>
      <c r="O2848" t="n">
        <v>0</v>
      </c>
      <c r="P2848" t="n">
        <v>0</v>
      </c>
      <c r="Q2848" t="n">
        <v>0</v>
      </c>
      <c r="R2848" s="2" t="inlineStr"/>
    </row>
    <row r="2849" ht="15" customHeight="1">
      <c r="A2849" t="inlineStr">
        <is>
          <t>A 25520-2020</t>
        </is>
      </c>
      <c r="B2849" s="1" t="n">
        <v>43983</v>
      </c>
      <c r="C2849" s="1" t="n">
        <v>45182</v>
      </c>
      <c r="D2849" t="inlineStr">
        <is>
          <t>JÄMTLANDS LÄN</t>
        </is>
      </c>
      <c r="E2849" t="inlineStr">
        <is>
          <t>KROKOM</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25680-2020</t>
        </is>
      </c>
      <c r="B2850" s="1" t="n">
        <v>43983</v>
      </c>
      <c r="C2850" s="1" t="n">
        <v>45182</v>
      </c>
      <c r="D2850" t="inlineStr">
        <is>
          <t>JÄMTLANDS LÄN</t>
        </is>
      </c>
      <c r="E2850" t="inlineStr">
        <is>
          <t>STRÖMSUND</t>
        </is>
      </c>
      <c r="F2850" t="inlineStr">
        <is>
          <t>SCA</t>
        </is>
      </c>
      <c r="G2850" t="n">
        <v>1.1</v>
      </c>
      <c r="H2850" t="n">
        <v>0</v>
      </c>
      <c r="I2850" t="n">
        <v>0</v>
      </c>
      <c r="J2850" t="n">
        <v>0</v>
      </c>
      <c r="K2850" t="n">
        <v>0</v>
      </c>
      <c r="L2850" t="n">
        <v>0</v>
      </c>
      <c r="M2850" t="n">
        <v>0</v>
      </c>
      <c r="N2850" t="n">
        <v>0</v>
      </c>
      <c r="O2850" t="n">
        <v>0</v>
      </c>
      <c r="P2850" t="n">
        <v>0</v>
      </c>
      <c r="Q2850" t="n">
        <v>0</v>
      </c>
      <c r="R2850" s="2" t="inlineStr"/>
    </row>
    <row r="2851" ht="15" customHeight="1">
      <c r="A2851" t="inlineStr">
        <is>
          <t>A 25772-2020</t>
        </is>
      </c>
      <c r="B2851" s="1" t="n">
        <v>43984</v>
      </c>
      <c r="C2851" s="1" t="n">
        <v>45182</v>
      </c>
      <c r="D2851" t="inlineStr">
        <is>
          <t>JÄMTLANDS LÄN</t>
        </is>
      </c>
      <c r="E2851" t="inlineStr">
        <is>
          <t>BRÄCKE</t>
        </is>
      </c>
      <c r="G2851" t="n">
        <v>3.1</v>
      </c>
      <c r="H2851" t="n">
        <v>0</v>
      </c>
      <c r="I2851" t="n">
        <v>0</v>
      </c>
      <c r="J2851" t="n">
        <v>0</v>
      </c>
      <c r="K2851" t="n">
        <v>0</v>
      </c>
      <c r="L2851" t="n">
        <v>0</v>
      </c>
      <c r="M2851" t="n">
        <v>0</v>
      </c>
      <c r="N2851" t="n">
        <v>0</v>
      </c>
      <c r="O2851" t="n">
        <v>0</v>
      </c>
      <c r="P2851" t="n">
        <v>0</v>
      </c>
      <c r="Q2851" t="n">
        <v>0</v>
      </c>
      <c r="R2851" s="2" t="inlineStr"/>
    </row>
    <row r="2852" ht="15" customHeight="1">
      <c r="A2852" t="inlineStr">
        <is>
          <t>A 25892-2020</t>
        </is>
      </c>
      <c r="B2852" s="1" t="n">
        <v>43984</v>
      </c>
      <c r="C2852" s="1" t="n">
        <v>45182</v>
      </c>
      <c r="D2852" t="inlineStr">
        <is>
          <t>JÄMTLANDS LÄN</t>
        </is>
      </c>
      <c r="E2852" t="inlineStr">
        <is>
          <t>STRÖMSUND</t>
        </is>
      </c>
      <c r="G2852" t="n">
        <v>3.5</v>
      </c>
      <c r="H2852" t="n">
        <v>0</v>
      </c>
      <c r="I2852" t="n">
        <v>0</v>
      </c>
      <c r="J2852" t="n">
        <v>0</v>
      </c>
      <c r="K2852" t="n">
        <v>0</v>
      </c>
      <c r="L2852" t="n">
        <v>0</v>
      </c>
      <c r="M2852" t="n">
        <v>0</v>
      </c>
      <c r="N2852" t="n">
        <v>0</v>
      </c>
      <c r="O2852" t="n">
        <v>0</v>
      </c>
      <c r="P2852" t="n">
        <v>0</v>
      </c>
      <c r="Q2852" t="n">
        <v>0</v>
      </c>
      <c r="R2852" s="2" t="inlineStr"/>
    </row>
    <row r="2853" ht="15" customHeight="1">
      <c r="A2853" t="inlineStr">
        <is>
          <t>A 25934-2020</t>
        </is>
      </c>
      <c r="B2853" s="1" t="n">
        <v>43984</v>
      </c>
      <c r="C2853" s="1" t="n">
        <v>45182</v>
      </c>
      <c r="D2853" t="inlineStr">
        <is>
          <t>JÄMTLANDS LÄN</t>
        </is>
      </c>
      <c r="E2853" t="inlineStr">
        <is>
          <t>RAGUNDA</t>
        </is>
      </c>
      <c r="F2853" t="inlineStr">
        <is>
          <t>SCA</t>
        </is>
      </c>
      <c r="G2853" t="n">
        <v>8.699999999999999</v>
      </c>
      <c r="H2853" t="n">
        <v>0</v>
      </c>
      <c r="I2853" t="n">
        <v>0</v>
      </c>
      <c r="J2853" t="n">
        <v>0</v>
      </c>
      <c r="K2853" t="n">
        <v>0</v>
      </c>
      <c r="L2853" t="n">
        <v>0</v>
      </c>
      <c r="M2853" t="n">
        <v>0</v>
      </c>
      <c r="N2853" t="n">
        <v>0</v>
      </c>
      <c r="O2853" t="n">
        <v>0</v>
      </c>
      <c r="P2853" t="n">
        <v>0</v>
      </c>
      <c r="Q2853" t="n">
        <v>0</v>
      </c>
      <c r="R2853" s="2" t="inlineStr"/>
    </row>
    <row r="2854" ht="15" customHeight="1">
      <c r="A2854" t="inlineStr">
        <is>
          <t>A 25906-2020</t>
        </is>
      </c>
      <c r="B2854" s="1" t="n">
        <v>43984</v>
      </c>
      <c r="C2854" s="1" t="n">
        <v>45182</v>
      </c>
      <c r="D2854" t="inlineStr">
        <is>
          <t>JÄMTLANDS LÄN</t>
        </is>
      </c>
      <c r="E2854" t="inlineStr">
        <is>
          <t>BRÄCKE</t>
        </is>
      </c>
      <c r="F2854" t="inlineStr">
        <is>
          <t>SCA</t>
        </is>
      </c>
      <c r="G2854" t="n">
        <v>2.4</v>
      </c>
      <c r="H2854" t="n">
        <v>0</v>
      </c>
      <c r="I2854" t="n">
        <v>0</v>
      </c>
      <c r="J2854" t="n">
        <v>0</v>
      </c>
      <c r="K2854" t="n">
        <v>0</v>
      </c>
      <c r="L2854" t="n">
        <v>0</v>
      </c>
      <c r="M2854" t="n">
        <v>0</v>
      </c>
      <c r="N2854" t="n">
        <v>0</v>
      </c>
      <c r="O2854" t="n">
        <v>0</v>
      </c>
      <c r="P2854" t="n">
        <v>0</v>
      </c>
      <c r="Q2854" t="n">
        <v>0</v>
      </c>
      <c r="R2854" s="2" t="inlineStr"/>
    </row>
    <row r="2855" ht="15" customHeight="1">
      <c r="A2855" t="inlineStr">
        <is>
          <t>A 25779-2020</t>
        </is>
      </c>
      <c r="B2855" s="1" t="n">
        <v>43984</v>
      </c>
      <c r="C2855" s="1" t="n">
        <v>45182</v>
      </c>
      <c r="D2855" t="inlineStr">
        <is>
          <t>JÄMTLANDS LÄN</t>
        </is>
      </c>
      <c r="E2855" t="inlineStr">
        <is>
          <t>HÄRJEDALEN</t>
        </is>
      </c>
      <c r="G2855" t="n">
        <v>22.2</v>
      </c>
      <c r="H2855" t="n">
        <v>0</v>
      </c>
      <c r="I2855" t="n">
        <v>0</v>
      </c>
      <c r="J2855" t="n">
        <v>0</v>
      </c>
      <c r="K2855" t="n">
        <v>0</v>
      </c>
      <c r="L2855" t="n">
        <v>0</v>
      </c>
      <c r="M2855" t="n">
        <v>0</v>
      </c>
      <c r="N2855" t="n">
        <v>0</v>
      </c>
      <c r="O2855" t="n">
        <v>0</v>
      </c>
      <c r="P2855" t="n">
        <v>0</v>
      </c>
      <c r="Q2855" t="n">
        <v>0</v>
      </c>
      <c r="R2855" s="2" t="inlineStr"/>
    </row>
    <row r="2856" ht="15" customHeight="1">
      <c r="A2856" t="inlineStr">
        <is>
          <t>A 25913-2020</t>
        </is>
      </c>
      <c r="B2856" s="1" t="n">
        <v>43984</v>
      </c>
      <c r="C2856" s="1" t="n">
        <v>45182</v>
      </c>
      <c r="D2856" t="inlineStr">
        <is>
          <t>JÄMTLANDS LÄN</t>
        </is>
      </c>
      <c r="E2856" t="inlineStr">
        <is>
          <t>STRÖMSUND</t>
        </is>
      </c>
      <c r="F2856" t="inlineStr">
        <is>
          <t>SCA</t>
        </is>
      </c>
      <c r="G2856" t="n">
        <v>6</v>
      </c>
      <c r="H2856" t="n">
        <v>0</v>
      </c>
      <c r="I2856" t="n">
        <v>0</v>
      </c>
      <c r="J2856" t="n">
        <v>0</v>
      </c>
      <c r="K2856" t="n">
        <v>0</v>
      </c>
      <c r="L2856" t="n">
        <v>0</v>
      </c>
      <c r="M2856" t="n">
        <v>0</v>
      </c>
      <c r="N2856" t="n">
        <v>0</v>
      </c>
      <c r="O2856" t="n">
        <v>0</v>
      </c>
      <c r="P2856" t="n">
        <v>0</v>
      </c>
      <c r="Q2856" t="n">
        <v>0</v>
      </c>
      <c r="R2856" s="2" t="inlineStr"/>
    </row>
    <row r="2857" ht="15" customHeight="1">
      <c r="A2857" t="inlineStr">
        <is>
          <t>A 25927-2020</t>
        </is>
      </c>
      <c r="B2857" s="1" t="n">
        <v>43984</v>
      </c>
      <c r="C2857" s="1" t="n">
        <v>45182</v>
      </c>
      <c r="D2857" t="inlineStr">
        <is>
          <t>JÄMTLANDS LÄN</t>
        </is>
      </c>
      <c r="E2857" t="inlineStr">
        <is>
          <t>RAGUNDA</t>
        </is>
      </c>
      <c r="F2857" t="inlineStr">
        <is>
          <t>SCA</t>
        </is>
      </c>
      <c r="G2857" t="n">
        <v>0.3</v>
      </c>
      <c r="H2857" t="n">
        <v>0</v>
      </c>
      <c r="I2857" t="n">
        <v>0</v>
      </c>
      <c r="J2857" t="n">
        <v>0</v>
      </c>
      <c r="K2857" t="n">
        <v>0</v>
      </c>
      <c r="L2857" t="n">
        <v>0</v>
      </c>
      <c r="M2857" t="n">
        <v>0</v>
      </c>
      <c r="N2857" t="n">
        <v>0</v>
      </c>
      <c r="O2857" t="n">
        <v>0</v>
      </c>
      <c r="P2857" t="n">
        <v>0</v>
      </c>
      <c r="Q2857" t="n">
        <v>0</v>
      </c>
      <c r="R2857" s="2" t="inlineStr"/>
    </row>
    <row r="2858" ht="15" customHeight="1">
      <c r="A2858" t="inlineStr">
        <is>
          <t>A 26056-2020</t>
        </is>
      </c>
      <c r="B2858" s="1" t="n">
        <v>43984</v>
      </c>
      <c r="C2858" s="1" t="n">
        <v>45182</v>
      </c>
      <c r="D2858" t="inlineStr">
        <is>
          <t>JÄMTLANDS LÄN</t>
        </is>
      </c>
      <c r="E2858" t="inlineStr">
        <is>
          <t>HÄRJEDALEN</t>
        </is>
      </c>
      <c r="G2858" t="n">
        <v>53.1</v>
      </c>
      <c r="H2858" t="n">
        <v>0</v>
      </c>
      <c r="I2858" t="n">
        <v>0</v>
      </c>
      <c r="J2858" t="n">
        <v>0</v>
      </c>
      <c r="K2858" t="n">
        <v>0</v>
      </c>
      <c r="L2858" t="n">
        <v>0</v>
      </c>
      <c r="M2858" t="n">
        <v>0</v>
      </c>
      <c r="N2858" t="n">
        <v>0</v>
      </c>
      <c r="O2858" t="n">
        <v>0</v>
      </c>
      <c r="P2858" t="n">
        <v>0</v>
      </c>
      <c r="Q2858" t="n">
        <v>0</v>
      </c>
      <c r="R2858" s="2" t="inlineStr"/>
    </row>
    <row r="2859" ht="15" customHeight="1">
      <c r="A2859" t="inlineStr">
        <is>
          <t>A 25997-2020</t>
        </is>
      </c>
      <c r="B2859" s="1" t="n">
        <v>43985</v>
      </c>
      <c r="C2859" s="1" t="n">
        <v>45182</v>
      </c>
      <c r="D2859" t="inlineStr">
        <is>
          <t>JÄMTLANDS LÄN</t>
        </is>
      </c>
      <c r="E2859" t="inlineStr">
        <is>
          <t>STRÖMSUND</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26169-2020</t>
        </is>
      </c>
      <c r="B2860" s="1" t="n">
        <v>43985</v>
      </c>
      <c r="C2860" s="1" t="n">
        <v>45182</v>
      </c>
      <c r="D2860" t="inlineStr">
        <is>
          <t>JÄMTLANDS LÄN</t>
        </is>
      </c>
      <c r="E2860" t="inlineStr">
        <is>
          <t>BRÄCKE</t>
        </is>
      </c>
      <c r="F2860" t="inlineStr">
        <is>
          <t>SCA</t>
        </is>
      </c>
      <c r="G2860" t="n">
        <v>1.2</v>
      </c>
      <c r="H2860" t="n">
        <v>0</v>
      </c>
      <c r="I2860" t="n">
        <v>0</v>
      </c>
      <c r="J2860" t="n">
        <v>0</v>
      </c>
      <c r="K2860" t="n">
        <v>0</v>
      </c>
      <c r="L2860" t="n">
        <v>0</v>
      </c>
      <c r="M2860" t="n">
        <v>0</v>
      </c>
      <c r="N2860" t="n">
        <v>0</v>
      </c>
      <c r="O2860" t="n">
        <v>0</v>
      </c>
      <c r="P2860" t="n">
        <v>0</v>
      </c>
      <c r="Q2860" t="n">
        <v>0</v>
      </c>
      <c r="R2860" s="2" t="inlineStr"/>
    </row>
    <row r="2861" ht="15" customHeight="1">
      <c r="A2861" t="inlineStr">
        <is>
          <t>A 25975-2020</t>
        </is>
      </c>
      <c r="B2861" s="1" t="n">
        <v>43985</v>
      </c>
      <c r="C2861" s="1" t="n">
        <v>45182</v>
      </c>
      <c r="D2861" t="inlineStr">
        <is>
          <t>JÄMTLANDS LÄN</t>
        </is>
      </c>
      <c r="E2861" t="inlineStr">
        <is>
          <t>BERG</t>
        </is>
      </c>
      <c r="G2861" t="n">
        <v>5.4</v>
      </c>
      <c r="H2861" t="n">
        <v>0</v>
      </c>
      <c r="I2861" t="n">
        <v>0</v>
      </c>
      <c r="J2861" t="n">
        <v>0</v>
      </c>
      <c r="K2861" t="n">
        <v>0</v>
      </c>
      <c r="L2861" t="n">
        <v>0</v>
      </c>
      <c r="M2861" t="n">
        <v>0</v>
      </c>
      <c r="N2861" t="n">
        <v>0</v>
      </c>
      <c r="O2861" t="n">
        <v>0</v>
      </c>
      <c r="P2861" t="n">
        <v>0</v>
      </c>
      <c r="Q2861" t="n">
        <v>0</v>
      </c>
      <c r="R2861" s="2" t="inlineStr"/>
    </row>
    <row r="2862" ht="15" customHeight="1">
      <c r="A2862" t="inlineStr">
        <is>
          <t>A 26175-2020</t>
        </is>
      </c>
      <c r="B2862" s="1" t="n">
        <v>43985</v>
      </c>
      <c r="C2862" s="1" t="n">
        <v>45182</v>
      </c>
      <c r="D2862" t="inlineStr">
        <is>
          <t>JÄMTLANDS LÄN</t>
        </is>
      </c>
      <c r="E2862" t="inlineStr">
        <is>
          <t>BERG</t>
        </is>
      </c>
      <c r="F2862" t="inlineStr">
        <is>
          <t>SCA</t>
        </is>
      </c>
      <c r="G2862" t="n">
        <v>4.1</v>
      </c>
      <c r="H2862" t="n">
        <v>0</v>
      </c>
      <c r="I2862" t="n">
        <v>0</v>
      </c>
      <c r="J2862" t="n">
        <v>0</v>
      </c>
      <c r="K2862" t="n">
        <v>0</v>
      </c>
      <c r="L2862" t="n">
        <v>0</v>
      </c>
      <c r="M2862" t="n">
        <v>0</v>
      </c>
      <c r="N2862" t="n">
        <v>0</v>
      </c>
      <c r="O2862" t="n">
        <v>0</v>
      </c>
      <c r="P2862" t="n">
        <v>0</v>
      </c>
      <c r="Q2862" t="n">
        <v>0</v>
      </c>
      <c r="R2862" s="2" t="inlineStr"/>
    </row>
    <row r="2863" ht="15" customHeight="1">
      <c r="A2863" t="inlineStr">
        <is>
          <t>A 25984-2020</t>
        </is>
      </c>
      <c r="B2863" s="1" t="n">
        <v>43985</v>
      </c>
      <c r="C2863" s="1" t="n">
        <v>45182</v>
      </c>
      <c r="D2863" t="inlineStr">
        <is>
          <t>JÄMTLANDS LÄN</t>
        </is>
      </c>
      <c r="E2863" t="inlineStr">
        <is>
          <t>BERG</t>
        </is>
      </c>
      <c r="G2863" t="n">
        <v>3.6</v>
      </c>
      <c r="H2863" t="n">
        <v>0</v>
      </c>
      <c r="I2863" t="n">
        <v>0</v>
      </c>
      <c r="J2863" t="n">
        <v>0</v>
      </c>
      <c r="K2863" t="n">
        <v>0</v>
      </c>
      <c r="L2863" t="n">
        <v>0</v>
      </c>
      <c r="M2863" t="n">
        <v>0</v>
      </c>
      <c r="N2863" t="n">
        <v>0</v>
      </c>
      <c r="O2863" t="n">
        <v>0</v>
      </c>
      <c r="P2863" t="n">
        <v>0</v>
      </c>
      <c r="Q2863" t="n">
        <v>0</v>
      </c>
      <c r="R2863" s="2" t="inlineStr"/>
    </row>
    <row r="2864" ht="15" customHeight="1">
      <c r="A2864" t="inlineStr">
        <is>
          <t>A 25978-2020</t>
        </is>
      </c>
      <c r="B2864" s="1" t="n">
        <v>43985</v>
      </c>
      <c r="C2864" s="1" t="n">
        <v>45182</v>
      </c>
      <c r="D2864" t="inlineStr">
        <is>
          <t>JÄMTLANDS LÄN</t>
        </is>
      </c>
      <c r="E2864" t="inlineStr">
        <is>
          <t>BERG</t>
        </is>
      </c>
      <c r="G2864" t="n">
        <v>1.3</v>
      </c>
      <c r="H2864" t="n">
        <v>0</v>
      </c>
      <c r="I2864" t="n">
        <v>0</v>
      </c>
      <c r="J2864" t="n">
        <v>0</v>
      </c>
      <c r="K2864" t="n">
        <v>0</v>
      </c>
      <c r="L2864" t="n">
        <v>0</v>
      </c>
      <c r="M2864" t="n">
        <v>0</v>
      </c>
      <c r="N2864" t="n">
        <v>0</v>
      </c>
      <c r="O2864" t="n">
        <v>0</v>
      </c>
      <c r="P2864" t="n">
        <v>0</v>
      </c>
      <c r="Q2864" t="n">
        <v>0</v>
      </c>
      <c r="R2864" s="2" t="inlineStr"/>
    </row>
    <row r="2865" ht="15" customHeight="1">
      <c r="A2865" t="inlineStr">
        <is>
          <t>A 25993-2020</t>
        </is>
      </c>
      <c r="B2865" s="1" t="n">
        <v>43985</v>
      </c>
      <c r="C2865" s="1" t="n">
        <v>45182</v>
      </c>
      <c r="D2865" t="inlineStr">
        <is>
          <t>JÄMTLANDS LÄN</t>
        </is>
      </c>
      <c r="E2865" t="inlineStr">
        <is>
          <t>BERG</t>
        </is>
      </c>
      <c r="G2865" t="n">
        <v>0.3</v>
      </c>
      <c r="H2865" t="n">
        <v>0</v>
      </c>
      <c r="I2865" t="n">
        <v>0</v>
      </c>
      <c r="J2865" t="n">
        <v>0</v>
      </c>
      <c r="K2865" t="n">
        <v>0</v>
      </c>
      <c r="L2865" t="n">
        <v>0</v>
      </c>
      <c r="M2865" t="n">
        <v>0</v>
      </c>
      <c r="N2865" t="n">
        <v>0</v>
      </c>
      <c r="O2865" t="n">
        <v>0</v>
      </c>
      <c r="P2865" t="n">
        <v>0</v>
      </c>
      <c r="Q2865" t="n">
        <v>0</v>
      </c>
      <c r="R2865" s="2" t="inlineStr"/>
    </row>
    <row r="2866" ht="15" customHeight="1">
      <c r="A2866" t="inlineStr">
        <is>
          <t>A 26168-2020</t>
        </is>
      </c>
      <c r="B2866" s="1" t="n">
        <v>43985</v>
      </c>
      <c r="C2866" s="1" t="n">
        <v>45182</v>
      </c>
      <c r="D2866" t="inlineStr">
        <is>
          <t>JÄMTLANDS LÄN</t>
        </is>
      </c>
      <c r="E2866" t="inlineStr">
        <is>
          <t>BRÄCKE</t>
        </is>
      </c>
      <c r="F2866" t="inlineStr">
        <is>
          <t>SCA</t>
        </is>
      </c>
      <c r="G2866" t="n">
        <v>1.4</v>
      </c>
      <c r="H2866" t="n">
        <v>0</v>
      </c>
      <c r="I2866" t="n">
        <v>0</v>
      </c>
      <c r="J2866" t="n">
        <v>0</v>
      </c>
      <c r="K2866" t="n">
        <v>0</v>
      </c>
      <c r="L2866" t="n">
        <v>0</v>
      </c>
      <c r="M2866" t="n">
        <v>0</v>
      </c>
      <c r="N2866" t="n">
        <v>0</v>
      </c>
      <c r="O2866" t="n">
        <v>0</v>
      </c>
      <c r="P2866" t="n">
        <v>0</v>
      </c>
      <c r="Q2866" t="n">
        <v>0</v>
      </c>
      <c r="R2866" s="2" t="inlineStr"/>
    </row>
    <row r="2867" ht="15" customHeight="1">
      <c r="A2867" t="inlineStr">
        <is>
          <t>A 26190-2020</t>
        </is>
      </c>
      <c r="B2867" s="1" t="n">
        <v>43985</v>
      </c>
      <c r="C2867" s="1" t="n">
        <v>45182</v>
      </c>
      <c r="D2867" t="inlineStr">
        <is>
          <t>JÄMTLANDS LÄN</t>
        </is>
      </c>
      <c r="E2867" t="inlineStr">
        <is>
          <t>STRÖMSUND</t>
        </is>
      </c>
      <c r="F2867" t="inlineStr">
        <is>
          <t>SCA</t>
        </is>
      </c>
      <c r="G2867" t="n">
        <v>0.7</v>
      </c>
      <c r="H2867" t="n">
        <v>0</v>
      </c>
      <c r="I2867" t="n">
        <v>0</v>
      </c>
      <c r="J2867" t="n">
        <v>0</v>
      </c>
      <c r="K2867" t="n">
        <v>0</v>
      </c>
      <c r="L2867" t="n">
        <v>0</v>
      </c>
      <c r="M2867" t="n">
        <v>0</v>
      </c>
      <c r="N2867" t="n">
        <v>0</v>
      </c>
      <c r="O2867" t="n">
        <v>0</v>
      </c>
      <c r="P2867" t="n">
        <v>0</v>
      </c>
      <c r="Q2867" t="n">
        <v>0</v>
      </c>
      <c r="R2867" s="2" t="inlineStr"/>
    </row>
    <row r="2868" ht="15" customHeight="1">
      <c r="A2868" t="inlineStr">
        <is>
          <t>A 26264-2020</t>
        </is>
      </c>
      <c r="B2868" s="1" t="n">
        <v>43986</v>
      </c>
      <c r="C2868" s="1" t="n">
        <v>45182</v>
      </c>
      <c r="D2868" t="inlineStr">
        <is>
          <t>JÄMTLANDS LÄN</t>
        </is>
      </c>
      <c r="E2868" t="inlineStr">
        <is>
          <t>RAGUNDA</t>
        </is>
      </c>
      <c r="F2868" t="inlineStr">
        <is>
          <t>Kommuner</t>
        </is>
      </c>
      <c r="G2868" t="n">
        <v>5.5</v>
      </c>
      <c r="H2868" t="n">
        <v>0</v>
      </c>
      <c r="I2868" t="n">
        <v>0</v>
      </c>
      <c r="J2868" t="n">
        <v>0</v>
      </c>
      <c r="K2868" t="n">
        <v>0</v>
      </c>
      <c r="L2868" t="n">
        <v>0</v>
      </c>
      <c r="M2868" t="n">
        <v>0</v>
      </c>
      <c r="N2868" t="n">
        <v>0</v>
      </c>
      <c r="O2868" t="n">
        <v>0</v>
      </c>
      <c r="P2868" t="n">
        <v>0</v>
      </c>
      <c r="Q2868" t="n">
        <v>0</v>
      </c>
      <c r="R2868" s="2" t="inlineStr"/>
    </row>
    <row r="2869" ht="15" customHeight="1">
      <c r="A2869" t="inlineStr">
        <is>
          <t>A 26410-2020</t>
        </is>
      </c>
      <c r="B2869" s="1" t="n">
        <v>43986</v>
      </c>
      <c r="C2869" s="1" t="n">
        <v>45182</v>
      </c>
      <c r="D2869" t="inlineStr">
        <is>
          <t>JÄMTLANDS LÄN</t>
        </is>
      </c>
      <c r="E2869" t="inlineStr">
        <is>
          <t>ÖSTERSUND</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26262-2020</t>
        </is>
      </c>
      <c r="B2870" s="1" t="n">
        <v>43986</v>
      </c>
      <c r="C2870" s="1" t="n">
        <v>45182</v>
      </c>
      <c r="D2870" t="inlineStr">
        <is>
          <t>JÄMTLANDS LÄN</t>
        </is>
      </c>
      <c r="E2870" t="inlineStr">
        <is>
          <t>RAGUNDA</t>
        </is>
      </c>
      <c r="F2870" t="inlineStr">
        <is>
          <t>Kommuner</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26629-2020</t>
        </is>
      </c>
      <c r="B2871" s="1" t="n">
        <v>43987</v>
      </c>
      <c r="C2871" s="1" t="n">
        <v>45182</v>
      </c>
      <c r="D2871" t="inlineStr">
        <is>
          <t>JÄMTLANDS LÄN</t>
        </is>
      </c>
      <c r="E2871" t="inlineStr">
        <is>
          <t>STRÖMSUND</t>
        </is>
      </c>
      <c r="F2871" t="inlineStr">
        <is>
          <t>SCA</t>
        </is>
      </c>
      <c r="G2871" t="n">
        <v>1.2</v>
      </c>
      <c r="H2871" t="n">
        <v>0</v>
      </c>
      <c r="I2871" t="n">
        <v>0</v>
      </c>
      <c r="J2871" t="n">
        <v>0</v>
      </c>
      <c r="K2871" t="n">
        <v>0</v>
      </c>
      <c r="L2871" t="n">
        <v>0</v>
      </c>
      <c r="M2871" t="n">
        <v>0</v>
      </c>
      <c r="N2871" t="n">
        <v>0</v>
      </c>
      <c r="O2871" t="n">
        <v>0</v>
      </c>
      <c r="P2871" t="n">
        <v>0</v>
      </c>
      <c r="Q2871" t="n">
        <v>0</v>
      </c>
      <c r="R2871" s="2" t="inlineStr"/>
    </row>
    <row r="2872" ht="15" customHeight="1">
      <c r="A2872" t="inlineStr">
        <is>
          <t>A 26669-2020</t>
        </is>
      </c>
      <c r="B2872" s="1" t="n">
        <v>43989</v>
      </c>
      <c r="C2872" s="1" t="n">
        <v>45182</v>
      </c>
      <c r="D2872" t="inlineStr">
        <is>
          <t>JÄMTLANDS LÄN</t>
        </is>
      </c>
      <c r="E2872" t="inlineStr">
        <is>
          <t>STRÖMSUND</t>
        </is>
      </c>
      <c r="G2872" t="n">
        <v>8.699999999999999</v>
      </c>
      <c r="H2872" t="n">
        <v>0</v>
      </c>
      <c r="I2872" t="n">
        <v>0</v>
      </c>
      <c r="J2872" t="n">
        <v>0</v>
      </c>
      <c r="K2872" t="n">
        <v>0</v>
      </c>
      <c r="L2872" t="n">
        <v>0</v>
      </c>
      <c r="M2872" t="n">
        <v>0</v>
      </c>
      <c r="N2872" t="n">
        <v>0</v>
      </c>
      <c r="O2872" t="n">
        <v>0</v>
      </c>
      <c r="P2872" t="n">
        <v>0</v>
      </c>
      <c r="Q2872" t="n">
        <v>0</v>
      </c>
      <c r="R2872" s="2" t="inlineStr"/>
    </row>
    <row r="2873" ht="15" customHeight="1">
      <c r="A2873" t="inlineStr">
        <is>
          <t>A 26670-2020</t>
        </is>
      </c>
      <c r="B2873" s="1" t="n">
        <v>43989</v>
      </c>
      <c r="C2873" s="1" t="n">
        <v>45182</v>
      </c>
      <c r="D2873" t="inlineStr">
        <is>
          <t>JÄMTLANDS LÄN</t>
        </is>
      </c>
      <c r="E2873" t="inlineStr">
        <is>
          <t>STRÖMSUND</t>
        </is>
      </c>
      <c r="G2873" t="n">
        <v>2.3</v>
      </c>
      <c r="H2873" t="n">
        <v>0</v>
      </c>
      <c r="I2873" t="n">
        <v>0</v>
      </c>
      <c r="J2873" t="n">
        <v>0</v>
      </c>
      <c r="K2873" t="n">
        <v>0</v>
      </c>
      <c r="L2873" t="n">
        <v>0</v>
      </c>
      <c r="M2873" t="n">
        <v>0</v>
      </c>
      <c r="N2873" t="n">
        <v>0</v>
      </c>
      <c r="O2873" t="n">
        <v>0</v>
      </c>
      <c r="P2873" t="n">
        <v>0</v>
      </c>
      <c r="Q2873" t="n">
        <v>0</v>
      </c>
      <c r="R2873" s="2" t="inlineStr"/>
    </row>
    <row r="2874" ht="15" customHeight="1">
      <c r="A2874" t="inlineStr">
        <is>
          <t>A 26966-2020</t>
        </is>
      </c>
      <c r="B2874" s="1" t="n">
        <v>43990</v>
      </c>
      <c r="C2874" s="1" t="n">
        <v>45182</v>
      </c>
      <c r="D2874" t="inlineStr">
        <is>
          <t>JÄMTLANDS LÄN</t>
        </is>
      </c>
      <c r="E2874" t="inlineStr">
        <is>
          <t>RAGUNDA</t>
        </is>
      </c>
      <c r="F2874" t="inlineStr">
        <is>
          <t>SCA</t>
        </is>
      </c>
      <c r="G2874" t="n">
        <v>7</v>
      </c>
      <c r="H2874" t="n">
        <v>0</v>
      </c>
      <c r="I2874" t="n">
        <v>0</v>
      </c>
      <c r="J2874" t="n">
        <v>0</v>
      </c>
      <c r="K2874" t="n">
        <v>0</v>
      </c>
      <c r="L2874" t="n">
        <v>0</v>
      </c>
      <c r="M2874" t="n">
        <v>0</v>
      </c>
      <c r="N2874" t="n">
        <v>0</v>
      </c>
      <c r="O2874" t="n">
        <v>0</v>
      </c>
      <c r="P2874" t="n">
        <v>0</v>
      </c>
      <c r="Q2874" t="n">
        <v>0</v>
      </c>
      <c r="R2874" s="2" t="inlineStr"/>
    </row>
    <row r="2875" ht="15" customHeight="1">
      <c r="A2875" t="inlineStr">
        <is>
          <t>A 27191-2020</t>
        </is>
      </c>
      <c r="B2875" s="1" t="n">
        <v>43991</v>
      </c>
      <c r="C2875" s="1" t="n">
        <v>45182</v>
      </c>
      <c r="D2875" t="inlineStr">
        <is>
          <t>JÄMTLANDS LÄN</t>
        </is>
      </c>
      <c r="E2875" t="inlineStr">
        <is>
          <t>BRÄCKE</t>
        </is>
      </c>
      <c r="F2875" t="inlineStr">
        <is>
          <t>SCA</t>
        </is>
      </c>
      <c r="G2875" t="n">
        <v>4.3</v>
      </c>
      <c r="H2875" t="n">
        <v>0</v>
      </c>
      <c r="I2875" t="n">
        <v>0</v>
      </c>
      <c r="J2875" t="n">
        <v>0</v>
      </c>
      <c r="K2875" t="n">
        <v>0</v>
      </c>
      <c r="L2875" t="n">
        <v>0</v>
      </c>
      <c r="M2875" t="n">
        <v>0</v>
      </c>
      <c r="N2875" t="n">
        <v>0</v>
      </c>
      <c r="O2875" t="n">
        <v>0</v>
      </c>
      <c r="P2875" t="n">
        <v>0</v>
      </c>
      <c r="Q2875" t="n">
        <v>0</v>
      </c>
      <c r="R2875" s="2" t="inlineStr"/>
    </row>
    <row r="2876" ht="15" customHeight="1">
      <c r="A2876" t="inlineStr">
        <is>
          <t>A 27056-2020</t>
        </is>
      </c>
      <c r="B2876" s="1" t="n">
        <v>43991</v>
      </c>
      <c r="C2876" s="1" t="n">
        <v>45182</v>
      </c>
      <c r="D2876" t="inlineStr">
        <is>
          <t>JÄMTLANDS LÄN</t>
        </is>
      </c>
      <c r="E2876" t="inlineStr">
        <is>
          <t>KROKOM</t>
        </is>
      </c>
      <c r="F2876" t="inlineStr">
        <is>
          <t>Övriga Aktiebolag</t>
        </is>
      </c>
      <c r="G2876" t="n">
        <v>4.7</v>
      </c>
      <c r="H2876" t="n">
        <v>0</v>
      </c>
      <c r="I2876" t="n">
        <v>0</v>
      </c>
      <c r="J2876" t="n">
        <v>0</v>
      </c>
      <c r="K2876" t="n">
        <v>0</v>
      </c>
      <c r="L2876" t="n">
        <v>0</v>
      </c>
      <c r="M2876" t="n">
        <v>0</v>
      </c>
      <c r="N2876" t="n">
        <v>0</v>
      </c>
      <c r="O2876" t="n">
        <v>0</v>
      </c>
      <c r="P2876" t="n">
        <v>0</v>
      </c>
      <c r="Q2876" t="n">
        <v>0</v>
      </c>
      <c r="R2876" s="2" t="inlineStr"/>
    </row>
    <row r="2877" ht="15" customHeight="1">
      <c r="A2877" t="inlineStr">
        <is>
          <t>A 27190-2020</t>
        </is>
      </c>
      <c r="B2877" s="1" t="n">
        <v>43991</v>
      </c>
      <c r="C2877" s="1" t="n">
        <v>45182</v>
      </c>
      <c r="D2877" t="inlineStr">
        <is>
          <t>JÄMTLANDS LÄN</t>
        </is>
      </c>
      <c r="E2877" t="inlineStr">
        <is>
          <t>BRÄCKE</t>
        </is>
      </c>
      <c r="F2877" t="inlineStr">
        <is>
          <t>SCA</t>
        </is>
      </c>
      <c r="G2877" t="n">
        <v>3.9</v>
      </c>
      <c r="H2877" t="n">
        <v>0</v>
      </c>
      <c r="I2877" t="n">
        <v>0</v>
      </c>
      <c r="J2877" t="n">
        <v>0</v>
      </c>
      <c r="K2877" t="n">
        <v>0</v>
      </c>
      <c r="L2877" t="n">
        <v>0</v>
      </c>
      <c r="M2877" t="n">
        <v>0</v>
      </c>
      <c r="N2877" t="n">
        <v>0</v>
      </c>
      <c r="O2877" t="n">
        <v>0</v>
      </c>
      <c r="P2877" t="n">
        <v>0</v>
      </c>
      <c r="Q2877" t="n">
        <v>0</v>
      </c>
      <c r="R2877" s="2" t="inlineStr"/>
    </row>
    <row r="2878" ht="15" customHeight="1">
      <c r="A2878" t="inlineStr">
        <is>
          <t>A 27202-2020</t>
        </is>
      </c>
      <c r="B2878" s="1" t="n">
        <v>43991</v>
      </c>
      <c r="C2878" s="1" t="n">
        <v>45182</v>
      </c>
      <c r="D2878" t="inlineStr">
        <is>
          <t>JÄMTLANDS LÄN</t>
        </is>
      </c>
      <c r="E2878" t="inlineStr">
        <is>
          <t>STRÖMSUND</t>
        </is>
      </c>
      <c r="F2878" t="inlineStr">
        <is>
          <t>SCA</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27366-2020</t>
        </is>
      </c>
      <c r="B2879" s="1" t="n">
        <v>43992</v>
      </c>
      <c r="C2879" s="1" t="n">
        <v>45182</v>
      </c>
      <c r="D2879" t="inlineStr">
        <is>
          <t>JÄMTLANDS LÄN</t>
        </is>
      </c>
      <c r="E2879" t="inlineStr">
        <is>
          <t>RAGUNDA</t>
        </is>
      </c>
      <c r="G2879" t="n">
        <v>2.5</v>
      </c>
      <c r="H2879" t="n">
        <v>0</v>
      </c>
      <c r="I2879" t="n">
        <v>0</v>
      </c>
      <c r="J2879" t="n">
        <v>0</v>
      </c>
      <c r="K2879" t="n">
        <v>0</v>
      </c>
      <c r="L2879" t="n">
        <v>0</v>
      </c>
      <c r="M2879" t="n">
        <v>0</v>
      </c>
      <c r="N2879" t="n">
        <v>0</v>
      </c>
      <c r="O2879" t="n">
        <v>0</v>
      </c>
      <c r="P2879" t="n">
        <v>0</v>
      </c>
      <c r="Q2879" t="n">
        <v>0</v>
      </c>
      <c r="R2879" s="2" t="inlineStr"/>
    </row>
    <row r="2880" ht="15" customHeight="1">
      <c r="A2880" t="inlineStr">
        <is>
          <t>A 27415-2020</t>
        </is>
      </c>
      <c r="B2880" s="1" t="n">
        <v>43992</v>
      </c>
      <c r="C2880" s="1" t="n">
        <v>45182</v>
      </c>
      <c r="D2880" t="inlineStr">
        <is>
          <t>JÄMTLANDS LÄN</t>
        </is>
      </c>
      <c r="E2880" t="inlineStr">
        <is>
          <t>STRÖMSUND</t>
        </is>
      </c>
      <c r="F2880" t="inlineStr">
        <is>
          <t>SCA</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27369-2020</t>
        </is>
      </c>
      <c r="B2881" s="1" t="n">
        <v>43992</v>
      </c>
      <c r="C2881" s="1" t="n">
        <v>45182</v>
      </c>
      <c r="D2881" t="inlineStr">
        <is>
          <t>JÄMTLANDS LÄN</t>
        </is>
      </c>
      <c r="E2881" t="inlineStr">
        <is>
          <t>ÅRE</t>
        </is>
      </c>
      <c r="G2881" t="n">
        <v>7.3</v>
      </c>
      <c r="H2881" t="n">
        <v>0</v>
      </c>
      <c r="I2881" t="n">
        <v>0</v>
      </c>
      <c r="J2881" t="n">
        <v>0</v>
      </c>
      <c r="K2881" t="n">
        <v>0</v>
      </c>
      <c r="L2881" t="n">
        <v>0</v>
      </c>
      <c r="M2881" t="n">
        <v>0</v>
      </c>
      <c r="N2881" t="n">
        <v>0</v>
      </c>
      <c r="O2881" t="n">
        <v>0</v>
      </c>
      <c r="P2881" t="n">
        <v>0</v>
      </c>
      <c r="Q2881" t="n">
        <v>0</v>
      </c>
      <c r="R2881" s="2" t="inlineStr"/>
    </row>
    <row r="2882" ht="15" customHeight="1">
      <c r="A2882" t="inlineStr">
        <is>
          <t>A 27576-2020</t>
        </is>
      </c>
      <c r="B2882" s="1" t="n">
        <v>43992</v>
      </c>
      <c r="C2882" s="1" t="n">
        <v>45182</v>
      </c>
      <c r="D2882" t="inlineStr">
        <is>
          <t>JÄMTLANDS LÄN</t>
        </is>
      </c>
      <c r="E2882" t="inlineStr">
        <is>
          <t>ÖSTERSUND</t>
        </is>
      </c>
      <c r="G2882" t="n">
        <v>1.6</v>
      </c>
      <c r="H2882" t="n">
        <v>0</v>
      </c>
      <c r="I2882" t="n">
        <v>0</v>
      </c>
      <c r="J2882" t="n">
        <v>0</v>
      </c>
      <c r="K2882" t="n">
        <v>0</v>
      </c>
      <c r="L2882" t="n">
        <v>0</v>
      </c>
      <c r="M2882" t="n">
        <v>0</v>
      </c>
      <c r="N2882" t="n">
        <v>0</v>
      </c>
      <c r="O2882" t="n">
        <v>0</v>
      </c>
      <c r="P2882" t="n">
        <v>0</v>
      </c>
      <c r="Q2882" t="n">
        <v>0</v>
      </c>
      <c r="R2882" s="2" t="inlineStr"/>
    </row>
    <row r="2883" ht="15" customHeight="1">
      <c r="A2883" t="inlineStr">
        <is>
          <t>A 27292-2020</t>
        </is>
      </c>
      <c r="B2883" s="1" t="n">
        <v>43992</v>
      </c>
      <c r="C2883" s="1" t="n">
        <v>45182</v>
      </c>
      <c r="D2883" t="inlineStr">
        <is>
          <t>JÄMTLANDS LÄN</t>
        </is>
      </c>
      <c r="E2883" t="inlineStr">
        <is>
          <t>ÅRE</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27854-2020</t>
        </is>
      </c>
      <c r="B2884" s="1" t="n">
        <v>43994</v>
      </c>
      <c r="C2884" s="1" t="n">
        <v>45182</v>
      </c>
      <c r="D2884" t="inlineStr">
        <is>
          <t>JÄMTLANDS LÄN</t>
        </is>
      </c>
      <c r="E2884" t="inlineStr">
        <is>
          <t>HÄRJEDALEN</t>
        </is>
      </c>
      <c r="F2884" t="inlineStr">
        <is>
          <t>Sveaskog</t>
        </is>
      </c>
      <c r="G2884" t="n">
        <v>7.1</v>
      </c>
      <c r="H2884" t="n">
        <v>0</v>
      </c>
      <c r="I2884" t="n">
        <v>0</v>
      </c>
      <c r="J2884" t="n">
        <v>0</v>
      </c>
      <c r="K2884" t="n">
        <v>0</v>
      </c>
      <c r="L2884" t="n">
        <v>0</v>
      </c>
      <c r="M2884" t="n">
        <v>0</v>
      </c>
      <c r="N2884" t="n">
        <v>0</v>
      </c>
      <c r="O2884" t="n">
        <v>0</v>
      </c>
      <c r="P2884" t="n">
        <v>0</v>
      </c>
      <c r="Q2884" t="n">
        <v>0</v>
      </c>
      <c r="R2884" s="2" t="inlineStr"/>
    </row>
    <row r="2885" ht="15" customHeight="1">
      <c r="A2885" t="inlineStr">
        <is>
          <t>A 27709-2020</t>
        </is>
      </c>
      <c r="B2885" s="1" t="n">
        <v>43994</v>
      </c>
      <c r="C2885" s="1" t="n">
        <v>45182</v>
      </c>
      <c r="D2885" t="inlineStr">
        <is>
          <t>JÄMTLANDS LÄN</t>
        </is>
      </c>
      <c r="E2885" t="inlineStr">
        <is>
          <t>STRÖMSUND</t>
        </is>
      </c>
      <c r="G2885" t="n">
        <v>2.9</v>
      </c>
      <c r="H2885" t="n">
        <v>0</v>
      </c>
      <c r="I2885" t="n">
        <v>0</v>
      </c>
      <c r="J2885" t="n">
        <v>0</v>
      </c>
      <c r="K2885" t="n">
        <v>0</v>
      </c>
      <c r="L2885" t="n">
        <v>0</v>
      </c>
      <c r="M2885" t="n">
        <v>0</v>
      </c>
      <c r="N2885" t="n">
        <v>0</v>
      </c>
      <c r="O2885" t="n">
        <v>0</v>
      </c>
      <c r="P2885" t="n">
        <v>0</v>
      </c>
      <c r="Q2885" t="n">
        <v>0</v>
      </c>
      <c r="R2885" s="2" t="inlineStr"/>
    </row>
    <row r="2886" ht="15" customHeight="1">
      <c r="A2886" t="inlineStr">
        <is>
          <t>A 28196-2020</t>
        </is>
      </c>
      <c r="B2886" s="1" t="n">
        <v>43997</v>
      </c>
      <c r="C2886" s="1" t="n">
        <v>45182</v>
      </c>
      <c r="D2886" t="inlineStr">
        <is>
          <t>JÄMTLANDS LÄN</t>
        </is>
      </c>
      <c r="E2886" t="inlineStr">
        <is>
          <t>STRÖMSUND</t>
        </is>
      </c>
      <c r="F2886" t="inlineStr">
        <is>
          <t>SCA</t>
        </is>
      </c>
      <c r="G2886" t="n">
        <v>7.7</v>
      </c>
      <c r="H2886" t="n">
        <v>0</v>
      </c>
      <c r="I2886" t="n">
        <v>0</v>
      </c>
      <c r="J2886" t="n">
        <v>0</v>
      </c>
      <c r="K2886" t="n">
        <v>0</v>
      </c>
      <c r="L2886" t="n">
        <v>0</v>
      </c>
      <c r="M2886" t="n">
        <v>0</v>
      </c>
      <c r="N2886" t="n">
        <v>0</v>
      </c>
      <c r="O2886" t="n">
        <v>0</v>
      </c>
      <c r="P2886" t="n">
        <v>0</v>
      </c>
      <c r="Q2886" t="n">
        <v>0</v>
      </c>
      <c r="R2886" s="2" t="inlineStr"/>
    </row>
    <row r="2887" ht="15" customHeight="1">
      <c r="A2887" t="inlineStr">
        <is>
          <t>A 28701-2020</t>
        </is>
      </c>
      <c r="B2887" s="1" t="n">
        <v>43997</v>
      </c>
      <c r="C2887" s="1" t="n">
        <v>45182</v>
      </c>
      <c r="D2887" t="inlineStr">
        <is>
          <t>JÄMTLANDS LÄN</t>
        </is>
      </c>
      <c r="E2887" t="inlineStr">
        <is>
          <t>BRÄCKE</t>
        </is>
      </c>
      <c r="G2887" t="n">
        <v>1.3</v>
      </c>
      <c r="H2887" t="n">
        <v>0</v>
      </c>
      <c r="I2887" t="n">
        <v>0</v>
      </c>
      <c r="J2887" t="n">
        <v>0</v>
      </c>
      <c r="K2887" t="n">
        <v>0</v>
      </c>
      <c r="L2887" t="n">
        <v>0</v>
      </c>
      <c r="M2887" t="n">
        <v>0</v>
      </c>
      <c r="N2887" t="n">
        <v>0</v>
      </c>
      <c r="O2887" t="n">
        <v>0</v>
      </c>
      <c r="P2887" t="n">
        <v>0</v>
      </c>
      <c r="Q2887" t="n">
        <v>0</v>
      </c>
      <c r="R2887" s="2" t="inlineStr"/>
    </row>
    <row r="2888" ht="15" customHeight="1">
      <c r="A2888" t="inlineStr">
        <is>
          <t>A 28213-2020</t>
        </is>
      </c>
      <c r="B2888" s="1" t="n">
        <v>43997</v>
      </c>
      <c r="C2888" s="1" t="n">
        <v>45182</v>
      </c>
      <c r="D2888" t="inlineStr">
        <is>
          <t>JÄMTLANDS LÄN</t>
        </is>
      </c>
      <c r="E2888" t="inlineStr">
        <is>
          <t>BRÄCKE</t>
        </is>
      </c>
      <c r="F2888" t="inlineStr">
        <is>
          <t>SCA</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28385-2020</t>
        </is>
      </c>
      <c r="B2889" s="1" t="n">
        <v>43998</v>
      </c>
      <c r="C2889" s="1" t="n">
        <v>45182</v>
      </c>
      <c r="D2889" t="inlineStr">
        <is>
          <t>JÄMTLANDS LÄN</t>
        </is>
      </c>
      <c r="E2889" t="inlineStr">
        <is>
          <t>ÅRE</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28422-2020</t>
        </is>
      </c>
      <c r="B2890" s="1" t="n">
        <v>43998</v>
      </c>
      <c r="C2890" s="1" t="n">
        <v>45182</v>
      </c>
      <c r="D2890" t="inlineStr">
        <is>
          <t>JÄMTLANDS LÄN</t>
        </is>
      </c>
      <c r="E2890" t="inlineStr">
        <is>
          <t>ÅRE</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28765-2020</t>
        </is>
      </c>
      <c r="B2891" s="1" t="n">
        <v>43999</v>
      </c>
      <c r="C2891" s="1" t="n">
        <v>45182</v>
      </c>
      <c r="D2891" t="inlineStr">
        <is>
          <t>JÄMTLANDS LÄN</t>
        </is>
      </c>
      <c r="E2891" t="inlineStr">
        <is>
          <t>STRÖMSUND</t>
        </is>
      </c>
      <c r="F2891" t="inlineStr">
        <is>
          <t>SCA</t>
        </is>
      </c>
      <c r="G2891" t="n">
        <v>7.1</v>
      </c>
      <c r="H2891" t="n">
        <v>0</v>
      </c>
      <c r="I2891" t="n">
        <v>0</v>
      </c>
      <c r="J2891" t="n">
        <v>0</v>
      </c>
      <c r="K2891" t="n">
        <v>0</v>
      </c>
      <c r="L2891" t="n">
        <v>0</v>
      </c>
      <c r="M2891" t="n">
        <v>0</v>
      </c>
      <c r="N2891" t="n">
        <v>0</v>
      </c>
      <c r="O2891" t="n">
        <v>0</v>
      </c>
      <c r="P2891" t="n">
        <v>0</v>
      </c>
      <c r="Q2891" t="n">
        <v>0</v>
      </c>
      <c r="R2891" s="2" t="inlineStr"/>
    </row>
    <row r="2892" ht="15" customHeight="1">
      <c r="A2892" t="inlineStr">
        <is>
          <t>A 28776-2020</t>
        </is>
      </c>
      <c r="B2892" s="1" t="n">
        <v>43999</v>
      </c>
      <c r="C2892" s="1" t="n">
        <v>45182</v>
      </c>
      <c r="D2892" t="inlineStr">
        <is>
          <t>JÄMTLANDS LÄN</t>
        </is>
      </c>
      <c r="E2892" t="inlineStr">
        <is>
          <t>RAGUNDA</t>
        </is>
      </c>
      <c r="F2892" t="inlineStr">
        <is>
          <t>SCA</t>
        </is>
      </c>
      <c r="G2892" t="n">
        <v>1.3</v>
      </c>
      <c r="H2892" t="n">
        <v>0</v>
      </c>
      <c r="I2892" t="n">
        <v>0</v>
      </c>
      <c r="J2892" t="n">
        <v>0</v>
      </c>
      <c r="K2892" t="n">
        <v>0</v>
      </c>
      <c r="L2892" t="n">
        <v>0</v>
      </c>
      <c r="M2892" t="n">
        <v>0</v>
      </c>
      <c r="N2892" t="n">
        <v>0</v>
      </c>
      <c r="O2892" t="n">
        <v>0</v>
      </c>
      <c r="P2892" t="n">
        <v>0</v>
      </c>
      <c r="Q2892" t="n">
        <v>0</v>
      </c>
      <c r="R2892" s="2" t="inlineStr"/>
    </row>
    <row r="2893" ht="15" customHeight="1">
      <c r="A2893" t="inlineStr">
        <is>
          <t>A 28543-2020</t>
        </is>
      </c>
      <c r="B2893" s="1" t="n">
        <v>43999</v>
      </c>
      <c r="C2893" s="1" t="n">
        <v>45182</v>
      </c>
      <c r="D2893" t="inlineStr">
        <is>
          <t>JÄMTLANDS LÄN</t>
        </is>
      </c>
      <c r="E2893" t="inlineStr">
        <is>
          <t>HÄRJEDALEN</t>
        </is>
      </c>
      <c r="F2893" t="inlineStr">
        <is>
          <t>Sveaskog</t>
        </is>
      </c>
      <c r="G2893" t="n">
        <v>2.8</v>
      </c>
      <c r="H2893" t="n">
        <v>0</v>
      </c>
      <c r="I2893" t="n">
        <v>0</v>
      </c>
      <c r="J2893" t="n">
        <v>0</v>
      </c>
      <c r="K2893" t="n">
        <v>0</v>
      </c>
      <c r="L2893" t="n">
        <v>0</v>
      </c>
      <c r="M2893" t="n">
        <v>0</v>
      </c>
      <c r="N2893" t="n">
        <v>0</v>
      </c>
      <c r="O2893" t="n">
        <v>0</v>
      </c>
      <c r="P2893" t="n">
        <v>0</v>
      </c>
      <c r="Q2893" t="n">
        <v>0</v>
      </c>
      <c r="R2893" s="2" t="inlineStr"/>
    </row>
    <row r="2894" ht="15" customHeight="1">
      <c r="A2894" t="inlineStr">
        <is>
          <t>A 29046-2020</t>
        </is>
      </c>
      <c r="B2894" s="1" t="n">
        <v>44000</v>
      </c>
      <c r="C2894" s="1" t="n">
        <v>45182</v>
      </c>
      <c r="D2894" t="inlineStr">
        <is>
          <t>JÄMTLANDS LÄN</t>
        </is>
      </c>
      <c r="E2894" t="inlineStr">
        <is>
          <t>STRÖMSUND</t>
        </is>
      </c>
      <c r="F2894" t="inlineStr">
        <is>
          <t>SCA</t>
        </is>
      </c>
      <c r="G2894" t="n">
        <v>1.5</v>
      </c>
      <c r="H2894" t="n">
        <v>0</v>
      </c>
      <c r="I2894" t="n">
        <v>0</v>
      </c>
      <c r="J2894" t="n">
        <v>0</v>
      </c>
      <c r="K2894" t="n">
        <v>0</v>
      </c>
      <c r="L2894" t="n">
        <v>0</v>
      </c>
      <c r="M2894" t="n">
        <v>0</v>
      </c>
      <c r="N2894" t="n">
        <v>0</v>
      </c>
      <c r="O2894" t="n">
        <v>0</v>
      </c>
      <c r="P2894" t="n">
        <v>0</v>
      </c>
      <c r="Q2894" t="n">
        <v>0</v>
      </c>
      <c r="R2894" s="2" t="inlineStr"/>
    </row>
    <row r="2895" ht="15" customHeight="1">
      <c r="A2895" t="inlineStr">
        <is>
          <t>A 29382-2020</t>
        </is>
      </c>
      <c r="B2895" s="1" t="n">
        <v>44000</v>
      </c>
      <c r="C2895" s="1" t="n">
        <v>45182</v>
      </c>
      <c r="D2895" t="inlineStr">
        <is>
          <t>JÄMTLANDS LÄN</t>
        </is>
      </c>
      <c r="E2895" t="inlineStr">
        <is>
          <t>RAGUNDA</t>
        </is>
      </c>
      <c r="G2895" t="n">
        <v>46.1</v>
      </c>
      <c r="H2895" t="n">
        <v>0</v>
      </c>
      <c r="I2895" t="n">
        <v>0</v>
      </c>
      <c r="J2895" t="n">
        <v>0</v>
      </c>
      <c r="K2895" t="n">
        <v>0</v>
      </c>
      <c r="L2895" t="n">
        <v>0</v>
      </c>
      <c r="M2895" t="n">
        <v>0</v>
      </c>
      <c r="N2895" t="n">
        <v>0</v>
      </c>
      <c r="O2895" t="n">
        <v>0</v>
      </c>
      <c r="P2895" t="n">
        <v>0</v>
      </c>
      <c r="Q2895" t="n">
        <v>0</v>
      </c>
      <c r="R2895" s="2" t="inlineStr"/>
    </row>
    <row r="2896" ht="15" customHeight="1">
      <c r="A2896" t="inlineStr">
        <is>
          <t>A 29635-2020</t>
        </is>
      </c>
      <c r="B2896" s="1" t="n">
        <v>44000</v>
      </c>
      <c r="C2896" s="1" t="n">
        <v>45182</v>
      </c>
      <c r="D2896" t="inlineStr">
        <is>
          <t>JÄMTLANDS LÄN</t>
        </is>
      </c>
      <c r="E2896" t="inlineStr">
        <is>
          <t>ÖSTERSUND</t>
        </is>
      </c>
      <c r="G2896" t="n">
        <v>1.7</v>
      </c>
      <c r="H2896" t="n">
        <v>0</v>
      </c>
      <c r="I2896" t="n">
        <v>0</v>
      </c>
      <c r="J2896" t="n">
        <v>0</v>
      </c>
      <c r="K2896" t="n">
        <v>0</v>
      </c>
      <c r="L2896" t="n">
        <v>0</v>
      </c>
      <c r="M2896" t="n">
        <v>0</v>
      </c>
      <c r="N2896" t="n">
        <v>0</v>
      </c>
      <c r="O2896" t="n">
        <v>0</v>
      </c>
      <c r="P2896" t="n">
        <v>0</v>
      </c>
      <c r="Q2896" t="n">
        <v>0</v>
      </c>
      <c r="R2896" s="2" t="inlineStr"/>
    </row>
    <row r="2897" ht="15" customHeight="1">
      <c r="A2897" t="inlineStr">
        <is>
          <t>A 28869-2020</t>
        </is>
      </c>
      <c r="B2897" s="1" t="n">
        <v>44000</v>
      </c>
      <c r="C2897" s="1" t="n">
        <v>45182</v>
      </c>
      <c r="D2897" t="inlineStr">
        <is>
          <t>JÄMTLANDS LÄN</t>
        </is>
      </c>
      <c r="E2897" t="inlineStr">
        <is>
          <t>ÅRE</t>
        </is>
      </c>
      <c r="F2897" t="inlineStr">
        <is>
          <t>Kyrkan</t>
        </is>
      </c>
      <c r="G2897" t="n">
        <v>1.7</v>
      </c>
      <c r="H2897" t="n">
        <v>0</v>
      </c>
      <c r="I2897" t="n">
        <v>0</v>
      </c>
      <c r="J2897" t="n">
        <v>0</v>
      </c>
      <c r="K2897" t="n">
        <v>0</v>
      </c>
      <c r="L2897" t="n">
        <v>0</v>
      </c>
      <c r="M2897" t="n">
        <v>0</v>
      </c>
      <c r="N2897" t="n">
        <v>0</v>
      </c>
      <c r="O2897" t="n">
        <v>0</v>
      </c>
      <c r="P2897" t="n">
        <v>0</v>
      </c>
      <c r="Q2897" t="n">
        <v>0</v>
      </c>
      <c r="R2897" s="2" t="inlineStr"/>
    </row>
    <row r="2898" ht="15" customHeight="1">
      <c r="A2898" t="inlineStr">
        <is>
          <t>A 28961-2020</t>
        </is>
      </c>
      <c r="B2898" s="1" t="n">
        <v>44000</v>
      </c>
      <c r="C2898" s="1" t="n">
        <v>45182</v>
      </c>
      <c r="D2898" t="inlineStr">
        <is>
          <t>JÄMTLANDS LÄN</t>
        </is>
      </c>
      <c r="E2898" t="inlineStr">
        <is>
          <t>BERG</t>
        </is>
      </c>
      <c r="G2898" t="n">
        <v>7.6</v>
      </c>
      <c r="H2898" t="n">
        <v>0</v>
      </c>
      <c r="I2898" t="n">
        <v>0</v>
      </c>
      <c r="J2898" t="n">
        <v>0</v>
      </c>
      <c r="K2898" t="n">
        <v>0</v>
      </c>
      <c r="L2898" t="n">
        <v>0</v>
      </c>
      <c r="M2898" t="n">
        <v>0</v>
      </c>
      <c r="N2898" t="n">
        <v>0</v>
      </c>
      <c r="O2898" t="n">
        <v>0</v>
      </c>
      <c r="P2898" t="n">
        <v>0</v>
      </c>
      <c r="Q2898" t="n">
        <v>0</v>
      </c>
      <c r="R2898" s="2" t="inlineStr"/>
    </row>
    <row r="2899" ht="15" customHeight="1">
      <c r="A2899" t="inlineStr">
        <is>
          <t>A 29052-2020</t>
        </is>
      </c>
      <c r="B2899" s="1" t="n">
        <v>44000</v>
      </c>
      <c r="C2899" s="1" t="n">
        <v>45182</v>
      </c>
      <c r="D2899" t="inlineStr">
        <is>
          <t>JÄMTLANDS LÄN</t>
        </is>
      </c>
      <c r="E2899" t="inlineStr">
        <is>
          <t>BERG</t>
        </is>
      </c>
      <c r="F2899" t="inlineStr">
        <is>
          <t>SCA</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29004-2020</t>
        </is>
      </c>
      <c r="B2900" s="1" t="n">
        <v>44000</v>
      </c>
      <c r="C2900" s="1" t="n">
        <v>45182</v>
      </c>
      <c r="D2900" t="inlineStr">
        <is>
          <t>JÄMTLANDS LÄN</t>
        </is>
      </c>
      <c r="E2900" t="inlineStr">
        <is>
          <t>BERG</t>
        </is>
      </c>
      <c r="G2900" t="n">
        <v>6.4</v>
      </c>
      <c r="H2900" t="n">
        <v>0</v>
      </c>
      <c r="I2900" t="n">
        <v>0</v>
      </c>
      <c r="J2900" t="n">
        <v>0</v>
      </c>
      <c r="K2900" t="n">
        <v>0</v>
      </c>
      <c r="L2900" t="n">
        <v>0</v>
      </c>
      <c r="M2900" t="n">
        <v>0</v>
      </c>
      <c r="N2900" t="n">
        <v>0</v>
      </c>
      <c r="O2900" t="n">
        <v>0</v>
      </c>
      <c r="P2900" t="n">
        <v>0</v>
      </c>
      <c r="Q2900" t="n">
        <v>0</v>
      </c>
      <c r="R2900" s="2" t="inlineStr"/>
    </row>
    <row r="2901" ht="15" customHeight="1">
      <c r="A2901" t="inlineStr">
        <is>
          <t>A 29080-2020</t>
        </is>
      </c>
      <c r="B2901" s="1" t="n">
        <v>44002</v>
      </c>
      <c r="C2901" s="1" t="n">
        <v>45182</v>
      </c>
      <c r="D2901" t="inlineStr">
        <is>
          <t>JÄMTLANDS LÄN</t>
        </is>
      </c>
      <c r="E2901" t="inlineStr">
        <is>
          <t>ÅRE</t>
        </is>
      </c>
      <c r="G2901" t="n">
        <v>2.5</v>
      </c>
      <c r="H2901" t="n">
        <v>0</v>
      </c>
      <c r="I2901" t="n">
        <v>0</v>
      </c>
      <c r="J2901" t="n">
        <v>0</v>
      </c>
      <c r="K2901" t="n">
        <v>0</v>
      </c>
      <c r="L2901" t="n">
        <v>0</v>
      </c>
      <c r="M2901" t="n">
        <v>0</v>
      </c>
      <c r="N2901" t="n">
        <v>0</v>
      </c>
      <c r="O2901" t="n">
        <v>0</v>
      </c>
      <c r="P2901" t="n">
        <v>0</v>
      </c>
      <c r="Q2901" t="n">
        <v>0</v>
      </c>
      <c r="R2901" s="2" t="inlineStr"/>
    </row>
    <row r="2902" ht="15" customHeight="1">
      <c r="A2902" t="inlineStr">
        <is>
          <t>A 29083-2020</t>
        </is>
      </c>
      <c r="B2902" s="1" t="n">
        <v>44002</v>
      </c>
      <c r="C2902" s="1" t="n">
        <v>45182</v>
      </c>
      <c r="D2902" t="inlineStr">
        <is>
          <t>JÄMTLANDS LÄN</t>
        </is>
      </c>
      <c r="E2902" t="inlineStr">
        <is>
          <t>ÅRE</t>
        </is>
      </c>
      <c r="G2902" t="n">
        <v>0.9</v>
      </c>
      <c r="H2902" t="n">
        <v>0</v>
      </c>
      <c r="I2902" t="n">
        <v>0</v>
      </c>
      <c r="J2902" t="n">
        <v>0</v>
      </c>
      <c r="K2902" t="n">
        <v>0</v>
      </c>
      <c r="L2902" t="n">
        <v>0</v>
      </c>
      <c r="M2902" t="n">
        <v>0</v>
      </c>
      <c r="N2902" t="n">
        <v>0</v>
      </c>
      <c r="O2902" t="n">
        <v>0</v>
      </c>
      <c r="P2902" t="n">
        <v>0</v>
      </c>
      <c r="Q2902" t="n">
        <v>0</v>
      </c>
      <c r="R2902" s="2" t="inlineStr"/>
    </row>
    <row r="2903" ht="15" customHeight="1">
      <c r="A2903" t="inlineStr">
        <is>
          <t>A 29499-2020</t>
        </is>
      </c>
      <c r="B2903" s="1" t="n">
        <v>44004</v>
      </c>
      <c r="C2903" s="1" t="n">
        <v>45182</v>
      </c>
      <c r="D2903" t="inlineStr">
        <is>
          <t>JÄMTLANDS LÄN</t>
        </is>
      </c>
      <c r="E2903" t="inlineStr">
        <is>
          <t>RAGUNDA</t>
        </is>
      </c>
      <c r="F2903" t="inlineStr">
        <is>
          <t>SCA</t>
        </is>
      </c>
      <c r="G2903" t="n">
        <v>0.3</v>
      </c>
      <c r="H2903" t="n">
        <v>0</v>
      </c>
      <c r="I2903" t="n">
        <v>0</v>
      </c>
      <c r="J2903" t="n">
        <v>0</v>
      </c>
      <c r="K2903" t="n">
        <v>0</v>
      </c>
      <c r="L2903" t="n">
        <v>0</v>
      </c>
      <c r="M2903" t="n">
        <v>0</v>
      </c>
      <c r="N2903" t="n">
        <v>0</v>
      </c>
      <c r="O2903" t="n">
        <v>0</v>
      </c>
      <c r="P2903" t="n">
        <v>0</v>
      </c>
      <c r="Q2903" t="n">
        <v>0</v>
      </c>
      <c r="R2903" s="2" t="inlineStr"/>
    </row>
    <row r="2904" ht="15" customHeight="1">
      <c r="A2904" t="inlineStr">
        <is>
          <t>A 29154-2020</t>
        </is>
      </c>
      <c r="B2904" s="1" t="n">
        <v>44004</v>
      </c>
      <c r="C2904" s="1" t="n">
        <v>45182</v>
      </c>
      <c r="D2904" t="inlineStr">
        <is>
          <t>JÄMTLANDS LÄN</t>
        </is>
      </c>
      <c r="E2904" t="inlineStr">
        <is>
          <t>HÄRJEDALEN</t>
        </is>
      </c>
      <c r="F2904" t="inlineStr">
        <is>
          <t>Sveaskog</t>
        </is>
      </c>
      <c r="G2904" t="n">
        <v>2.8</v>
      </c>
      <c r="H2904" t="n">
        <v>0</v>
      </c>
      <c r="I2904" t="n">
        <v>0</v>
      </c>
      <c r="J2904" t="n">
        <v>0</v>
      </c>
      <c r="K2904" t="n">
        <v>0</v>
      </c>
      <c r="L2904" t="n">
        <v>0</v>
      </c>
      <c r="M2904" t="n">
        <v>0</v>
      </c>
      <c r="N2904" t="n">
        <v>0</v>
      </c>
      <c r="O2904" t="n">
        <v>0</v>
      </c>
      <c r="P2904" t="n">
        <v>0</v>
      </c>
      <c r="Q2904" t="n">
        <v>0</v>
      </c>
      <c r="R2904" s="2" t="inlineStr"/>
    </row>
    <row r="2905" ht="15" customHeight="1">
      <c r="A2905" t="inlineStr">
        <is>
          <t>A 29581-2020</t>
        </is>
      </c>
      <c r="B2905" s="1" t="n">
        <v>44004</v>
      </c>
      <c r="C2905" s="1" t="n">
        <v>45182</v>
      </c>
      <c r="D2905" t="inlineStr">
        <is>
          <t>JÄMTLANDS LÄN</t>
        </is>
      </c>
      <c r="E2905" t="inlineStr">
        <is>
          <t>ÖSTERSUND</t>
        </is>
      </c>
      <c r="G2905" t="n">
        <v>0.4</v>
      </c>
      <c r="H2905" t="n">
        <v>0</v>
      </c>
      <c r="I2905" t="n">
        <v>0</v>
      </c>
      <c r="J2905" t="n">
        <v>0</v>
      </c>
      <c r="K2905" t="n">
        <v>0</v>
      </c>
      <c r="L2905" t="n">
        <v>0</v>
      </c>
      <c r="M2905" t="n">
        <v>0</v>
      </c>
      <c r="N2905" t="n">
        <v>0</v>
      </c>
      <c r="O2905" t="n">
        <v>0</v>
      </c>
      <c r="P2905" t="n">
        <v>0</v>
      </c>
      <c r="Q2905" t="n">
        <v>0</v>
      </c>
      <c r="R2905" s="2" t="inlineStr"/>
    </row>
    <row r="2906" ht="15" customHeight="1">
      <c r="A2906" t="inlineStr">
        <is>
          <t>A 29158-2020</t>
        </is>
      </c>
      <c r="B2906" s="1" t="n">
        <v>44004</v>
      </c>
      <c r="C2906" s="1" t="n">
        <v>45182</v>
      </c>
      <c r="D2906" t="inlineStr">
        <is>
          <t>JÄMTLANDS LÄN</t>
        </is>
      </c>
      <c r="E2906" t="inlineStr">
        <is>
          <t>HÄRJEDALEN</t>
        </is>
      </c>
      <c r="F2906" t="inlineStr">
        <is>
          <t>Sveaskog</t>
        </is>
      </c>
      <c r="G2906" t="n">
        <v>6.6</v>
      </c>
      <c r="H2906" t="n">
        <v>0</v>
      </c>
      <c r="I2906" t="n">
        <v>0</v>
      </c>
      <c r="J2906" t="n">
        <v>0</v>
      </c>
      <c r="K2906" t="n">
        <v>0</v>
      </c>
      <c r="L2906" t="n">
        <v>0</v>
      </c>
      <c r="M2906" t="n">
        <v>0</v>
      </c>
      <c r="N2906" t="n">
        <v>0</v>
      </c>
      <c r="O2906" t="n">
        <v>0</v>
      </c>
      <c r="P2906" t="n">
        <v>0</v>
      </c>
      <c r="Q2906" t="n">
        <v>0</v>
      </c>
      <c r="R2906" s="2" t="inlineStr"/>
    </row>
    <row r="2907" ht="15" customHeight="1">
      <c r="A2907" t="inlineStr">
        <is>
          <t>A 29259-2020</t>
        </is>
      </c>
      <c r="B2907" s="1" t="n">
        <v>44004</v>
      </c>
      <c r="C2907" s="1" t="n">
        <v>45182</v>
      </c>
      <c r="D2907" t="inlineStr">
        <is>
          <t>JÄMTLANDS LÄN</t>
        </is>
      </c>
      <c r="E2907" t="inlineStr">
        <is>
          <t>BRÄCKE</t>
        </is>
      </c>
      <c r="F2907" t="inlineStr">
        <is>
          <t>Övriga Aktiebolag</t>
        </is>
      </c>
      <c r="G2907" t="n">
        <v>40.6</v>
      </c>
      <c r="H2907" t="n">
        <v>0</v>
      </c>
      <c r="I2907" t="n">
        <v>0</v>
      </c>
      <c r="J2907" t="n">
        <v>0</v>
      </c>
      <c r="K2907" t="n">
        <v>0</v>
      </c>
      <c r="L2907" t="n">
        <v>0</v>
      </c>
      <c r="M2907" t="n">
        <v>0</v>
      </c>
      <c r="N2907" t="n">
        <v>0</v>
      </c>
      <c r="O2907" t="n">
        <v>0</v>
      </c>
      <c r="P2907" t="n">
        <v>0</v>
      </c>
      <c r="Q2907" t="n">
        <v>0</v>
      </c>
      <c r="R2907" s="2" t="inlineStr"/>
    </row>
    <row r="2908" ht="15" customHeight="1">
      <c r="A2908" t="inlineStr">
        <is>
          <t>A 29435-2020</t>
        </is>
      </c>
      <c r="B2908" s="1" t="n">
        <v>44004</v>
      </c>
      <c r="C2908" s="1" t="n">
        <v>45182</v>
      </c>
      <c r="D2908" t="inlineStr">
        <is>
          <t>JÄMTLANDS LÄN</t>
        </is>
      </c>
      <c r="E2908" t="inlineStr">
        <is>
          <t>ÖSTERSUND</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29489-2020</t>
        </is>
      </c>
      <c r="B2909" s="1" t="n">
        <v>44004</v>
      </c>
      <c r="C2909" s="1" t="n">
        <v>45182</v>
      </c>
      <c r="D2909" t="inlineStr">
        <is>
          <t>JÄMTLANDS LÄN</t>
        </is>
      </c>
      <c r="E2909" t="inlineStr">
        <is>
          <t>BRÄCKE</t>
        </is>
      </c>
      <c r="F2909" t="inlineStr">
        <is>
          <t>SCA</t>
        </is>
      </c>
      <c r="G2909" t="n">
        <v>1</v>
      </c>
      <c r="H2909" t="n">
        <v>0</v>
      </c>
      <c r="I2909" t="n">
        <v>0</v>
      </c>
      <c r="J2909" t="n">
        <v>0</v>
      </c>
      <c r="K2909" t="n">
        <v>0</v>
      </c>
      <c r="L2909" t="n">
        <v>0</v>
      </c>
      <c r="M2909" t="n">
        <v>0</v>
      </c>
      <c r="N2909" t="n">
        <v>0</v>
      </c>
      <c r="O2909" t="n">
        <v>0</v>
      </c>
      <c r="P2909" t="n">
        <v>0</v>
      </c>
      <c r="Q2909" t="n">
        <v>0</v>
      </c>
      <c r="R2909" s="2" t="inlineStr"/>
    </row>
    <row r="2910" ht="15" customHeight="1">
      <c r="A2910" t="inlineStr">
        <is>
          <t>A 29788-2020</t>
        </is>
      </c>
      <c r="B2910" s="1" t="n">
        <v>44005</v>
      </c>
      <c r="C2910" s="1" t="n">
        <v>45182</v>
      </c>
      <c r="D2910" t="inlineStr">
        <is>
          <t>JÄMTLANDS LÄN</t>
        </is>
      </c>
      <c r="E2910" t="inlineStr">
        <is>
          <t>BERG</t>
        </is>
      </c>
      <c r="F2910" t="inlineStr">
        <is>
          <t>SCA</t>
        </is>
      </c>
      <c r="G2910" t="n">
        <v>2.1</v>
      </c>
      <c r="H2910" t="n">
        <v>0</v>
      </c>
      <c r="I2910" t="n">
        <v>0</v>
      </c>
      <c r="J2910" t="n">
        <v>0</v>
      </c>
      <c r="K2910" t="n">
        <v>0</v>
      </c>
      <c r="L2910" t="n">
        <v>0</v>
      </c>
      <c r="M2910" t="n">
        <v>0</v>
      </c>
      <c r="N2910" t="n">
        <v>0</v>
      </c>
      <c r="O2910" t="n">
        <v>0</v>
      </c>
      <c r="P2910" t="n">
        <v>0</v>
      </c>
      <c r="Q2910" t="n">
        <v>0</v>
      </c>
      <c r="R2910" s="2" t="inlineStr"/>
    </row>
    <row r="2911" ht="15" customHeight="1">
      <c r="A2911" t="inlineStr">
        <is>
          <t>A 29863-2020</t>
        </is>
      </c>
      <c r="B2911" s="1" t="n">
        <v>44005</v>
      </c>
      <c r="C2911" s="1" t="n">
        <v>45182</v>
      </c>
      <c r="D2911" t="inlineStr">
        <is>
          <t>JÄMTLANDS LÄN</t>
        </is>
      </c>
      <c r="E2911" t="inlineStr">
        <is>
          <t>BRÄCKE</t>
        </is>
      </c>
      <c r="G2911" t="n">
        <v>2.2</v>
      </c>
      <c r="H2911" t="n">
        <v>0</v>
      </c>
      <c r="I2911" t="n">
        <v>0</v>
      </c>
      <c r="J2911" t="n">
        <v>0</v>
      </c>
      <c r="K2911" t="n">
        <v>0</v>
      </c>
      <c r="L2911" t="n">
        <v>0</v>
      </c>
      <c r="M2911" t="n">
        <v>0</v>
      </c>
      <c r="N2911" t="n">
        <v>0</v>
      </c>
      <c r="O2911" t="n">
        <v>0</v>
      </c>
      <c r="P2911" t="n">
        <v>0</v>
      </c>
      <c r="Q2911" t="n">
        <v>0</v>
      </c>
      <c r="R2911" s="2" t="inlineStr"/>
    </row>
    <row r="2912" ht="15" customHeight="1">
      <c r="A2912" t="inlineStr">
        <is>
          <t>A 30110-2020</t>
        </is>
      </c>
      <c r="B2912" s="1" t="n">
        <v>44006</v>
      </c>
      <c r="C2912" s="1" t="n">
        <v>45182</v>
      </c>
      <c r="D2912" t="inlineStr">
        <is>
          <t>JÄMTLANDS LÄN</t>
        </is>
      </c>
      <c r="E2912" t="inlineStr">
        <is>
          <t>RAGUNDA</t>
        </is>
      </c>
      <c r="F2912" t="inlineStr">
        <is>
          <t>SCA</t>
        </is>
      </c>
      <c r="G2912" t="n">
        <v>3.8</v>
      </c>
      <c r="H2912" t="n">
        <v>0</v>
      </c>
      <c r="I2912" t="n">
        <v>0</v>
      </c>
      <c r="J2912" t="n">
        <v>0</v>
      </c>
      <c r="K2912" t="n">
        <v>0</v>
      </c>
      <c r="L2912" t="n">
        <v>0</v>
      </c>
      <c r="M2912" t="n">
        <v>0</v>
      </c>
      <c r="N2912" t="n">
        <v>0</v>
      </c>
      <c r="O2912" t="n">
        <v>0</v>
      </c>
      <c r="P2912" t="n">
        <v>0</v>
      </c>
      <c r="Q2912" t="n">
        <v>0</v>
      </c>
      <c r="R2912" s="2" t="inlineStr"/>
    </row>
    <row r="2913" ht="15" customHeight="1">
      <c r="A2913" t="inlineStr">
        <is>
          <t>A 30472-2020</t>
        </is>
      </c>
      <c r="B2913" s="1" t="n">
        <v>44007</v>
      </c>
      <c r="C2913" s="1" t="n">
        <v>45182</v>
      </c>
      <c r="D2913" t="inlineStr">
        <is>
          <t>JÄMTLANDS LÄN</t>
        </is>
      </c>
      <c r="E2913" t="inlineStr">
        <is>
          <t>BRÄCKE</t>
        </is>
      </c>
      <c r="F2913" t="inlineStr">
        <is>
          <t>SCA</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30477-2020</t>
        </is>
      </c>
      <c r="B2914" s="1" t="n">
        <v>44007</v>
      </c>
      <c r="C2914" s="1" t="n">
        <v>45182</v>
      </c>
      <c r="D2914" t="inlineStr">
        <is>
          <t>JÄMTLANDS LÄN</t>
        </is>
      </c>
      <c r="E2914" t="inlineStr">
        <is>
          <t>BERG</t>
        </is>
      </c>
      <c r="F2914" t="inlineStr">
        <is>
          <t>SCA</t>
        </is>
      </c>
      <c r="G2914" t="n">
        <v>7.4</v>
      </c>
      <c r="H2914" t="n">
        <v>0</v>
      </c>
      <c r="I2914" t="n">
        <v>0</v>
      </c>
      <c r="J2914" t="n">
        <v>0</v>
      </c>
      <c r="K2914" t="n">
        <v>0</v>
      </c>
      <c r="L2914" t="n">
        <v>0</v>
      </c>
      <c r="M2914" t="n">
        <v>0</v>
      </c>
      <c r="N2914" t="n">
        <v>0</v>
      </c>
      <c r="O2914" t="n">
        <v>0</v>
      </c>
      <c r="P2914" t="n">
        <v>0</v>
      </c>
      <c r="Q2914" t="n">
        <v>0</v>
      </c>
      <c r="R2914" s="2" t="inlineStr"/>
    </row>
    <row r="2915" ht="15" customHeight="1">
      <c r="A2915" t="inlineStr">
        <is>
          <t>A 30474-2020</t>
        </is>
      </c>
      <c r="B2915" s="1" t="n">
        <v>44007</v>
      </c>
      <c r="C2915" s="1" t="n">
        <v>45182</v>
      </c>
      <c r="D2915" t="inlineStr">
        <is>
          <t>JÄMTLANDS LÄN</t>
        </is>
      </c>
      <c r="E2915" t="inlineStr">
        <is>
          <t>BRÄCKE</t>
        </is>
      </c>
      <c r="F2915" t="inlineStr">
        <is>
          <t>SCA</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30471-2020</t>
        </is>
      </c>
      <c r="B2916" s="1" t="n">
        <v>44007</v>
      </c>
      <c r="C2916" s="1" t="n">
        <v>45182</v>
      </c>
      <c r="D2916" t="inlineStr">
        <is>
          <t>JÄMTLANDS LÄN</t>
        </is>
      </c>
      <c r="E2916" t="inlineStr">
        <is>
          <t>BRÄCKE</t>
        </is>
      </c>
      <c r="F2916" t="inlineStr">
        <is>
          <t>SCA</t>
        </is>
      </c>
      <c r="G2916" t="n">
        <v>4.8</v>
      </c>
      <c r="H2916" t="n">
        <v>0</v>
      </c>
      <c r="I2916" t="n">
        <v>0</v>
      </c>
      <c r="J2916" t="n">
        <v>0</v>
      </c>
      <c r="K2916" t="n">
        <v>0</v>
      </c>
      <c r="L2916" t="n">
        <v>0</v>
      </c>
      <c r="M2916" t="n">
        <v>0</v>
      </c>
      <c r="N2916" t="n">
        <v>0</v>
      </c>
      <c r="O2916" t="n">
        <v>0</v>
      </c>
      <c r="P2916" t="n">
        <v>0</v>
      </c>
      <c r="Q2916" t="n">
        <v>0</v>
      </c>
      <c r="R2916" s="2" t="inlineStr"/>
    </row>
    <row r="2917" ht="15" customHeight="1">
      <c r="A2917" t="inlineStr">
        <is>
          <t>A 30475-2020</t>
        </is>
      </c>
      <c r="B2917" s="1" t="n">
        <v>44007</v>
      </c>
      <c r="C2917" s="1" t="n">
        <v>45182</v>
      </c>
      <c r="D2917" t="inlineStr">
        <is>
          <t>JÄMTLANDS LÄN</t>
        </is>
      </c>
      <c r="E2917" t="inlineStr">
        <is>
          <t>BRÄCKE</t>
        </is>
      </c>
      <c r="F2917" t="inlineStr">
        <is>
          <t>SCA</t>
        </is>
      </c>
      <c r="G2917" t="n">
        <v>3.6</v>
      </c>
      <c r="H2917" t="n">
        <v>0</v>
      </c>
      <c r="I2917" t="n">
        <v>0</v>
      </c>
      <c r="J2917" t="n">
        <v>0</v>
      </c>
      <c r="K2917" t="n">
        <v>0</v>
      </c>
      <c r="L2917" t="n">
        <v>0</v>
      </c>
      <c r="M2917" t="n">
        <v>0</v>
      </c>
      <c r="N2917" t="n">
        <v>0</v>
      </c>
      <c r="O2917" t="n">
        <v>0</v>
      </c>
      <c r="P2917" t="n">
        <v>0</v>
      </c>
      <c r="Q2917" t="n">
        <v>0</v>
      </c>
      <c r="R2917" s="2" t="inlineStr"/>
    </row>
    <row r="2918" ht="15" customHeight="1">
      <c r="A2918" t="inlineStr">
        <is>
          <t>A 30368-2020</t>
        </is>
      </c>
      <c r="B2918" s="1" t="n">
        <v>44007</v>
      </c>
      <c r="C2918" s="1" t="n">
        <v>45182</v>
      </c>
      <c r="D2918" t="inlineStr">
        <is>
          <t>JÄMTLANDS LÄN</t>
        </is>
      </c>
      <c r="E2918" t="inlineStr">
        <is>
          <t>KROKOM</t>
        </is>
      </c>
      <c r="G2918" t="n">
        <v>1.9</v>
      </c>
      <c r="H2918" t="n">
        <v>0</v>
      </c>
      <c r="I2918" t="n">
        <v>0</v>
      </c>
      <c r="J2918" t="n">
        <v>0</v>
      </c>
      <c r="K2918" t="n">
        <v>0</v>
      </c>
      <c r="L2918" t="n">
        <v>0</v>
      </c>
      <c r="M2918" t="n">
        <v>0</v>
      </c>
      <c r="N2918" t="n">
        <v>0</v>
      </c>
      <c r="O2918" t="n">
        <v>0</v>
      </c>
      <c r="P2918" t="n">
        <v>0</v>
      </c>
      <c r="Q2918" t="n">
        <v>0</v>
      </c>
      <c r="R2918" s="2" t="inlineStr"/>
    </row>
    <row r="2919" ht="15" customHeight="1">
      <c r="A2919" t="inlineStr">
        <is>
          <t>A 30473-2020</t>
        </is>
      </c>
      <c r="B2919" s="1" t="n">
        <v>44007</v>
      </c>
      <c r="C2919" s="1" t="n">
        <v>45182</v>
      </c>
      <c r="D2919" t="inlineStr">
        <is>
          <t>JÄMTLANDS LÄN</t>
        </is>
      </c>
      <c r="E2919" t="inlineStr">
        <is>
          <t>BRÄCKE</t>
        </is>
      </c>
      <c r="F2919" t="inlineStr">
        <is>
          <t>SCA</t>
        </is>
      </c>
      <c r="G2919" t="n">
        <v>4.6</v>
      </c>
      <c r="H2919" t="n">
        <v>0</v>
      </c>
      <c r="I2919" t="n">
        <v>0</v>
      </c>
      <c r="J2919" t="n">
        <v>0</v>
      </c>
      <c r="K2919" t="n">
        <v>0</v>
      </c>
      <c r="L2919" t="n">
        <v>0</v>
      </c>
      <c r="M2919" t="n">
        <v>0</v>
      </c>
      <c r="N2919" t="n">
        <v>0</v>
      </c>
      <c r="O2919" t="n">
        <v>0</v>
      </c>
      <c r="P2919" t="n">
        <v>0</v>
      </c>
      <c r="Q2919" t="n">
        <v>0</v>
      </c>
      <c r="R2919" s="2" t="inlineStr"/>
    </row>
    <row r="2920" ht="15" customHeight="1">
      <c r="A2920" t="inlineStr">
        <is>
          <t>A 30676-2020</t>
        </is>
      </c>
      <c r="B2920" s="1" t="n">
        <v>44008</v>
      </c>
      <c r="C2920" s="1" t="n">
        <v>45182</v>
      </c>
      <c r="D2920" t="inlineStr">
        <is>
          <t>JÄMTLANDS LÄN</t>
        </is>
      </c>
      <c r="E2920" t="inlineStr">
        <is>
          <t>ÖSTERSUND</t>
        </is>
      </c>
      <c r="G2920" t="n">
        <v>2.4</v>
      </c>
      <c r="H2920" t="n">
        <v>0</v>
      </c>
      <c r="I2920" t="n">
        <v>0</v>
      </c>
      <c r="J2920" t="n">
        <v>0</v>
      </c>
      <c r="K2920" t="n">
        <v>0</v>
      </c>
      <c r="L2920" t="n">
        <v>0</v>
      </c>
      <c r="M2920" t="n">
        <v>0</v>
      </c>
      <c r="N2920" t="n">
        <v>0</v>
      </c>
      <c r="O2920" t="n">
        <v>0</v>
      </c>
      <c r="P2920" t="n">
        <v>0</v>
      </c>
      <c r="Q2920" t="n">
        <v>0</v>
      </c>
      <c r="R2920" s="2" t="inlineStr"/>
    </row>
    <row r="2921" ht="15" customHeight="1">
      <c r="A2921" t="inlineStr">
        <is>
          <t>A 30804-2020</t>
        </is>
      </c>
      <c r="B2921" s="1" t="n">
        <v>44010</v>
      </c>
      <c r="C2921" s="1" t="n">
        <v>45182</v>
      </c>
      <c r="D2921" t="inlineStr">
        <is>
          <t>JÄMTLANDS LÄN</t>
        </is>
      </c>
      <c r="E2921" t="inlineStr">
        <is>
          <t>STRÖMSUND</t>
        </is>
      </c>
      <c r="F2921" t="inlineStr">
        <is>
          <t>SCA</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30936-2020</t>
        </is>
      </c>
      <c r="B2922" s="1" t="n">
        <v>44011</v>
      </c>
      <c r="C2922" s="1" t="n">
        <v>45182</v>
      </c>
      <c r="D2922" t="inlineStr">
        <is>
          <t>JÄMTLANDS LÄN</t>
        </is>
      </c>
      <c r="E2922" t="inlineStr">
        <is>
          <t>HÄRJEDALEN</t>
        </is>
      </c>
      <c r="F2922" t="inlineStr">
        <is>
          <t>Sveaskog</t>
        </is>
      </c>
      <c r="G2922" t="n">
        <v>1.8</v>
      </c>
      <c r="H2922" t="n">
        <v>0</v>
      </c>
      <c r="I2922" t="n">
        <v>0</v>
      </c>
      <c r="J2922" t="n">
        <v>0</v>
      </c>
      <c r="K2922" t="n">
        <v>0</v>
      </c>
      <c r="L2922" t="n">
        <v>0</v>
      </c>
      <c r="M2922" t="n">
        <v>0</v>
      </c>
      <c r="N2922" t="n">
        <v>0</v>
      </c>
      <c r="O2922" t="n">
        <v>0</v>
      </c>
      <c r="P2922" t="n">
        <v>0</v>
      </c>
      <c r="Q2922" t="n">
        <v>0</v>
      </c>
      <c r="R2922" s="2" t="inlineStr"/>
    </row>
    <row r="2923" ht="15" customHeight="1">
      <c r="A2923" t="inlineStr">
        <is>
          <t>A 31021-2020</t>
        </is>
      </c>
      <c r="B2923" s="1" t="n">
        <v>44011</v>
      </c>
      <c r="C2923" s="1" t="n">
        <v>45182</v>
      </c>
      <c r="D2923" t="inlineStr">
        <is>
          <t>JÄMTLANDS LÄN</t>
        </is>
      </c>
      <c r="E2923" t="inlineStr">
        <is>
          <t>BRÄCKE</t>
        </is>
      </c>
      <c r="F2923" t="inlineStr">
        <is>
          <t>SCA</t>
        </is>
      </c>
      <c r="G2923" t="n">
        <v>4.2</v>
      </c>
      <c r="H2923" t="n">
        <v>0</v>
      </c>
      <c r="I2923" t="n">
        <v>0</v>
      </c>
      <c r="J2923" t="n">
        <v>0</v>
      </c>
      <c r="K2923" t="n">
        <v>0</v>
      </c>
      <c r="L2923" t="n">
        <v>0</v>
      </c>
      <c r="M2923" t="n">
        <v>0</v>
      </c>
      <c r="N2923" t="n">
        <v>0</v>
      </c>
      <c r="O2923" t="n">
        <v>0</v>
      </c>
      <c r="P2923" t="n">
        <v>0</v>
      </c>
      <c r="Q2923" t="n">
        <v>0</v>
      </c>
      <c r="R2923" s="2" t="inlineStr"/>
    </row>
    <row r="2924" ht="15" customHeight="1">
      <c r="A2924" t="inlineStr">
        <is>
          <t>A 31077-2020</t>
        </is>
      </c>
      <c r="B2924" s="1" t="n">
        <v>44011</v>
      </c>
      <c r="C2924" s="1" t="n">
        <v>45182</v>
      </c>
      <c r="D2924" t="inlineStr">
        <is>
          <t>JÄMTLANDS LÄN</t>
        </is>
      </c>
      <c r="E2924" t="inlineStr">
        <is>
          <t>STRÖMSUND</t>
        </is>
      </c>
      <c r="F2924" t="inlineStr">
        <is>
          <t>SCA</t>
        </is>
      </c>
      <c r="G2924" t="n">
        <v>33</v>
      </c>
      <c r="H2924" t="n">
        <v>0</v>
      </c>
      <c r="I2924" t="n">
        <v>0</v>
      </c>
      <c r="J2924" t="n">
        <v>0</v>
      </c>
      <c r="K2924" t="n">
        <v>0</v>
      </c>
      <c r="L2924" t="n">
        <v>0</v>
      </c>
      <c r="M2924" t="n">
        <v>0</v>
      </c>
      <c r="N2924" t="n">
        <v>0</v>
      </c>
      <c r="O2924" t="n">
        <v>0</v>
      </c>
      <c r="P2924" t="n">
        <v>0</v>
      </c>
      <c r="Q2924" t="n">
        <v>0</v>
      </c>
      <c r="R2924" s="2" t="inlineStr"/>
    </row>
    <row r="2925" ht="15" customHeight="1">
      <c r="A2925" t="inlineStr">
        <is>
          <t>A 30963-2020</t>
        </is>
      </c>
      <c r="B2925" s="1" t="n">
        <v>44011</v>
      </c>
      <c r="C2925" s="1" t="n">
        <v>45182</v>
      </c>
      <c r="D2925" t="inlineStr">
        <is>
          <t>JÄMTLANDS LÄN</t>
        </is>
      </c>
      <c r="E2925" t="inlineStr">
        <is>
          <t>HÄRJEDALEN</t>
        </is>
      </c>
      <c r="F2925" t="inlineStr">
        <is>
          <t>Sveaskog</t>
        </is>
      </c>
      <c r="G2925" t="n">
        <v>11.6</v>
      </c>
      <c r="H2925" t="n">
        <v>0</v>
      </c>
      <c r="I2925" t="n">
        <v>0</v>
      </c>
      <c r="J2925" t="n">
        <v>0</v>
      </c>
      <c r="K2925" t="n">
        <v>0</v>
      </c>
      <c r="L2925" t="n">
        <v>0</v>
      </c>
      <c r="M2925" t="n">
        <v>0</v>
      </c>
      <c r="N2925" t="n">
        <v>0</v>
      </c>
      <c r="O2925" t="n">
        <v>0</v>
      </c>
      <c r="P2925" t="n">
        <v>0</v>
      </c>
      <c r="Q2925" t="n">
        <v>0</v>
      </c>
      <c r="R2925" s="2" t="inlineStr"/>
    </row>
    <row r="2926" ht="15" customHeight="1">
      <c r="A2926" t="inlineStr">
        <is>
          <t>A 30940-2020</t>
        </is>
      </c>
      <c r="B2926" s="1" t="n">
        <v>44011</v>
      </c>
      <c r="C2926" s="1" t="n">
        <v>45182</v>
      </c>
      <c r="D2926" t="inlineStr">
        <is>
          <t>JÄMTLANDS LÄN</t>
        </is>
      </c>
      <c r="E2926" t="inlineStr">
        <is>
          <t>HÄRJEDALEN</t>
        </is>
      </c>
      <c r="F2926" t="inlineStr">
        <is>
          <t>Sveaskog</t>
        </is>
      </c>
      <c r="G2926" t="n">
        <v>2</v>
      </c>
      <c r="H2926" t="n">
        <v>0</v>
      </c>
      <c r="I2926" t="n">
        <v>0</v>
      </c>
      <c r="J2926" t="n">
        <v>0</v>
      </c>
      <c r="K2926" t="n">
        <v>0</v>
      </c>
      <c r="L2926" t="n">
        <v>0</v>
      </c>
      <c r="M2926" t="n">
        <v>0</v>
      </c>
      <c r="N2926" t="n">
        <v>0</v>
      </c>
      <c r="O2926" t="n">
        <v>0</v>
      </c>
      <c r="P2926" t="n">
        <v>0</v>
      </c>
      <c r="Q2926" t="n">
        <v>0</v>
      </c>
      <c r="R2926" s="2" t="inlineStr"/>
    </row>
    <row r="2927" ht="15" customHeight="1">
      <c r="A2927" t="inlineStr">
        <is>
          <t>A 30981-2020</t>
        </is>
      </c>
      <c r="B2927" s="1" t="n">
        <v>44011</v>
      </c>
      <c r="C2927" s="1" t="n">
        <v>45182</v>
      </c>
      <c r="D2927" t="inlineStr">
        <is>
          <t>JÄMTLANDS LÄN</t>
        </is>
      </c>
      <c r="E2927" t="inlineStr">
        <is>
          <t>STRÖMSUND</t>
        </is>
      </c>
      <c r="G2927" t="n">
        <v>6.7</v>
      </c>
      <c r="H2927" t="n">
        <v>0</v>
      </c>
      <c r="I2927" t="n">
        <v>0</v>
      </c>
      <c r="J2927" t="n">
        <v>0</v>
      </c>
      <c r="K2927" t="n">
        <v>0</v>
      </c>
      <c r="L2927" t="n">
        <v>0</v>
      </c>
      <c r="M2927" t="n">
        <v>0</v>
      </c>
      <c r="N2927" t="n">
        <v>0</v>
      </c>
      <c r="O2927" t="n">
        <v>0</v>
      </c>
      <c r="P2927" t="n">
        <v>0</v>
      </c>
      <c r="Q2927" t="n">
        <v>0</v>
      </c>
      <c r="R2927" s="2" t="inlineStr"/>
    </row>
    <row r="2928" ht="15" customHeight="1">
      <c r="A2928" t="inlineStr">
        <is>
          <t>A 31043-2020</t>
        </is>
      </c>
      <c r="B2928" s="1" t="n">
        <v>44011</v>
      </c>
      <c r="C2928" s="1" t="n">
        <v>45182</v>
      </c>
      <c r="D2928" t="inlineStr">
        <is>
          <t>JÄMTLANDS LÄN</t>
        </is>
      </c>
      <c r="E2928" t="inlineStr">
        <is>
          <t>RAGUNDA</t>
        </is>
      </c>
      <c r="F2928" t="inlineStr">
        <is>
          <t>SCA</t>
        </is>
      </c>
      <c r="G2928" t="n">
        <v>6.9</v>
      </c>
      <c r="H2928" t="n">
        <v>0</v>
      </c>
      <c r="I2928" t="n">
        <v>0</v>
      </c>
      <c r="J2928" t="n">
        <v>0</v>
      </c>
      <c r="K2928" t="n">
        <v>0</v>
      </c>
      <c r="L2928" t="n">
        <v>0</v>
      </c>
      <c r="M2928" t="n">
        <v>0</v>
      </c>
      <c r="N2928" t="n">
        <v>0</v>
      </c>
      <c r="O2928" t="n">
        <v>0</v>
      </c>
      <c r="P2928" t="n">
        <v>0</v>
      </c>
      <c r="Q2928" t="n">
        <v>0</v>
      </c>
      <c r="R2928" s="2" t="inlineStr"/>
    </row>
    <row r="2929" ht="15" customHeight="1">
      <c r="A2929" t="inlineStr">
        <is>
          <t>A 31448-2020</t>
        </is>
      </c>
      <c r="B2929" s="1" t="n">
        <v>44012</v>
      </c>
      <c r="C2929" s="1" t="n">
        <v>45182</v>
      </c>
      <c r="D2929" t="inlineStr">
        <is>
          <t>JÄMTLANDS LÄN</t>
        </is>
      </c>
      <c r="E2929" t="inlineStr">
        <is>
          <t>BRÄCKE</t>
        </is>
      </c>
      <c r="G2929" t="n">
        <v>4.5</v>
      </c>
      <c r="H2929" t="n">
        <v>0</v>
      </c>
      <c r="I2929" t="n">
        <v>0</v>
      </c>
      <c r="J2929" t="n">
        <v>0</v>
      </c>
      <c r="K2929" t="n">
        <v>0</v>
      </c>
      <c r="L2929" t="n">
        <v>0</v>
      </c>
      <c r="M2929" t="n">
        <v>0</v>
      </c>
      <c r="N2929" t="n">
        <v>0</v>
      </c>
      <c r="O2929" t="n">
        <v>0</v>
      </c>
      <c r="P2929" t="n">
        <v>0</v>
      </c>
      <c r="Q2929" t="n">
        <v>0</v>
      </c>
      <c r="R2929" s="2" t="inlineStr"/>
    </row>
    <row r="2930" ht="15" customHeight="1">
      <c r="A2930" t="inlineStr">
        <is>
          <t>A 31264-2020</t>
        </is>
      </c>
      <c r="B2930" s="1" t="n">
        <v>44012</v>
      </c>
      <c r="C2930" s="1" t="n">
        <v>45182</v>
      </c>
      <c r="D2930" t="inlineStr">
        <is>
          <t>JÄMTLANDS LÄN</t>
        </is>
      </c>
      <c r="E2930" t="inlineStr">
        <is>
          <t>HÄRJEDALEN</t>
        </is>
      </c>
      <c r="F2930" t="inlineStr">
        <is>
          <t>Bergvik skog väst AB</t>
        </is>
      </c>
      <c r="G2930" t="n">
        <v>2.6</v>
      </c>
      <c r="H2930" t="n">
        <v>0</v>
      </c>
      <c r="I2930" t="n">
        <v>0</v>
      </c>
      <c r="J2930" t="n">
        <v>0</v>
      </c>
      <c r="K2930" t="n">
        <v>0</v>
      </c>
      <c r="L2930" t="n">
        <v>0</v>
      </c>
      <c r="M2930" t="n">
        <v>0</v>
      </c>
      <c r="N2930" t="n">
        <v>0</v>
      </c>
      <c r="O2930" t="n">
        <v>0</v>
      </c>
      <c r="P2930" t="n">
        <v>0</v>
      </c>
      <c r="Q2930" t="n">
        <v>0</v>
      </c>
      <c r="R2930" s="2" t="inlineStr"/>
    </row>
    <row r="2931" ht="15" customHeight="1">
      <c r="A2931" t="inlineStr">
        <is>
          <t>A 31321-2020</t>
        </is>
      </c>
      <c r="B2931" s="1" t="n">
        <v>44012</v>
      </c>
      <c r="C2931" s="1" t="n">
        <v>45182</v>
      </c>
      <c r="D2931" t="inlineStr">
        <is>
          <t>JÄMTLANDS LÄN</t>
        </is>
      </c>
      <c r="E2931" t="inlineStr">
        <is>
          <t>STRÖMSUND</t>
        </is>
      </c>
      <c r="F2931" t="inlineStr">
        <is>
          <t>SCA</t>
        </is>
      </c>
      <c r="G2931" t="n">
        <v>5.8</v>
      </c>
      <c r="H2931" t="n">
        <v>0</v>
      </c>
      <c r="I2931" t="n">
        <v>0</v>
      </c>
      <c r="J2931" t="n">
        <v>0</v>
      </c>
      <c r="K2931" t="n">
        <v>0</v>
      </c>
      <c r="L2931" t="n">
        <v>0</v>
      </c>
      <c r="M2931" t="n">
        <v>0</v>
      </c>
      <c r="N2931" t="n">
        <v>0</v>
      </c>
      <c r="O2931" t="n">
        <v>0</v>
      </c>
      <c r="P2931" t="n">
        <v>0</v>
      </c>
      <c r="Q2931" t="n">
        <v>0</v>
      </c>
      <c r="R2931" s="2" t="inlineStr"/>
    </row>
    <row r="2932" ht="15" customHeight="1">
      <c r="A2932" t="inlineStr">
        <is>
          <t>A 31337-2020</t>
        </is>
      </c>
      <c r="B2932" s="1" t="n">
        <v>44012</v>
      </c>
      <c r="C2932" s="1" t="n">
        <v>45182</v>
      </c>
      <c r="D2932" t="inlineStr">
        <is>
          <t>JÄMTLANDS LÄN</t>
        </is>
      </c>
      <c r="E2932" t="inlineStr">
        <is>
          <t>STRÖMSUND</t>
        </is>
      </c>
      <c r="F2932" t="inlineStr">
        <is>
          <t>SCA</t>
        </is>
      </c>
      <c r="G2932" t="n">
        <v>3.5</v>
      </c>
      <c r="H2932" t="n">
        <v>0</v>
      </c>
      <c r="I2932" t="n">
        <v>0</v>
      </c>
      <c r="J2932" t="n">
        <v>0</v>
      </c>
      <c r="K2932" t="n">
        <v>0</v>
      </c>
      <c r="L2932" t="n">
        <v>0</v>
      </c>
      <c r="M2932" t="n">
        <v>0</v>
      </c>
      <c r="N2932" t="n">
        <v>0</v>
      </c>
      <c r="O2932" t="n">
        <v>0</v>
      </c>
      <c r="P2932" t="n">
        <v>0</v>
      </c>
      <c r="Q2932" t="n">
        <v>0</v>
      </c>
      <c r="R2932" s="2" t="inlineStr"/>
    </row>
    <row r="2933" ht="15" customHeight="1">
      <c r="A2933" t="inlineStr">
        <is>
          <t>A 31602-2020</t>
        </is>
      </c>
      <c r="B2933" s="1" t="n">
        <v>44013</v>
      </c>
      <c r="C2933" s="1" t="n">
        <v>45182</v>
      </c>
      <c r="D2933" t="inlineStr">
        <is>
          <t>JÄMTLANDS LÄN</t>
        </is>
      </c>
      <c r="E2933" t="inlineStr">
        <is>
          <t>BRÄCKE</t>
        </is>
      </c>
      <c r="G2933" t="n">
        <v>0.9</v>
      </c>
      <c r="H2933" t="n">
        <v>0</v>
      </c>
      <c r="I2933" t="n">
        <v>0</v>
      </c>
      <c r="J2933" t="n">
        <v>0</v>
      </c>
      <c r="K2933" t="n">
        <v>0</v>
      </c>
      <c r="L2933" t="n">
        <v>0</v>
      </c>
      <c r="M2933" t="n">
        <v>0</v>
      </c>
      <c r="N2933" t="n">
        <v>0</v>
      </c>
      <c r="O2933" t="n">
        <v>0</v>
      </c>
      <c r="P2933" t="n">
        <v>0</v>
      </c>
      <c r="Q2933" t="n">
        <v>0</v>
      </c>
      <c r="R2933" s="2" t="inlineStr"/>
    </row>
    <row r="2934" ht="15" customHeight="1">
      <c r="A2934" t="inlineStr">
        <is>
          <t>A 31652-2020</t>
        </is>
      </c>
      <c r="B2934" s="1" t="n">
        <v>44013</v>
      </c>
      <c r="C2934" s="1" t="n">
        <v>45182</v>
      </c>
      <c r="D2934" t="inlineStr">
        <is>
          <t>JÄMTLANDS LÄN</t>
        </is>
      </c>
      <c r="E2934" t="inlineStr">
        <is>
          <t>RAGUNDA</t>
        </is>
      </c>
      <c r="F2934" t="inlineStr">
        <is>
          <t>SCA</t>
        </is>
      </c>
      <c r="G2934" t="n">
        <v>22.1</v>
      </c>
      <c r="H2934" t="n">
        <v>0</v>
      </c>
      <c r="I2934" t="n">
        <v>0</v>
      </c>
      <c r="J2934" t="n">
        <v>0</v>
      </c>
      <c r="K2934" t="n">
        <v>0</v>
      </c>
      <c r="L2934" t="n">
        <v>0</v>
      </c>
      <c r="M2934" t="n">
        <v>0</v>
      </c>
      <c r="N2934" t="n">
        <v>0</v>
      </c>
      <c r="O2934" t="n">
        <v>0</v>
      </c>
      <c r="P2934" t="n">
        <v>0</v>
      </c>
      <c r="Q2934" t="n">
        <v>0</v>
      </c>
      <c r="R2934" s="2" t="inlineStr"/>
    </row>
    <row r="2935" ht="15" customHeight="1">
      <c r="A2935" t="inlineStr">
        <is>
          <t>A 31421-2020</t>
        </is>
      </c>
      <c r="B2935" s="1" t="n">
        <v>44013</v>
      </c>
      <c r="C2935" s="1" t="n">
        <v>45182</v>
      </c>
      <c r="D2935" t="inlineStr">
        <is>
          <t>JÄMTLANDS LÄN</t>
        </is>
      </c>
      <c r="E2935" t="inlineStr">
        <is>
          <t>KROKOM</t>
        </is>
      </c>
      <c r="G2935" t="n">
        <v>14.1</v>
      </c>
      <c r="H2935" t="n">
        <v>0</v>
      </c>
      <c r="I2935" t="n">
        <v>0</v>
      </c>
      <c r="J2935" t="n">
        <v>0</v>
      </c>
      <c r="K2935" t="n">
        <v>0</v>
      </c>
      <c r="L2935" t="n">
        <v>0</v>
      </c>
      <c r="M2935" t="n">
        <v>0</v>
      </c>
      <c r="N2935" t="n">
        <v>0</v>
      </c>
      <c r="O2935" t="n">
        <v>0</v>
      </c>
      <c r="P2935" t="n">
        <v>0</v>
      </c>
      <c r="Q2935" t="n">
        <v>0</v>
      </c>
      <c r="R2935" s="2" t="inlineStr"/>
    </row>
    <row r="2936" ht="15" customHeight="1">
      <c r="A2936" t="inlineStr">
        <is>
          <t>A 31447-2020</t>
        </is>
      </c>
      <c r="B2936" s="1" t="n">
        <v>44013</v>
      </c>
      <c r="C2936" s="1" t="n">
        <v>45182</v>
      </c>
      <c r="D2936" t="inlineStr">
        <is>
          <t>JÄMTLANDS LÄN</t>
        </is>
      </c>
      <c r="E2936" t="inlineStr">
        <is>
          <t>STRÖMSUND</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31465-2020</t>
        </is>
      </c>
      <c r="B2937" s="1" t="n">
        <v>44013</v>
      </c>
      <c r="C2937" s="1" t="n">
        <v>45182</v>
      </c>
      <c r="D2937" t="inlineStr">
        <is>
          <t>JÄMTLANDS LÄN</t>
        </is>
      </c>
      <c r="E2937" t="inlineStr">
        <is>
          <t>STRÖMSUND</t>
        </is>
      </c>
      <c r="G2937" t="n">
        <v>0.2</v>
      </c>
      <c r="H2937" t="n">
        <v>0</v>
      </c>
      <c r="I2937" t="n">
        <v>0</v>
      </c>
      <c r="J2937" t="n">
        <v>0</v>
      </c>
      <c r="K2937" t="n">
        <v>0</v>
      </c>
      <c r="L2937" t="n">
        <v>0</v>
      </c>
      <c r="M2937" t="n">
        <v>0</v>
      </c>
      <c r="N2937" t="n">
        <v>0</v>
      </c>
      <c r="O2937" t="n">
        <v>0</v>
      </c>
      <c r="P2937" t="n">
        <v>0</v>
      </c>
      <c r="Q2937" t="n">
        <v>0</v>
      </c>
      <c r="R2937" s="2" t="inlineStr"/>
    </row>
    <row r="2938" ht="15" customHeight="1">
      <c r="A2938" t="inlineStr">
        <is>
          <t>A 31634-2020</t>
        </is>
      </c>
      <c r="B2938" s="1" t="n">
        <v>44013</v>
      </c>
      <c r="C2938" s="1" t="n">
        <v>45182</v>
      </c>
      <c r="D2938" t="inlineStr">
        <is>
          <t>JÄMTLANDS LÄN</t>
        </is>
      </c>
      <c r="E2938" t="inlineStr">
        <is>
          <t>STRÖMSUND</t>
        </is>
      </c>
      <c r="F2938" t="inlineStr">
        <is>
          <t>SCA</t>
        </is>
      </c>
      <c r="G2938" t="n">
        <v>2.3</v>
      </c>
      <c r="H2938" t="n">
        <v>0</v>
      </c>
      <c r="I2938" t="n">
        <v>0</v>
      </c>
      <c r="J2938" t="n">
        <v>0</v>
      </c>
      <c r="K2938" t="n">
        <v>0</v>
      </c>
      <c r="L2938" t="n">
        <v>0</v>
      </c>
      <c r="M2938" t="n">
        <v>0</v>
      </c>
      <c r="N2938" t="n">
        <v>0</v>
      </c>
      <c r="O2938" t="n">
        <v>0</v>
      </c>
      <c r="P2938" t="n">
        <v>0</v>
      </c>
      <c r="Q2938" t="n">
        <v>0</v>
      </c>
      <c r="R2938" s="2" t="inlineStr"/>
    </row>
    <row r="2939" ht="15" customHeight="1">
      <c r="A2939" t="inlineStr">
        <is>
          <t>A 31658-2020</t>
        </is>
      </c>
      <c r="B2939" s="1" t="n">
        <v>44013</v>
      </c>
      <c r="C2939" s="1" t="n">
        <v>45182</v>
      </c>
      <c r="D2939" t="inlineStr">
        <is>
          <t>JÄMTLANDS LÄN</t>
        </is>
      </c>
      <c r="E2939" t="inlineStr">
        <is>
          <t>STRÖMSUND</t>
        </is>
      </c>
      <c r="F2939" t="inlineStr">
        <is>
          <t>SCA</t>
        </is>
      </c>
      <c r="G2939" t="n">
        <v>3.6</v>
      </c>
      <c r="H2939" t="n">
        <v>0</v>
      </c>
      <c r="I2939" t="n">
        <v>0</v>
      </c>
      <c r="J2939" t="n">
        <v>0</v>
      </c>
      <c r="K2939" t="n">
        <v>0</v>
      </c>
      <c r="L2939" t="n">
        <v>0</v>
      </c>
      <c r="M2939" t="n">
        <v>0</v>
      </c>
      <c r="N2939" t="n">
        <v>0</v>
      </c>
      <c r="O2939" t="n">
        <v>0</v>
      </c>
      <c r="P2939" t="n">
        <v>0</v>
      </c>
      <c r="Q2939" t="n">
        <v>0</v>
      </c>
      <c r="R2939" s="2" t="inlineStr"/>
    </row>
    <row r="2940" ht="15" customHeight="1">
      <c r="A2940" t="inlineStr">
        <is>
          <t>A 31638-2020</t>
        </is>
      </c>
      <c r="B2940" s="1" t="n">
        <v>44013</v>
      </c>
      <c r="C2940" s="1" t="n">
        <v>45182</v>
      </c>
      <c r="D2940" t="inlineStr">
        <is>
          <t>JÄMTLANDS LÄN</t>
        </is>
      </c>
      <c r="E2940" t="inlineStr">
        <is>
          <t>STRÖMSUND</t>
        </is>
      </c>
      <c r="F2940" t="inlineStr">
        <is>
          <t>SCA</t>
        </is>
      </c>
      <c r="G2940" t="n">
        <v>25.9</v>
      </c>
      <c r="H2940" t="n">
        <v>0</v>
      </c>
      <c r="I2940" t="n">
        <v>0</v>
      </c>
      <c r="J2940" t="n">
        <v>0</v>
      </c>
      <c r="K2940" t="n">
        <v>0</v>
      </c>
      <c r="L2940" t="n">
        <v>0</v>
      </c>
      <c r="M2940" t="n">
        <v>0</v>
      </c>
      <c r="N2940" t="n">
        <v>0</v>
      </c>
      <c r="O2940" t="n">
        <v>0</v>
      </c>
      <c r="P2940" t="n">
        <v>0</v>
      </c>
      <c r="Q2940" t="n">
        <v>0</v>
      </c>
      <c r="R2940" s="2" t="inlineStr"/>
    </row>
    <row r="2941" ht="15" customHeight="1">
      <c r="A2941" t="inlineStr">
        <is>
          <t>A 31649-2020</t>
        </is>
      </c>
      <c r="B2941" s="1" t="n">
        <v>44013</v>
      </c>
      <c r="C2941" s="1" t="n">
        <v>45182</v>
      </c>
      <c r="D2941" t="inlineStr">
        <is>
          <t>JÄMTLANDS LÄN</t>
        </is>
      </c>
      <c r="E2941" t="inlineStr">
        <is>
          <t>RAGUNDA</t>
        </is>
      </c>
      <c r="F2941" t="inlineStr">
        <is>
          <t>SCA</t>
        </is>
      </c>
      <c r="G2941" t="n">
        <v>4.2</v>
      </c>
      <c r="H2941" t="n">
        <v>0</v>
      </c>
      <c r="I2941" t="n">
        <v>0</v>
      </c>
      <c r="J2941" t="n">
        <v>0</v>
      </c>
      <c r="K2941" t="n">
        <v>0</v>
      </c>
      <c r="L2941" t="n">
        <v>0</v>
      </c>
      <c r="M2941" t="n">
        <v>0</v>
      </c>
      <c r="N2941" t="n">
        <v>0</v>
      </c>
      <c r="O2941" t="n">
        <v>0</v>
      </c>
      <c r="P2941" t="n">
        <v>0</v>
      </c>
      <c r="Q2941" t="n">
        <v>0</v>
      </c>
      <c r="R2941" s="2" t="inlineStr"/>
    </row>
    <row r="2942" ht="15" customHeight="1">
      <c r="A2942" t="inlineStr">
        <is>
          <t>A 31663-2020</t>
        </is>
      </c>
      <c r="B2942" s="1" t="n">
        <v>44013</v>
      </c>
      <c r="C2942" s="1" t="n">
        <v>45182</v>
      </c>
      <c r="D2942" t="inlineStr">
        <is>
          <t>JÄMTLANDS LÄN</t>
        </is>
      </c>
      <c r="E2942" t="inlineStr">
        <is>
          <t>STRÖMSUND</t>
        </is>
      </c>
      <c r="F2942" t="inlineStr">
        <is>
          <t>SCA</t>
        </is>
      </c>
      <c r="G2942" t="n">
        <v>1.3</v>
      </c>
      <c r="H2942" t="n">
        <v>0</v>
      </c>
      <c r="I2942" t="n">
        <v>0</v>
      </c>
      <c r="J2942" t="n">
        <v>0</v>
      </c>
      <c r="K2942" t="n">
        <v>0</v>
      </c>
      <c r="L2942" t="n">
        <v>0</v>
      </c>
      <c r="M2942" t="n">
        <v>0</v>
      </c>
      <c r="N2942" t="n">
        <v>0</v>
      </c>
      <c r="O2942" t="n">
        <v>0</v>
      </c>
      <c r="P2942" t="n">
        <v>0</v>
      </c>
      <c r="Q2942" t="n">
        <v>0</v>
      </c>
      <c r="R2942" s="2" t="inlineStr"/>
    </row>
    <row r="2943" ht="15" customHeight="1">
      <c r="A2943" t="inlineStr">
        <is>
          <t>A 31639-2020</t>
        </is>
      </c>
      <c r="B2943" s="1" t="n">
        <v>44013</v>
      </c>
      <c r="C2943" s="1" t="n">
        <v>45182</v>
      </c>
      <c r="D2943" t="inlineStr">
        <is>
          <t>JÄMTLANDS LÄN</t>
        </is>
      </c>
      <c r="E2943" t="inlineStr">
        <is>
          <t>STRÖMSUND</t>
        </is>
      </c>
      <c r="F2943" t="inlineStr">
        <is>
          <t>SCA</t>
        </is>
      </c>
      <c r="G2943" t="n">
        <v>25.6</v>
      </c>
      <c r="H2943" t="n">
        <v>0</v>
      </c>
      <c r="I2943" t="n">
        <v>0</v>
      </c>
      <c r="J2943" t="n">
        <v>0</v>
      </c>
      <c r="K2943" t="n">
        <v>0</v>
      </c>
      <c r="L2943" t="n">
        <v>0</v>
      </c>
      <c r="M2943" t="n">
        <v>0</v>
      </c>
      <c r="N2943" t="n">
        <v>0</v>
      </c>
      <c r="O2943" t="n">
        <v>0</v>
      </c>
      <c r="P2943" t="n">
        <v>0</v>
      </c>
      <c r="Q2943" t="n">
        <v>0</v>
      </c>
      <c r="R2943" s="2" t="inlineStr"/>
    </row>
    <row r="2944" ht="15" customHeight="1">
      <c r="A2944" t="inlineStr">
        <is>
          <t>A 31651-2020</t>
        </is>
      </c>
      <c r="B2944" s="1" t="n">
        <v>44013</v>
      </c>
      <c r="C2944" s="1" t="n">
        <v>45182</v>
      </c>
      <c r="D2944" t="inlineStr">
        <is>
          <t>JÄMTLANDS LÄN</t>
        </is>
      </c>
      <c r="E2944" t="inlineStr">
        <is>
          <t>RAGUNDA</t>
        </is>
      </c>
      <c r="F2944" t="inlineStr">
        <is>
          <t>SCA</t>
        </is>
      </c>
      <c r="G2944" t="n">
        <v>33</v>
      </c>
      <c r="H2944" t="n">
        <v>0</v>
      </c>
      <c r="I2944" t="n">
        <v>0</v>
      </c>
      <c r="J2944" t="n">
        <v>0</v>
      </c>
      <c r="K2944" t="n">
        <v>0</v>
      </c>
      <c r="L2944" t="n">
        <v>0</v>
      </c>
      <c r="M2944" t="n">
        <v>0</v>
      </c>
      <c r="N2944" t="n">
        <v>0</v>
      </c>
      <c r="O2944" t="n">
        <v>0</v>
      </c>
      <c r="P2944" t="n">
        <v>0</v>
      </c>
      <c r="Q2944" t="n">
        <v>0</v>
      </c>
      <c r="R2944" s="2" t="inlineStr"/>
    </row>
    <row r="2945" ht="15" customHeight="1">
      <c r="A2945" t="inlineStr">
        <is>
          <t>A 31920-2020</t>
        </is>
      </c>
      <c r="B2945" s="1" t="n">
        <v>44014</v>
      </c>
      <c r="C2945" s="1" t="n">
        <v>45182</v>
      </c>
      <c r="D2945" t="inlineStr">
        <is>
          <t>JÄMTLANDS LÄN</t>
        </is>
      </c>
      <c r="E2945" t="inlineStr">
        <is>
          <t>HÄRJEDALEN</t>
        </is>
      </c>
      <c r="F2945" t="inlineStr">
        <is>
          <t>Sveaskog</t>
        </is>
      </c>
      <c r="G2945" t="n">
        <v>0.8</v>
      </c>
      <c r="H2945" t="n">
        <v>0</v>
      </c>
      <c r="I2945" t="n">
        <v>0</v>
      </c>
      <c r="J2945" t="n">
        <v>0</v>
      </c>
      <c r="K2945" t="n">
        <v>0</v>
      </c>
      <c r="L2945" t="n">
        <v>0</v>
      </c>
      <c r="M2945" t="n">
        <v>0</v>
      </c>
      <c r="N2945" t="n">
        <v>0</v>
      </c>
      <c r="O2945" t="n">
        <v>0</v>
      </c>
      <c r="P2945" t="n">
        <v>0</v>
      </c>
      <c r="Q2945" t="n">
        <v>0</v>
      </c>
      <c r="R2945" s="2" t="inlineStr"/>
    </row>
    <row r="2946" ht="15" customHeight="1">
      <c r="A2946" t="inlineStr">
        <is>
          <t>A 31991-2020</t>
        </is>
      </c>
      <c r="B2946" s="1" t="n">
        <v>44014</v>
      </c>
      <c r="C2946" s="1" t="n">
        <v>45182</v>
      </c>
      <c r="D2946" t="inlineStr">
        <is>
          <t>JÄMTLANDS LÄN</t>
        </is>
      </c>
      <c r="E2946" t="inlineStr">
        <is>
          <t>STRÖMSUND</t>
        </is>
      </c>
      <c r="F2946" t="inlineStr">
        <is>
          <t>SCA</t>
        </is>
      </c>
      <c r="G2946" t="n">
        <v>2.5</v>
      </c>
      <c r="H2946" t="n">
        <v>0</v>
      </c>
      <c r="I2946" t="n">
        <v>0</v>
      </c>
      <c r="J2946" t="n">
        <v>0</v>
      </c>
      <c r="K2946" t="n">
        <v>0</v>
      </c>
      <c r="L2946" t="n">
        <v>0</v>
      </c>
      <c r="M2946" t="n">
        <v>0</v>
      </c>
      <c r="N2946" t="n">
        <v>0</v>
      </c>
      <c r="O2946" t="n">
        <v>0</v>
      </c>
      <c r="P2946" t="n">
        <v>0</v>
      </c>
      <c r="Q2946" t="n">
        <v>0</v>
      </c>
      <c r="R2946" s="2" t="inlineStr"/>
    </row>
    <row r="2947" ht="15" customHeight="1">
      <c r="A2947" t="inlineStr">
        <is>
          <t>A 31990-2020</t>
        </is>
      </c>
      <c r="B2947" s="1" t="n">
        <v>44014</v>
      </c>
      <c r="C2947" s="1" t="n">
        <v>45182</v>
      </c>
      <c r="D2947" t="inlineStr">
        <is>
          <t>JÄMTLANDS LÄN</t>
        </is>
      </c>
      <c r="E2947" t="inlineStr">
        <is>
          <t>STRÖMSUND</t>
        </is>
      </c>
      <c r="F2947" t="inlineStr">
        <is>
          <t>SCA</t>
        </is>
      </c>
      <c r="G2947" t="n">
        <v>3.4</v>
      </c>
      <c r="H2947" t="n">
        <v>0</v>
      </c>
      <c r="I2947" t="n">
        <v>0</v>
      </c>
      <c r="J2947" t="n">
        <v>0</v>
      </c>
      <c r="K2947" t="n">
        <v>0</v>
      </c>
      <c r="L2947" t="n">
        <v>0</v>
      </c>
      <c r="M2947" t="n">
        <v>0</v>
      </c>
      <c r="N2947" t="n">
        <v>0</v>
      </c>
      <c r="O2947" t="n">
        <v>0</v>
      </c>
      <c r="P2947" t="n">
        <v>0</v>
      </c>
      <c r="Q2947" t="n">
        <v>0</v>
      </c>
      <c r="R2947" s="2" t="inlineStr"/>
    </row>
    <row r="2948" ht="15" customHeight="1">
      <c r="A2948" t="inlineStr">
        <is>
          <t>A 31872-2020</t>
        </is>
      </c>
      <c r="B2948" s="1" t="n">
        <v>44014</v>
      </c>
      <c r="C2948" s="1" t="n">
        <v>45182</v>
      </c>
      <c r="D2948" t="inlineStr">
        <is>
          <t>JÄMTLANDS LÄN</t>
        </is>
      </c>
      <c r="E2948" t="inlineStr">
        <is>
          <t>HÄRJEDALEN</t>
        </is>
      </c>
      <c r="G2948" t="n">
        <v>21.4</v>
      </c>
      <c r="H2948" t="n">
        <v>0</v>
      </c>
      <c r="I2948" t="n">
        <v>0</v>
      </c>
      <c r="J2948" t="n">
        <v>0</v>
      </c>
      <c r="K2948" t="n">
        <v>0</v>
      </c>
      <c r="L2948" t="n">
        <v>0</v>
      </c>
      <c r="M2948" t="n">
        <v>0</v>
      </c>
      <c r="N2948" t="n">
        <v>0</v>
      </c>
      <c r="O2948" t="n">
        <v>0</v>
      </c>
      <c r="P2948" t="n">
        <v>0</v>
      </c>
      <c r="Q2948" t="n">
        <v>0</v>
      </c>
      <c r="R2948" s="2" t="inlineStr"/>
    </row>
    <row r="2949" ht="15" customHeight="1">
      <c r="A2949" t="inlineStr">
        <is>
          <t>A 32084-2020</t>
        </is>
      </c>
      <c r="B2949" s="1" t="n">
        <v>44015</v>
      </c>
      <c r="C2949" s="1" t="n">
        <v>45182</v>
      </c>
      <c r="D2949" t="inlineStr">
        <is>
          <t>JÄMTLANDS LÄN</t>
        </is>
      </c>
      <c r="E2949" t="inlineStr">
        <is>
          <t>KROKOM</t>
        </is>
      </c>
      <c r="G2949" t="n">
        <v>3</v>
      </c>
      <c r="H2949" t="n">
        <v>0</v>
      </c>
      <c r="I2949" t="n">
        <v>0</v>
      </c>
      <c r="J2949" t="n">
        <v>0</v>
      </c>
      <c r="K2949" t="n">
        <v>0</v>
      </c>
      <c r="L2949" t="n">
        <v>0</v>
      </c>
      <c r="M2949" t="n">
        <v>0</v>
      </c>
      <c r="N2949" t="n">
        <v>0</v>
      </c>
      <c r="O2949" t="n">
        <v>0</v>
      </c>
      <c r="P2949" t="n">
        <v>0</v>
      </c>
      <c r="Q2949" t="n">
        <v>0</v>
      </c>
      <c r="R2949" s="2" t="inlineStr"/>
    </row>
    <row r="2950" ht="15" customHeight="1">
      <c r="A2950" t="inlineStr">
        <is>
          <t>A 32316-2020</t>
        </is>
      </c>
      <c r="B2950" s="1" t="n">
        <v>44015</v>
      </c>
      <c r="C2950" s="1" t="n">
        <v>45182</v>
      </c>
      <c r="D2950" t="inlineStr">
        <is>
          <t>JÄMTLANDS LÄN</t>
        </is>
      </c>
      <c r="E2950" t="inlineStr">
        <is>
          <t>STRÖMSUND</t>
        </is>
      </c>
      <c r="F2950" t="inlineStr">
        <is>
          <t>SCA</t>
        </is>
      </c>
      <c r="G2950" t="n">
        <v>0.8</v>
      </c>
      <c r="H2950" t="n">
        <v>0</v>
      </c>
      <c r="I2950" t="n">
        <v>0</v>
      </c>
      <c r="J2950" t="n">
        <v>0</v>
      </c>
      <c r="K2950" t="n">
        <v>0</v>
      </c>
      <c r="L2950" t="n">
        <v>0</v>
      </c>
      <c r="M2950" t="n">
        <v>0</v>
      </c>
      <c r="N2950" t="n">
        <v>0</v>
      </c>
      <c r="O2950" t="n">
        <v>0</v>
      </c>
      <c r="P2950" t="n">
        <v>0</v>
      </c>
      <c r="Q2950" t="n">
        <v>0</v>
      </c>
      <c r="R2950" s="2" t="inlineStr"/>
    </row>
    <row r="2951" ht="15" customHeight="1">
      <c r="A2951" t="inlineStr">
        <is>
          <t>A 32272-2020</t>
        </is>
      </c>
      <c r="B2951" s="1" t="n">
        <v>44015</v>
      </c>
      <c r="C2951" s="1" t="n">
        <v>45182</v>
      </c>
      <c r="D2951" t="inlineStr">
        <is>
          <t>JÄMTLANDS LÄN</t>
        </is>
      </c>
      <c r="E2951" t="inlineStr">
        <is>
          <t>BRÄCKE</t>
        </is>
      </c>
      <c r="G2951" t="n">
        <v>2.5</v>
      </c>
      <c r="H2951" t="n">
        <v>0</v>
      </c>
      <c r="I2951" t="n">
        <v>0</v>
      </c>
      <c r="J2951" t="n">
        <v>0</v>
      </c>
      <c r="K2951" t="n">
        <v>0</v>
      </c>
      <c r="L2951" t="n">
        <v>0</v>
      </c>
      <c r="M2951" t="n">
        <v>0</v>
      </c>
      <c r="N2951" t="n">
        <v>0</v>
      </c>
      <c r="O2951" t="n">
        <v>0</v>
      </c>
      <c r="P2951" t="n">
        <v>0</v>
      </c>
      <c r="Q2951" t="n">
        <v>0</v>
      </c>
      <c r="R2951" s="2" t="inlineStr"/>
    </row>
    <row r="2952" ht="15" customHeight="1">
      <c r="A2952" t="inlineStr">
        <is>
          <t>A 32307-2020</t>
        </is>
      </c>
      <c r="B2952" s="1" t="n">
        <v>44015</v>
      </c>
      <c r="C2952" s="1" t="n">
        <v>45182</v>
      </c>
      <c r="D2952" t="inlineStr">
        <is>
          <t>JÄMTLANDS LÄN</t>
        </is>
      </c>
      <c r="E2952" t="inlineStr">
        <is>
          <t>STRÖMSUND</t>
        </is>
      </c>
      <c r="F2952" t="inlineStr">
        <is>
          <t>SCA</t>
        </is>
      </c>
      <c r="G2952" t="n">
        <v>6.6</v>
      </c>
      <c r="H2952" t="n">
        <v>0</v>
      </c>
      <c r="I2952" t="n">
        <v>0</v>
      </c>
      <c r="J2952" t="n">
        <v>0</v>
      </c>
      <c r="K2952" t="n">
        <v>0</v>
      </c>
      <c r="L2952" t="n">
        <v>0</v>
      </c>
      <c r="M2952" t="n">
        <v>0</v>
      </c>
      <c r="N2952" t="n">
        <v>0</v>
      </c>
      <c r="O2952" t="n">
        <v>0</v>
      </c>
      <c r="P2952" t="n">
        <v>0</v>
      </c>
      <c r="Q2952" t="n">
        <v>0</v>
      </c>
      <c r="R2952" s="2" t="inlineStr"/>
    </row>
    <row r="2953" ht="15" customHeight="1">
      <c r="A2953" t="inlineStr">
        <is>
          <t>A 32199-2020</t>
        </is>
      </c>
      <c r="B2953" s="1" t="n">
        <v>44015</v>
      </c>
      <c r="C2953" s="1" t="n">
        <v>45182</v>
      </c>
      <c r="D2953" t="inlineStr">
        <is>
          <t>JÄMTLANDS LÄN</t>
        </is>
      </c>
      <c r="E2953" t="inlineStr">
        <is>
          <t>STRÖMSUND</t>
        </is>
      </c>
      <c r="G2953" t="n">
        <v>3.4</v>
      </c>
      <c r="H2953" t="n">
        <v>0</v>
      </c>
      <c r="I2953" t="n">
        <v>0</v>
      </c>
      <c r="J2953" t="n">
        <v>0</v>
      </c>
      <c r="K2953" t="n">
        <v>0</v>
      </c>
      <c r="L2953" t="n">
        <v>0</v>
      </c>
      <c r="M2953" t="n">
        <v>0</v>
      </c>
      <c r="N2953" t="n">
        <v>0</v>
      </c>
      <c r="O2953" t="n">
        <v>0</v>
      </c>
      <c r="P2953" t="n">
        <v>0</v>
      </c>
      <c r="Q2953" t="n">
        <v>0</v>
      </c>
      <c r="R2953" s="2" t="inlineStr"/>
    </row>
    <row r="2954" ht="15" customHeight="1">
      <c r="A2954" t="inlineStr">
        <is>
          <t>A 32315-2020</t>
        </is>
      </c>
      <c r="B2954" s="1" t="n">
        <v>44015</v>
      </c>
      <c r="C2954" s="1" t="n">
        <v>45182</v>
      </c>
      <c r="D2954" t="inlineStr">
        <is>
          <t>JÄMTLANDS LÄN</t>
        </is>
      </c>
      <c r="E2954" t="inlineStr">
        <is>
          <t>STRÖMSUND</t>
        </is>
      </c>
      <c r="F2954" t="inlineStr">
        <is>
          <t>SCA</t>
        </is>
      </c>
      <c r="G2954" t="n">
        <v>4.7</v>
      </c>
      <c r="H2954" t="n">
        <v>0</v>
      </c>
      <c r="I2954" t="n">
        <v>0</v>
      </c>
      <c r="J2954" t="n">
        <v>0</v>
      </c>
      <c r="K2954" t="n">
        <v>0</v>
      </c>
      <c r="L2954" t="n">
        <v>0</v>
      </c>
      <c r="M2954" t="n">
        <v>0</v>
      </c>
      <c r="N2954" t="n">
        <v>0</v>
      </c>
      <c r="O2954" t="n">
        <v>0</v>
      </c>
      <c r="P2954" t="n">
        <v>0</v>
      </c>
      <c r="Q2954" t="n">
        <v>0</v>
      </c>
      <c r="R2954" s="2" t="inlineStr"/>
    </row>
    <row r="2955" ht="15" customHeight="1">
      <c r="A2955" t="inlineStr">
        <is>
          <t>A 32326-2020</t>
        </is>
      </c>
      <c r="B2955" s="1" t="n">
        <v>44015</v>
      </c>
      <c r="C2955" s="1" t="n">
        <v>45182</v>
      </c>
      <c r="D2955" t="inlineStr">
        <is>
          <t>JÄMTLANDS LÄN</t>
        </is>
      </c>
      <c r="E2955" t="inlineStr">
        <is>
          <t>STRÖMSUND</t>
        </is>
      </c>
      <c r="F2955" t="inlineStr">
        <is>
          <t>SCA</t>
        </is>
      </c>
      <c r="G2955" t="n">
        <v>2.8</v>
      </c>
      <c r="H2955" t="n">
        <v>0</v>
      </c>
      <c r="I2955" t="n">
        <v>0</v>
      </c>
      <c r="J2955" t="n">
        <v>0</v>
      </c>
      <c r="K2955" t="n">
        <v>0</v>
      </c>
      <c r="L2955" t="n">
        <v>0</v>
      </c>
      <c r="M2955" t="n">
        <v>0</v>
      </c>
      <c r="N2955" t="n">
        <v>0</v>
      </c>
      <c r="O2955" t="n">
        <v>0</v>
      </c>
      <c r="P2955" t="n">
        <v>0</v>
      </c>
      <c r="Q2955" t="n">
        <v>0</v>
      </c>
      <c r="R2955" s="2" t="inlineStr"/>
    </row>
    <row r="2956" ht="15" customHeight="1">
      <c r="A2956" t="inlineStr">
        <is>
          <t>A 32710-2020</t>
        </is>
      </c>
      <c r="B2956" s="1" t="n">
        <v>44018</v>
      </c>
      <c r="C2956" s="1" t="n">
        <v>45182</v>
      </c>
      <c r="D2956" t="inlineStr">
        <is>
          <t>JÄMTLANDS LÄN</t>
        </is>
      </c>
      <c r="E2956" t="inlineStr">
        <is>
          <t>BRÄCKE</t>
        </is>
      </c>
      <c r="G2956" t="n">
        <v>1.9</v>
      </c>
      <c r="H2956" t="n">
        <v>0</v>
      </c>
      <c r="I2956" t="n">
        <v>0</v>
      </c>
      <c r="J2956" t="n">
        <v>0</v>
      </c>
      <c r="K2956" t="n">
        <v>0</v>
      </c>
      <c r="L2956" t="n">
        <v>0</v>
      </c>
      <c r="M2956" t="n">
        <v>0</v>
      </c>
      <c r="N2956" t="n">
        <v>0</v>
      </c>
      <c r="O2956" t="n">
        <v>0</v>
      </c>
      <c r="P2956" t="n">
        <v>0</v>
      </c>
      <c r="Q2956" t="n">
        <v>0</v>
      </c>
      <c r="R2956" s="2" t="inlineStr"/>
    </row>
    <row r="2957" ht="15" customHeight="1">
      <c r="A2957" t="inlineStr">
        <is>
          <t>A 32744-2020</t>
        </is>
      </c>
      <c r="B2957" s="1" t="n">
        <v>44019</v>
      </c>
      <c r="C2957" s="1" t="n">
        <v>45182</v>
      </c>
      <c r="D2957" t="inlineStr">
        <is>
          <t>JÄMTLANDS LÄN</t>
        </is>
      </c>
      <c r="E2957" t="inlineStr">
        <is>
          <t>BERG</t>
        </is>
      </c>
      <c r="F2957" t="inlineStr">
        <is>
          <t>SCA</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32783-2020</t>
        </is>
      </c>
      <c r="B2958" s="1" t="n">
        <v>44019</v>
      </c>
      <c r="C2958" s="1" t="n">
        <v>45182</v>
      </c>
      <c r="D2958" t="inlineStr">
        <is>
          <t>JÄMTLANDS LÄN</t>
        </is>
      </c>
      <c r="E2958" t="inlineStr">
        <is>
          <t>STRÖMSUND</t>
        </is>
      </c>
      <c r="F2958" t="inlineStr">
        <is>
          <t>SCA</t>
        </is>
      </c>
      <c r="G2958" t="n">
        <v>2.8</v>
      </c>
      <c r="H2958" t="n">
        <v>0</v>
      </c>
      <c r="I2958" t="n">
        <v>0</v>
      </c>
      <c r="J2958" t="n">
        <v>0</v>
      </c>
      <c r="K2958" t="n">
        <v>0</v>
      </c>
      <c r="L2958" t="n">
        <v>0</v>
      </c>
      <c r="M2958" t="n">
        <v>0</v>
      </c>
      <c r="N2958" t="n">
        <v>0</v>
      </c>
      <c r="O2958" t="n">
        <v>0</v>
      </c>
      <c r="P2958" t="n">
        <v>0</v>
      </c>
      <c r="Q2958" t="n">
        <v>0</v>
      </c>
      <c r="R2958" s="2" t="inlineStr"/>
    </row>
    <row r="2959" ht="15" customHeight="1">
      <c r="A2959" t="inlineStr">
        <is>
          <t>A 32763-2020</t>
        </is>
      </c>
      <c r="B2959" s="1" t="n">
        <v>44019</v>
      </c>
      <c r="C2959" s="1" t="n">
        <v>45182</v>
      </c>
      <c r="D2959" t="inlineStr">
        <is>
          <t>JÄMTLANDS LÄN</t>
        </is>
      </c>
      <c r="E2959" t="inlineStr">
        <is>
          <t>STRÖMSUND</t>
        </is>
      </c>
      <c r="F2959" t="inlineStr">
        <is>
          <t>SCA</t>
        </is>
      </c>
      <c r="G2959" t="n">
        <v>2.1</v>
      </c>
      <c r="H2959" t="n">
        <v>0</v>
      </c>
      <c r="I2959" t="n">
        <v>0</v>
      </c>
      <c r="J2959" t="n">
        <v>0</v>
      </c>
      <c r="K2959" t="n">
        <v>0</v>
      </c>
      <c r="L2959" t="n">
        <v>0</v>
      </c>
      <c r="M2959" t="n">
        <v>0</v>
      </c>
      <c r="N2959" t="n">
        <v>0</v>
      </c>
      <c r="O2959" t="n">
        <v>0</v>
      </c>
      <c r="P2959" t="n">
        <v>0</v>
      </c>
      <c r="Q2959" t="n">
        <v>0</v>
      </c>
      <c r="R2959" s="2" t="inlineStr"/>
    </row>
    <row r="2960" ht="15" customHeight="1">
      <c r="A2960" t="inlineStr">
        <is>
          <t>A 32780-2020</t>
        </is>
      </c>
      <c r="B2960" s="1" t="n">
        <v>44019</v>
      </c>
      <c r="C2960" s="1" t="n">
        <v>45182</v>
      </c>
      <c r="D2960" t="inlineStr">
        <is>
          <t>JÄMTLANDS LÄN</t>
        </is>
      </c>
      <c r="E2960" t="inlineStr">
        <is>
          <t>RAGUNDA</t>
        </is>
      </c>
      <c r="F2960" t="inlineStr">
        <is>
          <t>SCA</t>
        </is>
      </c>
      <c r="G2960" t="n">
        <v>11</v>
      </c>
      <c r="H2960" t="n">
        <v>0</v>
      </c>
      <c r="I2960" t="n">
        <v>0</v>
      </c>
      <c r="J2960" t="n">
        <v>0</v>
      </c>
      <c r="K2960" t="n">
        <v>0</v>
      </c>
      <c r="L2960" t="n">
        <v>0</v>
      </c>
      <c r="M2960" t="n">
        <v>0</v>
      </c>
      <c r="N2960" t="n">
        <v>0</v>
      </c>
      <c r="O2960" t="n">
        <v>0</v>
      </c>
      <c r="P2960" t="n">
        <v>0</v>
      </c>
      <c r="Q2960" t="n">
        <v>0</v>
      </c>
      <c r="R2960" s="2" t="inlineStr"/>
    </row>
    <row r="2961" ht="15" customHeight="1">
      <c r="A2961" t="inlineStr">
        <is>
          <t>A 33135-2020</t>
        </is>
      </c>
      <c r="B2961" s="1" t="n">
        <v>44019</v>
      </c>
      <c r="C2961" s="1" t="n">
        <v>45182</v>
      </c>
      <c r="D2961" t="inlineStr">
        <is>
          <t>JÄMTLANDS LÄN</t>
        </is>
      </c>
      <c r="E2961" t="inlineStr">
        <is>
          <t>STRÖMSUND</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33007-2020</t>
        </is>
      </c>
      <c r="B2962" s="1" t="n">
        <v>44020</v>
      </c>
      <c r="C2962" s="1" t="n">
        <v>45182</v>
      </c>
      <c r="D2962" t="inlineStr">
        <is>
          <t>JÄMTLANDS LÄN</t>
        </is>
      </c>
      <c r="E2962" t="inlineStr">
        <is>
          <t>STRÖMSUND</t>
        </is>
      </c>
      <c r="F2962" t="inlineStr">
        <is>
          <t>SCA</t>
        </is>
      </c>
      <c r="G2962" t="n">
        <v>4.9</v>
      </c>
      <c r="H2962" t="n">
        <v>0</v>
      </c>
      <c r="I2962" t="n">
        <v>0</v>
      </c>
      <c r="J2962" t="n">
        <v>0</v>
      </c>
      <c r="K2962" t="n">
        <v>0</v>
      </c>
      <c r="L2962" t="n">
        <v>0</v>
      </c>
      <c r="M2962" t="n">
        <v>0</v>
      </c>
      <c r="N2962" t="n">
        <v>0</v>
      </c>
      <c r="O2962" t="n">
        <v>0</v>
      </c>
      <c r="P2962" t="n">
        <v>0</v>
      </c>
      <c r="Q2962" t="n">
        <v>0</v>
      </c>
      <c r="R2962" s="2" t="inlineStr"/>
    </row>
    <row r="2963" ht="15" customHeight="1">
      <c r="A2963" t="inlineStr">
        <is>
          <t>A 33006-2020</t>
        </is>
      </c>
      <c r="B2963" s="1" t="n">
        <v>44020</v>
      </c>
      <c r="C2963" s="1" t="n">
        <v>45182</v>
      </c>
      <c r="D2963" t="inlineStr">
        <is>
          <t>JÄMTLANDS LÄN</t>
        </is>
      </c>
      <c r="E2963" t="inlineStr">
        <is>
          <t>STRÖMSUND</t>
        </is>
      </c>
      <c r="F2963" t="inlineStr">
        <is>
          <t>SCA</t>
        </is>
      </c>
      <c r="G2963" t="n">
        <v>3.2</v>
      </c>
      <c r="H2963" t="n">
        <v>0</v>
      </c>
      <c r="I2963" t="n">
        <v>0</v>
      </c>
      <c r="J2963" t="n">
        <v>0</v>
      </c>
      <c r="K2963" t="n">
        <v>0</v>
      </c>
      <c r="L2963" t="n">
        <v>0</v>
      </c>
      <c r="M2963" t="n">
        <v>0</v>
      </c>
      <c r="N2963" t="n">
        <v>0</v>
      </c>
      <c r="O2963" t="n">
        <v>0</v>
      </c>
      <c r="P2963" t="n">
        <v>0</v>
      </c>
      <c r="Q2963" t="n">
        <v>0</v>
      </c>
      <c r="R2963" s="2" t="inlineStr"/>
    </row>
    <row r="2964" ht="15" customHeight="1">
      <c r="A2964" t="inlineStr">
        <is>
          <t>A 33017-2020</t>
        </is>
      </c>
      <c r="B2964" s="1" t="n">
        <v>44020</v>
      </c>
      <c r="C2964" s="1" t="n">
        <v>45182</v>
      </c>
      <c r="D2964" t="inlineStr">
        <is>
          <t>JÄMTLANDS LÄN</t>
        </is>
      </c>
      <c r="E2964" t="inlineStr">
        <is>
          <t>STRÖMSUND</t>
        </is>
      </c>
      <c r="F2964" t="inlineStr">
        <is>
          <t>Sveaskog</t>
        </is>
      </c>
      <c r="G2964" t="n">
        <v>20.8</v>
      </c>
      <c r="H2964" t="n">
        <v>0</v>
      </c>
      <c r="I2964" t="n">
        <v>0</v>
      </c>
      <c r="J2964" t="n">
        <v>0</v>
      </c>
      <c r="K2964" t="n">
        <v>0</v>
      </c>
      <c r="L2964" t="n">
        <v>0</v>
      </c>
      <c r="M2964" t="n">
        <v>0</v>
      </c>
      <c r="N2964" t="n">
        <v>0</v>
      </c>
      <c r="O2964" t="n">
        <v>0</v>
      </c>
      <c r="P2964" t="n">
        <v>0</v>
      </c>
      <c r="Q2964" t="n">
        <v>0</v>
      </c>
      <c r="R2964" s="2" t="inlineStr"/>
    </row>
    <row r="2965" ht="15" customHeight="1">
      <c r="A2965" t="inlineStr">
        <is>
          <t>A 33198-2020</t>
        </is>
      </c>
      <c r="B2965" s="1" t="n">
        <v>44021</v>
      </c>
      <c r="C2965" s="1" t="n">
        <v>45182</v>
      </c>
      <c r="D2965" t="inlineStr">
        <is>
          <t>JÄMTLANDS LÄN</t>
        </is>
      </c>
      <c r="E2965" t="inlineStr">
        <is>
          <t>BRÄCKE</t>
        </is>
      </c>
      <c r="G2965" t="n">
        <v>3.2</v>
      </c>
      <c r="H2965" t="n">
        <v>0</v>
      </c>
      <c r="I2965" t="n">
        <v>0</v>
      </c>
      <c r="J2965" t="n">
        <v>0</v>
      </c>
      <c r="K2965" t="n">
        <v>0</v>
      </c>
      <c r="L2965" t="n">
        <v>0</v>
      </c>
      <c r="M2965" t="n">
        <v>0</v>
      </c>
      <c r="N2965" t="n">
        <v>0</v>
      </c>
      <c r="O2965" t="n">
        <v>0</v>
      </c>
      <c r="P2965" t="n">
        <v>0</v>
      </c>
      <c r="Q2965" t="n">
        <v>0</v>
      </c>
      <c r="R2965" s="2" t="inlineStr"/>
    </row>
    <row r="2966" ht="15" customHeight="1">
      <c r="A2966" t="inlineStr">
        <is>
          <t>A 33205-2020</t>
        </is>
      </c>
      <c r="B2966" s="1" t="n">
        <v>44021</v>
      </c>
      <c r="C2966" s="1" t="n">
        <v>45182</v>
      </c>
      <c r="D2966" t="inlineStr">
        <is>
          <t>JÄMTLANDS LÄN</t>
        </is>
      </c>
      <c r="E2966" t="inlineStr">
        <is>
          <t>STRÖMSUND</t>
        </is>
      </c>
      <c r="F2966" t="inlineStr">
        <is>
          <t>SCA</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33020-2020</t>
        </is>
      </c>
      <c r="B2967" s="1" t="n">
        <v>44021</v>
      </c>
      <c r="C2967" s="1" t="n">
        <v>45182</v>
      </c>
      <c r="D2967" t="inlineStr">
        <is>
          <t>JÄMTLANDS LÄN</t>
        </is>
      </c>
      <c r="E2967" t="inlineStr">
        <is>
          <t>HÄRJEDALEN</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33207-2020</t>
        </is>
      </c>
      <c r="B2968" s="1" t="n">
        <v>44021</v>
      </c>
      <c r="C2968" s="1" t="n">
        <v>45182</v>
      </c>
      <c r="D2968" t="inlineStr">
        <is>
          <t>JÄMTLANDS LÄN</t>
        </is>
      </c>
      <c r="E2968" t="inlineStr">
        <is>
          <t>STRÖMSUND</t>
        </is>
      </c>
      <c r="F2968" t="inlineStr">
        <is>
          <t>SCA</t>
        </is>
      </c>
      <c r="G2968" t="n">
        <v>7.2</v>
      </c>
      <c r="H2968" t="n">
        <v>0</v>
      </c>
      <c r="I2968" t="n">
        <v>0</v>
      </c>
      <c r="J2968" t="n">
        <v>0</v>
      </c>
      <c r="K2968" t="n">
        <v>0</v>
      </c>
      <c r="L2968" t="n">
        <v>0</v>
      </c>
      <c r="M2968" t="n">
        <v>0</v>
      </c>
      <c r="N2968" t="n">
        <v>0</v>
      </c>
      <c r="O2968" t="n">
        <v>0</v>
      </c>
      <c r="P2968" t="n">
        <v>0</v>
      </c>
      <c r="Q2968" t="n">
        <v>0</v>
      </c>
      <c r="R2968" s="2" t="inlineStr"/>
    </row>
    <row r="2969" ht="15" customHeight="1">
      <c r="A2969" t="inlineStr">
        <is>
          <t>A 33239-2020</t>
        </is>
      </c>
      <c r="B2969" s="1" t="n">
        <v>44022</v>
      </c>
      <c r="C2969" s="1" t="n">
        <v>45182</v>
      </c>
      <c r="D2969" t="inlineStr">
        <is>
          <t>JÄMTLANDS LÄN</t>
        </is>
      </c>
      <c r="E2969" t="inlineStr">
        <is>
          <t>ÅRE</t>
        </is>
      </c>
      <c r="G2969" t="n">
        <v>3</v>
      </c>
      <c r="H2969" t="n">
        <v>0</v>
      </c>
      <c r="I2969" t="n">
        <v>0</v>
      </c>
      <c r="J2969" t="n">
        <v>0</v>
      </c>
      <c r="K2969" t="n">
        <v>0</v>
      </c>
      <c r="L2969" t="n">
        <v>0</v>
      </c>
      <c r="M2969" t="n">
        <v>0</v>
      </c>
      <c r="N2969" t="n">
        <v>0</v>
      </c>
      <c r="O2969" t="n">
        <v>0</v>
      </c>
      <c r="P2969" t="n">
        <v>0</v>
      </c>
      <c r="Q2969" t="n">
        <v>0</v>
      </c>
      <c r="R2969" s="2" t="inlineStr"/>
    </row>
    <row r="2970" ht="15" customHeight="1">
      <c r="A2970" t="inlineStr">
        <is>
          <t>A 33446-2020</t>
        </is>
      </c>
      <c r="B2970" s="1" t="n">
        <v>44022</v>
      </c>
      <c r="C2970" s="1" t="n">
        <v>45182</v>
      </c>
      <c r="D2970" t="inlineStr">
        <is>
          <t>JÄMTLANDS LÄN</t>
        </is>
      </c>
      <c r="E2970" t="inlineStr">
        <is>
          <t>STRÖMSUND</t>
        </is>
      </c>
      <c r="F2970" t="inlineStr">
        <is>
          <t>SCA</t>
        </is>
      </c>
      <c r="G2970" t="n">
        <v>3.2</v>
      </c>
      <c r="H2970" t="n">
        <v>0</v>
      </c>
      <c r="I2970" t="n">
        <v>0</v>
      </c>
      <c r="J2970" t="n">
        <v>0</v>
      </c>
      <c r="K2970" t="n">
        <v>0</v>
      </c>
      <c r="L2970" t="n">
        <v>0</v>
      </c>
      <c r="M2970" t="n">
        <v>0</v>
      </c>
      <c r="N2970" t="n">
        <v>0</v>
      </c>
      <c r="O2970" t="n">
        <v>0</v>
      </c>
      <c r="P2970" t="n">
        <v>0</v>
      </c>
      <c r="Q2970" t="n">
        <v>0</v>
      </c>
      <c r="R2970" s="2" t="inlineStr"/>
    </row>
    <row r="2971" ht="15" customHeight="1">
      <c r="A2971" t="inlineStr">
        <is>
          <t>A 33460-2020</t>
        </is>
      </c>
      <c r="B2971" s="1" t="n">
        <v>44022</v>
      </c>
      <c r="C2971" s="1" t="n">
        <v>45182</v>
      </c>
      <c r="D2971" t="inlineStr">
        <is>
          <t>JÄMTLANDS LÄN</t>
        </is>
      </c>
      <c r="E2971" t="inlineStr">
        <is>
          <t>STRÖMSUND</t>
        </is>
      </c>
      <c r="F2971" t="inlineStr">
        <is>
          <t>SCA</t>
        </is>
      </c>
      <c r="G2971" t="n">
        <v>10.5</v>
      </c>
      <c r="H2971" t="n">
        <v>0</v>
      </c>
      <c r="I2971" t="n">
        <v>0</v>
      </c>
      <c r="J2971" t="n">
        <v>0</v>
      </c>
      <c r="K2971" t="n">
        <v>0</v>
      </c>
      <c r="L2971" t="n">
        <v>0</v>
      </c>
      <c r="M2971" t="n">
        <v>0</v>
      </c>
      <c r="N2971" t="n">
        <v>0</v>
      </c>
      <c r="O2971" t="n">
        <v>0</v>
      </c>
      <c r="P2971" t="n">
        <v>0</v>
      </c>
      <c r="Q2971" t="n">
        <v>0</v>
      </c>
      <c r="R2971" s="2" t="inlineStr"/>
    </row>
    <row r="2972" ht="15" customHeight="1">
      <c r="A2972" t="inlineStr">
        <is>
          <t>A 33439-2020</t>
        </is>
      </c>
      <c r="B2972" s="1" t="n">
        <v>44022</v>
      </c>
      <c r="C2972" s="1" t="n">
        <v>45182</v>
      </c>
      <c r="D2972" t="inlineStr">
        <is>
          <t>JÄMTLANDS LÄN</t>
        </is>
      </c>
      <c r="E2972" t="inlineStr">
        <is>
          <t>STRÖMSUND</t>
        </is>
      </c>
      <c r="F2972" t="inlineStr">
        <is>
          <t>SCA</t>
        </is>
      </c>
      <c r="G2972" t="n">
        <v>3.3</v>
      </c>
      <c r="H2972" t="n">
        <v>0</v>
      </c>
      <c r="I2972" t="n">
        <v>0</v>
      </c>
      <c r="J2972" t="n">
        <v>0</v>
      </c>
      <c r="K2972" t="n">
        <v>0</v>
      </c>
      <c r="L2972" t="n">
        <v>0</v>
      </c>
      <c r="M2972" t="n">
        <v>0</v>
      </c>
      <c r="N2972" t="n">
        <v>0</v>
      </c>
      <c r="O2972" t="n">
        <v>0</v>
      </c>
      <c r="P2972" t="n">
        <v>0</v>
      </c>
      <c r="Q2972" t="n">
        <v>0</v>
      </c>
      <c r="R2972" s="2" t="inlineStr"/>
    </row>
    <row r="2973" ht="15" customHeight="1">
      <c r="A2973" t="inlineStr">
        <is>
          <t>A 33812-2020</t>
        </is>
      </c>
      <c r="B2973" s="1" t="n">
        <v>44025</v>
      </c>
      <c r="C2973" s="1" t="n">
        <v>45182</v>
      </c>
      <c r="D2973" t="inlineStr">
        <is>
          <t>JÄMTLANDS LÄN</t>
        </is>
      </c>
      <c r="E2973" t="inlineStr">
        <is>
          <t>HÄRJEDALEN</t>
        </is>
      </c>
      <c r="G2973" t="n">
        <v>3.2</v>
      </c>
      <c r="H2973" t="n">
        <v>0</v>
      </c>
      <c r="I2973" t="n">
        <v>0</v>
      </c>
      <c r="J2973" t="n">
        <v>0</v>
      </c>
      <c r="K2973" t="n">
        <v>0</v>
      </c>
      <c r="L2973" t="n">
        <v>0</v>
      </c>
      <c r="M2973" t="n">
        <v>0</v>
      </c>
      <c r="N2973" t="n">
        <v>0</v>
      </c>
      <c r="O2973" t="n">
        <v>0</v>
      </c>
      <c r="P2973" t="n">
        <v>0</v>
      </c>
      <c r="Q2973" t="n">
        <v>0</v>
      </c>
      <c r="R2973" s="2" t="inlineStr"/>
    </row>
    <row r="2974" ht="15" customHeight="1">
      <c r="A2974" t="inlineStr">
        <is>
          <t>A 33513-2020</t>
        </is>
      </c>
      <c r="B2974" s="1" t="n">
        <v>44025</v>
      </c>
      <c r="C2974" s="1" t="n">
        <v>45182</v>
      </c>
      <c r="D2974" t="inlineStr">
        <is>
          <t>JÄMTLANDS LÄN</t>
        </is>
      </c>
      <c r="E2974" t="inlineStr">
        <is>
          <t>HÄRJEDALEN</t>
        </is>
      </c>
      <c r="G2974" t="n">
        <v>3.5</v>
      </c>
      <c r="H2974" t="n">
        <v>0</v>
      </c>
      <c r="I2974" t="n">
        <v>0</v>
      </c>
      <c r="J2974" t="n">
        <v>0</v>
      </c>
      <c r="K2974" t="n">
        <v>0</v>
      </c>
      <c r="L2974" t="n">
        <v>0</v>
      </c>
      <c r="M2974" t="n">
        <v>0</v>
      </c>
      <c r="N2974" t="n">
        <v>0</v>
      </c>
      <c r="O2974" t="n">
        <v>0</v>
      </c>
      <c r="P2974" t="n">
        <v>0</v>
      </c>
      <c r="Q2974" t="n">
        <v>0</v>
      </c>
      <c r="R2974" s="2" t="inlineStr"/>
    </row>
    <row r="2975" ht="15" customHeight="1">
      <c r="A2975" t="inlineStr">
        <is>
          <t>A 33617-2020</t>
        </is>
      </c>
      <c r="B2975" s="1" t="n">
        <v>44025</v>
      </c>
      <c r="C2975" s="1" t="n">
        <v>45182</v>
      </c>
      <c r="D2975" t="inlineStr">
        <is>
          <t>JÄMTLANDS LÄN</t>
        </is>
      </c>
      <c r="E2975" t="inlineStr">
        <is>
          <t>STRÖMSUND</t>
        </is>
      </c>
      <c r="F2975" t="inlineStr">
        <is>
          <t>SCA</t>
        </is>
      </c>
      <c r="G2975" t="n">
        <v>135.3</v>
      </c>
      <c r="H2975" t="n">
        <v>0</v>
      </c>
      <c r="I2975" t="n">
        <v>0</v>
      </c>
      <c r="J2975" t="n">
        <v>0</v>
      </c>
      <c r="K2975" t="n">
        <v>0</v>
      </c>
      <c r="L2975" t="n">
        <v>0</v>
      </c>
      <c r="M2975" t="n">
        <v>0</v>
      </c>
      <c r="N2975" t="n">
        <v>0</v>
      </c>
      <c r="O2975" t="n">
        <v>0</v>
      </c>
      <c r="P2975" t="n">
        <v>0</v>
      </c>
      <c r="Q2975" t="n">
        <v>0</v>
      </c>
      <c r="R2975" s="2" t="inlineStr"/>
    </row>
    <row r="2976" ht="15" customHeight="1">
      <c r="A2976" t="inlineStr">
        <is>
          <t>A 33632-2020</t>
        </is>
      </c>
      <c r="B2976" s="1" t="n">
        <v>44025</v>
      </c>
      <c r="C2976" s="1" t="n">
        <v>45182</v>
      </c>
      <c r="D2976" t="inlineStr">
        <is>
          <t>JÄMTLANDS LÄN</t>
        </is>
      </c>
      <c r="E2976" t="inlineStr">
        <is>
          <t>STRÖMSUND</t>
        </is>
      </c>
      <c r="F2976" t="inlineStr">
        <is>
          <t>SCA</t>
        </is>
      </c>
      <c r="G2976" t="n">
        <v>1.4</v>
      </c>
      <c r="H2976" t="n">
        <v>0</v>
      </c>
      <c r="I2976" t="n">
        <v>0</v>
      </c>
      <c r="J2976" t="n">
        <v>0</v>
      </c>
      <c r="K2976" t="n">
        <v>0</v>
      </c>
      <c r="L2976" t="n">
        <v>0</v>
      </c>
      <c r="M2976" t="n">
        <v>0</v>
      </c>
      <c r="N2976" t="n">
        <v>0</v>
      </c>
      <c r="O2976" t="n">
        <v>0</v>
      </c>
      <c r="P2976" t="n">
        <v>0</v>
      </c>
      <c r="Q2976" t="n">
        <v>0</v>
      </c>
      <c r="R2976" s="2" t="inlineStr"/>
    </row>
    <row r="2977" ht="15" customHeight="1">
      <c r="A2977" t="inlineStr">
        <is>
          <t>A 33530-2020</t>
        </is>
      </c>
      <c r="B2977" s="1" t="n">
        <v>44025</v>
      </c>
      <c r="C2977" s="1" t="n">
        <v>45182</v>
      </c>
      <c r="D2977" t="inlineStr">
        <is>
          <t>JÄMTLANDS LÄN</t>
        </is>
      </c>
      <c r="E2977" t="inlineStr">
        <is>
          <t>ÅRE</t>
        </is>
      </c>
      <c r="G2977" t="n">
        <v>3.1</v>
      </c>
      <c r="H2977" t="n">
        <v>0</v>
      </c>
      <c r="I2977" t="n">
        <v>0</v>
      </c>
      <c r="J2977" t="n">
        <v>0</v>
      </c>
      <c r="K2977" t="n">
        <v>0</v>
      </c>
      <c r="L2977" t="n">
        <v>0</v>
      </c>
      <c r="M2977" t="n">
        <v>0</v>
      </c>
      <c r="N2977" t="n">
        <v>0</v>
      </c>
      <c r="O2977" t="n">
        <v>0</v>
      </c>
      <c r="P2977" t="n">
        <v>0</v>
      </c>
      <c r="Q2977" t="n">
        <v>0</v>
      </c>
      <c r="R2977" s="2" t="inlineStr"/>
    </row>
    <row r="2978" ht="15" customHeight="1">
      <c r="A2978" t="inlineStr">
        <is>
          <t>A 33635-2020</t>
        </is>
      </c>
      <c r="B2978" s="1" t="n">
        <v>44025</v>
      </c>
      <c r="C2978" s="1" t="n">
        <v>45182</v>
      </c>
      <c r="D2978" t="inlineStr">
        <is>
          <t>JÄMTLANDS LÄN</t>
        </is>
      </c>
      <c r="E2978" t="inlineStr">
        <is>
          <t>STRÖMSUND</t>
        </is>
      </c>
      <c r="F2978" t="inlineStr">
        <is>
          <t>SCA</t>
        </is>
      </c>
      <c r="G2978" t="n">
        <v>4.9</v>
      </c>
      <c r="H2978" t="n">
        <v>0</v>
      </c>
      <c r="I2978" t="n">
        <v>0</v>
      </c>
      <c r="J2978" t="n">
        <v>0</v>
      </c>
      <c r="K2978" t="n">
        <v>0</v>
      </c>
      <c r="L2978" t="n">
        <v>0</v>
      </c>
      <c r="M2978" t="n">
        <v>0</v>
      </c>
      <c r="N2978" t="n">
        <v>0</v>
      </c>
      <c r="O2978" t="n">
        <v>0</v>
      </c>
      <c r="P2978" t="n">
        <v>0</v>
      </c>
      <c r="Q2978" t="n">
        <v>0</v>
      </c>
      <c r="R2978" s="2" t="inlineStr"/>
    </row>
    <row r="2979" ht="15" customHeight="1">
      <c r="A2979" t="inlineStr">
        <is>
          <t>A 33644-2020</t>
        </is>
      </c>
      <c r="B2979" s="1" t="n">
        <v>44026</v>
      </c>
      <c r="C2979" s="1" t="n">
        <v>45182</v>
      </c>
      <c r="D2979" t="inlineStr">
        <is>
          <t>JÄMTLANDS LÄN</t>
        </is>
      </c>
      <c r="E2979" t="inlineStr">
        <is>
          <t>RAGUNDA</t>
        </is>
      </c>
      <c r="G2979" t="n">
        <v>4.8</v>
      </c>
      <c r="H2979" t="n">
        <v>0</v>
      </c>
      <c r="I2979" t="n">
        <v>0</v>
      </c>
      <c r="J2979" t="n">
        <v>0</v>
      </c>
      <c r="K2979" t="n">
        <v>0</v>
      </c>
      <c r="L2979" t="n">
        <v>0</v>
      </c>
      <c r="M2979" t="n">
        <v>0</v>
      </c>
      <c r="N2979" t="n">
        <v>0</v>
      </c>
      <c r="O2979" t="n">
        <v>0</v>
      </c>
      <c r="P2979" t="n">
        <v>0</v>
      </c>
      <c r="Q2979" t="n">
        <v>0</v>
      </c>
      <c r="R2979" s="2" t="inlineStr"/>
    </row>
    <row r="2980" ht="15" customHeight="1">
      <c r="A2980" t="inlineStr">
        <is>
          <t>A 33701-2020</t>
        </is>
      </c>
      <c r="B2980" s="1" t="n">
        <v>44026</v>
      </c>
      <c r="C2980" s="1" t="n">
        <v>45182</v>
      </c>
      <c r="D2980" t="inlineStr">
        <is>
          <t>JÄMTLANDS LÄN</t>
        </is>
      </c>
      <c r="E2980" t="inlineStr">
        <is>
          <t>HÄRJEDALEN</t>
        </is>
      </c>
      <c r="F2980" t="inlineStr">
        <is>
          <t>Bergvik skog väst AB</t>
        </is>
      </c>
      <c r="G2980" t="n">
        <v>7.2</v>
      </c>
      <c r="H2980" t="n">
        <v>0</v>
      </c>
      <c r="I2980" t="n">
        <v>0</v>
      </c>
      <c r="J2980" t="n">
        <v>0</v>
      </c>
      <c r="K2980" t="n">
        <v>0</v>
      </c>
      <c r="L2980" t="n">
        <v>0</v>
      </c>
      <c r="M2980" t="n">
        <v>0</v>
      </c>
      <c r="N2980" t="n">
        <v>0</v>
      </c>
      <c r="O2980" t="n">
        <v>0</v>
      </c>
      <c r="P2980" t="n">
        <v>0</v>
      </c>
      <c r="Q2980" t="n">
        <v>0</v>
      </c>
      <c r="R2980" s="2" t="inlineStr"/>
    </row>
    <row r="2981" ht="15" customHeight="1">
      <c r="A2981" t="inlineStr">
        <is>
          <t>A 33664-2020</t>
        </is>
      </c>
      <c r="B2981" s="1" t="n">
        <v>44026</v>
      </c>
      <c r="C2981" s="1" t="n">
        <v>45182</v>
      </c>
      <c r="D2981" t="inlineStr">
        <is>
          <t>JÄMTLANDS LÄN</t>
        </is>
      </c>
      <c r="E2981" t="inlineStr">
        <is>
          <t>BRÄCKE</t>
        </is>
      </c>
      <c r="G2981" t="n">
        <v>6.3</v>
      </c>
      <c r="H2981" t="n">
        <v>0</v>
      </c>
      <c r="I2981" t="n">
        <v>0</v>
      </c>
      <c r="J2981" t="n">
        <v>0</v>
      </c>
      <c r="K2981" t="n">
        <v>0</v>
      </c>
      <c r="L2981" t="n">
        <v>0</v>
      </c>
      <c r="M2981" t="n">
        <v>0</v>
      </c>
      <c r="N2981" t="n">
        <v>0</v>
      </c>
      <c r="O2981" t="n">
        <v>0</v>
      </c>
      <c r="P2981" t="n">
        <v>0</v>
      </c>
      <c r="Q2981" t="n">
        <v>0</v>
      </c>
      <c r="R2981" s="2" t="inlineStr"/>
    </row>
    <row r="2982" ht="15" customHeight="1">
      <c r="A2982" t="inlineStr">
        <is>
          <t>A 33945-2020</t>
        </is>
      </c>
      <c r="B2982" s="1" t="n">
        <v>44027</v>
      </c>
      <c r="C2982" s="1" t="n">
        <v>45182</v>
      </c>
      <c r="D2982" t="inlineStr">
        <is>
          <t>JÄMTLANDS LÄN</t>
        </is>
      </c>
      <c r="E2982" t="inlineStr">
        <is>
          <t>ÖSTERSUND</t>
        </is>
      </c>
      <c r="F2982" t="inlineStr">
        <is>
          <t>SCA</t>
        </is>
      </c>
      <c r="G2982" t="n">
        <v>2.7</v>
      </c>
      <c r="H2982" t="n">
        <v>0</v>
      </c>
      <c r="I2982" t="n">
        <v>0</v>
      </c>
      <c r="J2982" t="n">
        <v>0</v>
      </c>
      <c r="K2982" t="n">
        <v>0</v>
      </c>
      <c r="L2982" t="n">
        <v>0</v>
      </c>
      <c r="M2982" t="n">
        <v>0</v>
      </c>
      <c r="N2982" t="n">
        <v>0</v>
      </c>
      <c r="O2982" t="n">
        <v>0</v>
      </c>
      <c r="P2982" t="n">
        <v>0</v>
      </c>
      <c r="Q2982" t="n">
        <v>0</v>
      </c>
      <c r="R2982" s="2" t="inlineStr"/>
    </row>
    <row r="2983" ht="15" customHeight="1">
      <c r="A2983" t="inlineStr">
        <is>
          <t>A 33932-2020</t>
        </is>
      </c>
      <c r="B2983" s="1" t="n">
        <v>44027</v>
      </c>
      <c r="C2983" s="1" t="n">
        <v>45182</v>
      </c>
      <c r="D2983" t="inlineStr">
        <is>
          <t>JÄMTLANDS LÄN</t>
        </is>
      </c>
      <c r="E2983" t="inlineStr">
        <is>
          <t>RAGUNDA</t>
        </is>
      </c>
      <c r="F2983" t="inlineStr">
        <is>
          <t>SCA</t>
        </is>
      </c>
      <c r="G2983" t="n">
        <v>1.3</v>
      </c>
      <c r="H2983" t="n">
        <v>0</v>
      </c>
      <c r="I2983" t="n">
        <v>0</v>
      </c>
      <c r="J2983" t="n">
        <v>0</v>
      </c>
      <c r="K2983" t="n">
        <v>0</v>
      </c>
      <c r="L2983" t="n">
        <v>0</v>
      </c>
      <c r="M2983" t="n">
        <v>0</v>
      </c>
      <c r="N2983" t="n">
        <v>0</v>
      </c>
      <c r="O2983" t="n">
        <v>0</v>
      </c>
      <c r="P2983" t="n">
        <v>0</v>
      </c>
      <c r="Q2983" t="n">
        <v>0</v>
      </c>
      <c r="R2983" s="2" t="inlineStr"/>
    </row>
    <row r="2984" ht="15" customHeight="1">
      <c r="A2984" t="inlineStr">
        <is>
          <t>A 34013-2020</t>
        </is>
      </c>
      <c r="B2984" s="1" t="n">
        <v>44028</v>
      </c>
      <c r="C2984" s="1" t="n">
        <v>45182</v>
      </c>
      <c r="D2984" t="inlineStr">
        <is>
          <t>JÄMTLANDS LÄN</t>
        </is>
      </c>
      <c r="E2984" t="inlineStr">
        <is>
          <t>ÅRE</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34077-2020</t>
        </is>
      </c>
      <c r="B2985" s="1" t="n">
        <v>44028</v>
      </c>
      <c r="C2985" s="1" t="n">
        <v>45182</v>
      </c>
      <c r="D2985" t="inlineStr">
        <is>
          <t>JÄMTLANDS LÄN</t>
        </is>
      </c>
      <c r="E2985" t="inlineStr">
        <is>
          <t>STRÖMSUND</t>
        </is>
      </c>
      <c r="F2985" t="inlineStr">
        <is>
          <t>SCA</t>
        </is>
      </c>
      <c r="G2985" t="n">
        <v>9.1</v>
      </c>
      <c r="H2985" t="n">
        <v>0</v>
      </c>
      <c r="I2985" t="n">
        <v>0</v>
      </c>
      <c r="J2985" t="n">
        <v>0</v>
      </c>
      <c r="K2985" t="n">
        <v>0</v>
      </c>
      <c r="L2985" t="n">
        <v>0</v>
      </c>
      <c r="M2985" t="n">
        <v>0</v>
      </c>
      <c r="N2985" t="n">
        <v>0</v>
      </c>
      <c r="O2985" t="n">
        <v>0</v>
      </c>
      <c r="P2985" t="n">
        <v>0</v>
      </c>
      <c r="Q2985" t="n">
        <v>0</v>
      </c>
      <c r="R2985" s="2" t="inlineStr"/>
    </row>
    <row r="2986" ht="15" customHeight="1">
      <c r="A2986" t="inlineStr">
        <is>
          <t>A 34082-2020</t>
        </is>
      </c>
      <c r="B2986" s="1" t="n">
        <v>44028</v>
      </c>
      <c r="C2986" s="1" t="n">
        <v>45182</v>
      </c>
      <c r="D2986" t="inlineStr">
        <is>
          <t>JÄMTLANDS LÄN</t>
        </is>
      </c>
      <c r="E2986" t="inlineStr">
        <is>
          <t>STRÖMSUND</t>
        </is>
      </c>
      <c r="F2986" t="inlineStr">
        <is>
          <t>SCA</t>
        </is>
      </c>
      <c r="G2986" t="n">
        <v>1</v>
      </c>
      <c r="H2986" t="n">
        <v>0</v>
      </c>
      <c r="I2986" t="n">
        <v>0</v>
      </c>
      <c r="J2986" t="n">
        <v>0</v>
      </c>
      <c r="K2986" t="n">
        <v>0</v>
      </c>
      <c r="L2986" t="n">
        <v>0</v>
      </c>
      <c r="M2986" t="n">
        <v>0</v>
      </c>
      <c r="N2986" t="n">
        <v>0</v>
      </c>
      <c r="O2986" t="n">
        <v>0</v>
      </c>
      <c r="P2986" t="n">
        <v>0</v>
      </c>
      <c r="Q2986" t="n">
        <v>0</v>
      </c>
      <c r="R2986" s="2" t="inlineStr"/>
    </row>
    <row r="2987" ht="15" customHeight="1">
      <c r="A2987" t="inlineStr">
        <is>
          <t>A 34086-2020</t>
        </is>
      </c>
      <c r="B2987" s="1" t="n">
        <v>44028</v>
      </c>
      <c r="C2987" s="1" t="n">
        <v>45182</v>
      </c>
      <c r="D2987" t="inlineStr">
        <is>
          <t>JÄMTLANDS LÄN</t>
        </is>
      </c>
      <c r="E2987" t="inlineStr">
        <is>
          <t>STRÖMSUND</t>
        </is>
      </c>
      <c r="F2987" t="inlineStr">
        <is>
          <t>SCA</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34080-2020</t>
        </is>
      </c>
      <c r="B2988" s="1" t="n">
        <v>44028</v>
      </c>
      <c r="C2988" s="1" t="n">
        <v>45182</v>
      </c>
      <c r="D2988" t="inlineStr">
        <is>
          <t>JÄMTLANDS LÄN</t>
        </is>
      </c>
      <c r="E2988" t="inlineStr">
        <is>
          <t>STRÖMSUND</t>
        </is>
      </c>
      <c r="F2988" t="inlineStr">
        <is>
          <t>SCA</t>
        </is>
      </c>
      <c r="G2988" t="n">
        <v>5.4</v>
      </c>
      <c r="H2988" t="n">
        <v>0</v>
      </c>
      <c r="I2988" t="n">
        <v>0</v>
      </c>
      <c r="J2988" t="n">
        <v>0</v>
      </c>
      <c r="K2988" t="n">
        <v>0</v>
      </c>
      <c r="L2988" t="n">
        <v>0</v>
      </c>
      <c r="M2988" t="n">
        <v>0</v>
      </c>
      <c r="N2988" t="n">
        <v>0</v>
      </c>
      <c r="O2988" t="n">
        <v>0</v>
      </c>
      <c r="P2988" t="n">
        <v>0</v>
      </c>
      <c r="Q2988" t="n">
        <v>0</v>
      </c>
      <c r="R2988" s="2" t="inlineStr"/>
    </row>
    <row r="2989" ht="15" customHeight="1">
      <c r="A2989" t="inlineStr">
        <is>
          <t>A 34079-2020</t>
        </is>
      </c>
      <c r="B2989" s="1" t="n">
        <v>44028</v>
      </c>
      <c r="C2989" s="1" t="n">
        <v>45182</v>
      </c>
      <c r="D2989" t="inlineStr">
        <is>
          <t>JÄMTLANDS LÄN</t>
        </is>
      </c>
      <c r="E2989" t="inlineStr">
        <is>
          <t>STRÖMSUND</t>
        </is>
      </c>
      <c r="F2989" t="inlineStr">
        <is>
          <t>SCA</t>
        </is>
      </c>
      <c r="G2989" t="n">
        <v>3.4</v>
      </c>
      <c r="H2989" t="n">
        <v>0</v>
      </c>
      <c r="I2989" t="n">
        <v>0</v>
      </c>
      <c r="J2989" t="n">
        <v>0</v>
      </c>
      <c r="K2989" t="n">
        <v>0</v>
      </c>
      <c r="L2989" t="n">
        <v>0</v>
      </c>
      <c r="M2989" t="n">
        <v>0</v>
      </c>
      <c r="N2989" t="n">
        <v>0</v>
      </c>
      <c r="O2989" t="n">
        <v>0</v>
      </c>
      <c r="P2989" t="n">
        <v>0</v>
      </c>
      <c r="Q2989" t="n">
        <v>0</v>
      </c>
      <c r="R2989" s="2" t="inlineStr"/>
    </row>
    <row r="2990" ht="15" customHeight="1">
      <c r="A2990" t="inlineStr">
        <is>
          <t>A 34084-2020</t>
        </is>
      </c>
      <c r="B2990" s="1" t="n">
        <v>44028</v>
      </c>
      <c r="C2990" s="1" t="n">
        <v>45182</v>
      </c>
      <c r="D2990" t="inlineStr">
        <is>
          <t>JÄMTLANDS LÄN</t>
        </is>
      </c>
      <c r="E2990" t="inlineStr">
        <is>
          <t>STRÖMSUND</t>
        </is>
      </c>
      <c r="F2990" t="inlineStr">
        <is>
          <t>SCA</t>
        </is>
      </c>
      <c r="G2990" t="n">
        <v>6.4</v>
      </c>
      <c r="H2990" t="n">
        <v>0</v>
      </c>
      <c r="I2990" t="n">
        <v>0</v>
      </c>
      <c r="J2990" t="n">
        <v>0</v>
      </c>
      <c r="K2990" t="n">
        <v>0</v>
      </c>
      <c r="L2990" t="n">
        <v>0</v>
      </c>
      <c r="M2990" t="n">
        <v>0</v>
      </c>
      <c r="N2990" t="n">
        <v>0</v>
      </c>
      <c r="O2990" t="n">
        <v>0</v>
      </c>
      <c r="P2990" t="n">
        <v>0</v>
      </c>
      <c r="Q2990" t="n">
        <v>0</v>
      </c>
      <c r="R2990" s="2" t="inlineStr"/>
    </row>
    <row r="2991" ht="15" customHeight="1">
      <c r="A2991" t="inlineStr">
        <is>
          <t>A 33959-2020</t>
        </is>
      </c>
      <c r="B2991" s="1" t="n">
        <v>44028</v>
      </c>
      <c r="C2991" s="1" t="n">
        <v>45182</v>
      </c>
      <c r="D2991" t="inlineStr">
        <is>
          <t>JÄMTLANDS LÄN</t>
        </is>
      </c>
      <c r="E2991" t="inlineStr">
        <is>
          <t>STRÖMSUND</t>
        </is>
      </c>
      <c r="G2991" t="n">
        <v>1.7</v>
      </c>
      <c r="H2991" t="n">
        <v>0</v>
      </c>
      <c r="I2991" t="n">
        <v>0</v>
      </c>
      <c r="J2991" t="n">
        <v>0</v>
      </c>
      <c r="K2991" t="n">
        <v>0</v>
      </c>
      <c r="L2991" t="n">
        <v>0</v>
      </c>
      <c r="M2991" t="n">
        <v>0</v>
      </c>
      <c r="N2991" t="n">
        <v>0</v>
      </c>
      <c r="O2991" t="n">
        <v>0</v>
      </c>
      <c r="P2991" t="n">
        <v>0</v>
      </c>
      <c r="Q2991" t="n">
        <v>0</v>
      </c>
      <c r="R2991" s="2" t="inlineStr"/>
    </row>
    <row r="2992" ht="15" customHeight="1">
      <c r="A2992" t="inlineStr">
        <is>
          <t>A 34078-2020</t>
        </is>
      </c>
      <c r="B2992" s="1" t="n">
        <v>44028</v>
      </c>
      <c r="C2992" s="1" t="n">
        <v>45182</v>
      </c>
      <c r="D2992" t="inlineStr">
        <is>
          <t>JÄMTLANDS LÄN</t>
        </is>
      </c>
      <c r="E2992" t="inlineStr">
        <is>
          <t>STRÖMSUND</t>
        </is>
      </c>
      <c r="F2992" t="inlineStr">
        <is>
          <t>SCA</t>
        </is>
      </c>
      <c r="G2992" t="n">
        <v>1.3</v>
      </c>
      <c r="H2992" t="n">
        <v>0</v>
      </c>
      <c r="I2992" t="n">
        <v>0</v>
      </c>
      <c r="J2992" t="n">
        <v>0</v>
      </c>
      <c r="K2992" t="n">
        <v>0</v>
      </c>
      <c r="L2992" t="n">
        <v>0</v>
      </c>
      <c r="M2992" t="n">
        <v>0</v>
      </c>
      <c r="N2992" t="n">
        <v>0</v>
      </c>
      <c r="O2992" t="n">
        <v>0</v>
      </c>
      <c r="P2992" t="n">
        <v>0</v>
      </c>
      <c r="Q2992" t="n">
        <v>0</v>
      </c>
      <c r="R2992" s="2" t="inlineStr"/>
    </row>
    <row r="2993" ht="15" customHeight="1">
      <c r="A2993" t="inlineStr">
        <is>
          <t>A 34083-2020</t>
        </is>
      </c>
      <c r="B2993" s="1" t="n">
        <v>44028</v>
      </c>
      <c r="C2993" s="1" t="n">
        <v>45182</v>
      </c>
      <c r="D2993" t="inlineStr">
        <is>
          <t>JÄMTLANDS LÄN</t>
        </is>
      </c>
      <c r="E2993" t="inlineStr">
        <is>
          <t>STRÖMSUND</t>
        </is>
      </c>
      <c r="F2993" t="inlineStr">
        <is>
          <t>SCA</t>
        </is>
      </c>
      <c r="G2993" t="n">
        <v>2.9</v>
      </c>
      <c r="H2993" t="n">
        <v>0</v>
      </c>
      <c r="I2993" t="n">
        <v>0</v>
      </c>
      <c r="J2993" t="n">
        <v>0</v>
      </c>
      <c r="K2993" t="n">
        <v>0</v>
      </c>
      <c r="L2993" t="n">
        <v>0</v>
      </c>
      <c r="M2993" t="n">
        <v>0</v>
      </c>
      <c r="N2993" t="n">
        <v>0</v>
      </c>
      <c r="O2993" t="n">
        <v>0</v>
      </c>
      <c r="P2993" t="n">
        <v>0</v>
      </c>
      <c r="Q2993" t="n">
        <v>0</v>
      </c>
      <c r="R2993" s="2" t="inlineStr"/>
    </row>
    <row r="2994" ht="15" customHeight="1">
      <c r="A2994" t="inlineStr">
        <is>
          <t>A 34251-2020</t>
        </is>
      </c>
      <c r="B2994" s="1" t="n">
        <v>44029</v>
      </c>
      <c r="C2994" s="1" t="n">
        <v>45182</v>
      </c>
      <c r="D2994" t="inlineStr">
        <is>
          <t>JÄMTLANDS LÄN</t>
        </is>
      </c>
      <c r="E2994" t="inlineStr">
        <is>
          <t>RAGUNDA</t>
        </is>
      </c>
      <c r="F2994" t="inlineStr">
        <is>
          <t>SCA</t>
        </is>
      </c>
      <c r="G2994" t="n">
        <v>4.1</v>
      </c>
      <c r="H2994" t="n">
        <v>0</v>
      </c>
      <c r="I2994" t="n">
        <v>0</v>
      </c>
      <c r="J2994" t="n">
        <v>0</v>
      </c>
      <c r="K2994" t="n">
        <v>0</v>
      </c>
      <c r="L2994" t="n">
        <v>0</v>
      </c>
      <c r="M2994" t="n">
        <v>0</v>
      </c>
      <c r="N2994" t="n">
        <v>0</v>
      </c>
      <c r="O2994" t="n">
        <v>0</v>
      </c>
      <c r="P2994" t="n">
        <v>0</v>
      </c>
      <c r="Q2994" t="n">
        <v>0</v>
      </c>
      <c r="R2994" s="2" t="inlineStr"/>
    </row>
    <row r="2995" ht="15" customHeight="1">
      <c r="A2995" t="inlineStr">
        <is>
          <t>A 34288-2020</t>
        </is>
      </c>
      <c r="B2995" s="1" t="n">
        <v>44029</v>
      </c>
      <c r="C2995" s="1" t="n">
        <v>45182</v>
      </c>
      <c r="D2995" t="inlineStr">
        <is>
          <t>JÄMTLANDS LÄN</t>
        </is>
      </c>
      <c r="E2995" t="inlineStr">
        <is>
          <t>STRÖMSUND</t>
        </is>
      </c>
      <c r="F2995" t="inlineStr">
        <is>
          <t>SCA</t>
        </is>
      </c>
      <c r="G2995" t="n">
        <v>5</v>
      </c>
      <c r="H2995" t="n">
        <v>0</v>
      </c>
      <c r="I2995" t="n">
        <v>0</v>
      </c>
      <c r="J2995" t="n">
        <v>0</v>
      </c>
      <c r="K2995" t="n">
        <v>0</v>
      </c>
      <c r="L2995" t="n">
        <v>0</v>
      </c>
      <c r="M2995" t="n">
        <v>0</v>
      </c>
      <c r="N2995" t="n">
        <v>0</v>
      </c>
      <c r="O2995" t="n">
        <v>0</v>
      </c>
      <c r="P2995" t="n">
        <v>0</v>
      </c>
      <c r="Q2995" t="n">
        <v>0</v>
      </c>
      <c r="R2995" s="2" t="inlineStr"/>
    </row>
    <row r="2996" ht="15" customHeight="1">
      <c r="A2996" t="inlineStr">
        <is>
          <t>A 34191-2020</t>
        </is>
      </c>
      <c r="B2996" s="1" t="n">
        <v>44029</v>
      </c>
      <c r="C2996" s="1" t="n">
        <v>45182</v>
      </c>
      <c r="D2996" t="inlineStr">
        <is>
          <t>JÄMTLANDS LÄN</t>
        </is>
      </c>
      <c r="E2996" t="inlineStr">
        <is>
          <t>HÄRJEDALEN</t>
        </is>
      </c>
      <c r="F2996" t="inlineStr">
        <is>
          <t>Holmen skog AB</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34204-2020</t>
        </is>
      </c>
      <c r="B2997" s="1" t="n">
        <v>44029</v>
      </c>
      <c r="C2997" s="1" t="n">
        <v>45182</v>
      </c>
      <c r="D2997" t="inlineStr">
        <is>
          <t>JÄMTLANDS LÄN</t>
        </is>
      </c>
      <c r="E2997" t="inlineStr">
        <is>
          <t>RAGUNDA</t>
        </is>
      </c>
      <c r="G2997" t="n">
        <v>22.5</v>
      </c>
      <c r="H2997" t="n">
        <v>0</v>
      </c>
      <c r="I2997" t="n">
        <v>0</v>
      </c>
      <c r="J2997" t="n">
        <v>0</v>
      </c>
      <c r="K2997" t="n">
        <v>0</v>
      </c>
      <c r="L2997" t="n">
        <v>0</v>
      </c>
      <c r="M2997" t="n">
        <v>0</v>
      </c>
      <c r="N2997" t="n">
        <v>0</v>
      </c>
      <c r="O2997" t="n">
        <v>0</v>
      </c>
      <c r="P2997" t="n">
        <v>0</v>
      </c>
      <c r="Q2997" t="n">
        <v>0</v>
      </c>
      <c r="R2997" s="2" t="inlineStr"/>
    </row>
    <row r="2998" ht="15" customHeight="1">
      <c r="A2998" t="inlineStr">
        <is>
          <t>A 34289-2020</t>
        </is>
      </c>
      <c r="B2998" s="1" t="n">
        <v>44029</v>
      </c>
      <c r="C2998" s="1" t="n">
        <v>45182</v>
      </c>
      <c r="D2998" t="inlineStr">
        <is>
          <t>JÄMTLANDS LÄN</t>
        </is>
      </c>
      <c r="E2998" t="inlineStr">
        <is>
          <t>STRÖMSUND</t>
        </is>
      </c>
      <c r="F2998" t="inlineStr">
        <is>
          <t>SCA</t>
        </is>
      </c>
      <c r="G2998" t="n">
        <v>3.6</v>
      </c>
      <c r="H2998" t="n">
        <v>0</v>
      </c>
      <c r="I2998" t="n">
        <v>0</v>
      </c>
      <c r="J2998" t="n">
        <v>0</v>
      </c>
      <c r="K2998" t="n">
        <v>0</v>
      </c>
      <c r="L2998" t="n">
        <v>0</v>
      </c>
      <c r="M2998" t="n">
        <v>0</v>
      </c>
      <c r="N2998" t="n">
        <v>0</v>
      </c>
      <c r="O2998" t="n">
        <v>0</v>
      </c>
      <c r="P2998" t="n">
        <v>0</v>
      </c>
      <c r="Q2998" t="n">
        <v>0</v>
      </c>
      <c r="R2998" s="2" t="inlineStr"/>
    </row>
    <row r="2999" ht="15" customHeight="1">
      <c r="A2999" t="inlineStr">
        <is>
          <t>A 34162-2020</t>
        </is>
      </c>
      <c r="B2999" s="1" t="n">
        <v>44029</v>
      </c>
      <c r="C2999" s="1" t="n">
        <v>45182</v>
      </c>
      <c r="D2999" t="inlineStr">
        <is>
          <t>JÄMTLANDS LÄN</t>
        </is>
      </c>
      <c r="E2999" t="inlineStr">
        <is>
          <t>STRÖMSUND</t>
        </is>
      </c>
      <c r="F2999" t="inlineStr">
        <is>
          <t>Sveaskog</t>
        </is>
      </c>
      <c r="G2999" t="n">
        <v>3</v>
      </c>
      <c r="H2999" t="n">
        <v>0</v>
      </c>
      <c r="I2999" t="n">
        <v>0</v>
      </c>
      <c r="J2999" t="n">
        <v>0</v>
      </c>
      <c r="K2999" t="n">
        <v>0</v>
      </c>
      <c r="L2999" t="n">
        <v>0</v>
      </c>
      <c r="M2999" t="n">
        <v>0</v>
      </c>
      <c r="N2999" t="n">
        <v>0</v>
      </c>
      <c r="O2999" t="n">
        <v>0</v>
      </c>
      <c r="P2999" t="n">
        <v>0</v>
      </c>
      <c r="Q2999" t="n">
        <v>0</v>
      </c>
      <c r="R2999" s="2" t="inlineStr"/>
    </row>
    <row r="3000" ht="15" customHeight="1">
      <c r="A3000" t="inlineStr">
        <is>
          <t>A 34207-2020</t>
        </is>
      </c>
      <c r="B3000" s="1" t="n">
        <v>44029</v>
      </c>
      <c r="C3000" s="1" t="n">
        <v>45182</v>
      </c>
      <c r="D3000" t="inlineStr">
        <is>
          <t>JÄMTLANDS LÄN</t>
        </is>
      </c>
      <c r="E3000" t="inlineStr">
        <is>
          <t>ÅRE</t>
        </is>
      </c>
      <c r="G3000" t="n">
        <v>10.2</v>
      </c>
      <c r="H3000" t="n">
        <v>0</v>
      </c>
      <c r="I3000" t="n">
        <v>0</v>
      </c>
      <c r="J3000" t="n">
        <v>0</v>
      </c>
      <c r="K3000" t="n">
        <v>0</v>
      </c>
      <c r="L3000" t="n">
        <v>0</v>
      </c>
      <c r="M3000" t="n">
        <v>0</v>
      </c>
      <c r="N3000" t="n">
        <v>0</v>
      </c>
      <c r="O3000" t="n">
        <v>0</v>
      </c>
      <c r="P3000" t="n">
        <v>0</v>
      </c>
      <c r="Q3000" t="n">
        <v>0</v>
      </c>
      <c r="R3000" s="2" t="inlineStr"/>
    </row>
    <row r="3001" ht="15" customHeight="1">
      <c r="A3001" t="inlineStr">
        <is>
          <t>A 34280-2020</t>
        </is>
      </c>
      <c r="B3001" s="1" t="n">
        <v>44029</v>
      </c>
      <c r="C3001" s="1" t="n">
        <v>45182</v>
      </c>
      <c r="D3001" t="inlineStr">
        <is>
          <t>JÄMTLANDS LÄN</t>
        </is>
      </c>
      <c r="E3001" t="inlineStr">
        <is>
          <t>STRÖMSUND</t>
        </is>
      </c>
      <c r="F3001" t="inlineStr">
        <is>
          <t>SCA</t>
        </is>
      </c>
      <c r="G3001" t="n">
        <v>7.3</v>
      </c>
      <c r="H3001" t="n">
        <v>0</v>
      </c>
      <c r="I3001" t="n">
        <v>0</v>
      </c>
      <c r="J3001" t="n">
        <v>0</v>
      </c>
      <c r="K3001" t="n">
        <v>0</v>
      </c>
      <c r="L3001" t="n">
        <v>0</v>
      </c>
      <c r="M3001" t="n">
        <v>0</v>
      </c>
      <c r="N3001" t="n">
        <v>0</v>
      </c>
      <c r="O3001" t="n">
        <v>0</v>
      </c>
      <c r="P3001" t="n">
        <v>0</v>
      </c>
      <c r="Q3001" t="n">
        <v>0</v>
      </c>
      <c r="R3001" s="2" t="inlineStr"/>
    </row>
    <row r="3002" ht="15" customHeight="1">
      <c r="A3002" t="inlineStr">
        <is>
          <t>A 34292-2020</t>
        </is>
      </c>
      <c r="B3002" s="1" t="n">
        <v>44029</v>
      </c>
      <c r="C3002" s="1" t="n">
        <v>45182</v>
      </c>
      <c r="D3002" t="inlineStr">
        <is>
          <t>JÄMTLANDS LÄN</t>
        </is>
      </c>
      <c r="E3002" t="inlineStr">
        <is>
          <t>STRÖMSUND</t>
        </is>
      </c>
      <c r="F3002" t="inlineStr">
        <is>
          <t>SCA</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34469-2020</t>
        </is>
      </c>
      <c r="B3003" s="1" t="n">
        <v>44032</v>
      </c>
      <c r="C3003" s="1" t="n">
        <v>45182</v>
      </c>
      <c r="D3003" t="inlineStr">
        <is>
          <t>JÄMTLANDS LÄN</t>
        </is>
      </c>
      <c r="E3003" t="inlineStr">
        <is>
          <t>KROKOM</t>
        </is>
      </c>
      <c r="G3003" t="n">
        <v>0.8</v>
      </c>
      <c r="H3003" t="n">
        <v>0</v>
      </c>
      <c r="I3003" t="n">
        <v>0</v>
      </c>
      <c r="J3003" t="n">
        <v>0</v>
      </c>
      <c r="K3003" t="n">
        <v>0</v>
      </c>
      <c r="L3003" t="n">
        <v>0</v>
      </c>
      <c r="M3003" t="n">
        <v>0</v>
      </c>
      <c r="N3003" t="n">
        <v>0</v>
      </c>
      <c r="O3003" t="n">
        <v>0</v>
      </c>
      <c r="P3003" t="n">
        <v>0</v>
      </c>
      <c r="Q3003" t="n">
        <v>0</v>
      </c>
      <c r="R3003" s="2" t="inlineStr"/>
    </row>
    <row r="3004" ht="15" customHeight="1">
      <c r="A3004" t="inlineStr">
        <is>
          <t>A 34584-2020</t>
        </is>
      </c>
      <c r="B3004" s="1" t="n">
        <v>44033</v>
      </c>
      <c r="C3004" s="1" t="n">
        <v>45182</v>
      </c>
      <c r="D3004" t="inlineStr">
        <is>
          <t>JÄMTLANDS LÄN</t>
        </is>
      </c>
      <c r="E3004" t="inlineStr">
        <is>
          <t>BERG</t>
        </is>
      </c>
      <c r="F3004" t="inlineStr">
        <is>
          <t>SCA</t>
        </is>
      </c>
      <c r="G3004" t="n">
        <v>12.3</v>
      </c>
      <c r="H3004" t="n">
        <v>0</v>
      </c>
      <c r="I3004" t="n">
        <v>0</v>
      </c>
      <c r="J3004" t="n">
        <v>0</v>
      </c>
      <c r="K3004" t="n">
        <v>0</v>
      </c>
      <c r="L3004" t="n">
        <v>0</v>
      </c>
      <c r="M3004" t="n">
        <v>0</v>
      </c>
      <c r="N3004" t="n">
        <v>0</v>
      </c>
      <c r="O3004" t="n">
        <v>0</v>
      </c>
      <c r="P3004" t="n">
        <v>0</v>
      </c>
      <c r="Q3004" t="n">
        <v>0</v>
      </c>
      <c r="R3004" s="2" t="inlineStr"/>
    </row>
    <row r="3005" ht="15" customHeight="1">
      <c r="A3005" t="inlineStr">
        <is>
          <t>A 34581-2020</t>
        </is>
      </c>
      <c r="B3005" s="1" t="n">
        <v>44033</v>
      </c>
      <c r="C3005" s="1" t="n">
        <v>45182</v>
      </c>
      <c r="D3005" t="inlineStr">
        <is>
          <t>JÄMTLANDS LÄN</t>
        </is>
      </c>
      <c r="E3005" t="inlineStr">
        <is>
          <t>BERG</t>
        </is>
      </c>
      <c r="F3005" t="inlineStr">
        <is>
          <t>SCA</t>
        </is>
      </c>
      <c r="G3005" t="n">
        <v>7.1</v>
      </c>
      <c r="H3005" t="n">
        <v>0</v>
      </c>
      <c r="I3005" t="n">
        <v>0</v>
      </c>
      <c r="J3005" t="n">
        <v>0</v>
      </c>
      <c r="K3005" t="n">
        <v>0</v>
      </c>
      <c r="L3005" t="n">
        <v>0</v>
      </c>
      <c r="M3005" t="n">
        <v>0</v>
      </c>
      <c r="N3005" t="n">
        <v>0</v>
      </c>
      <c r="O3005" t="n">
        <v>0</v>
      </c>
      <c r="P3005" t="n">
        <v>0</v>
      </c>
      <c r="Q3005" t="n">
        <v>0</v>
      </c>
      <c r="R3005" s="2" t="inlineStr"/>
    </row>
    <row r="3006" ht="15" customHeight="1">
      <c r="A3006" t="inlineStr">
        <is>
          <t>A 34678-2020</t>
        </is>
      </c>
      <c r="B3006" s="1" t="n">
        <v>44033</v>
      </c>
      <c r="C3006" s="1" t="n">
        <v>45182</v>
      </c>
      <c r="D3006" t="inlineStr">
        <is>
          <t>JÄMTLANDS LÄN</t>
        </is>
      </c>
      <c r="E3006" t="inlineStr">
        <is>
          <t>ÅRE</t>
        </is>
      </c>
      <c r="G3006" t="n">
        <v>2.8</v>
      </c>
      <c r="H3006" t="n">
        <v>0</v>
      </c>
      <c r="I3006" t="n">
        <v>0</v>
      </c>
      <c r="J3006" t="n">
        <v>0</v>
      </c>
      <c r="K3006" t="n">
        <v>0</v>
      </c>
      <c r="L3006" t="n">
        <v>0</v>
      </c>
      <c r="M3006" t="n">
        <v>0</v>
      </c>
      <c r="N3006" t="n">
        <v>0</v>
      </c>
      <c r="O3006" t="n">
        <v>0</v>
      </c>
      <c r="P3006" t="n">
        <v>0</v>
      </c>
      <c r="Q3006" t="n">
        <v>0</v>
      </c>
      <c r="R3006" s="2" t="inlineStr"/>
    </row>
    <row r="3007" ht="15" customHeight="1">
      <c r="A3007" t="inlineStr">
        <is>
          <t>A 34619-2020</t>
        </is>
      </c>
      <c r="B3007" s="1" t="n">
        <v>44033</v>
      </c>
      <c r="C3007" s="1" t="n">
        <v>45182</v>
      </c>
      <c r="D3007" t="inlineStr">
        <is>
          <t>JÄMTLANDS LÄN</t>
        </is>
      </c>
      <c r="E3007" t="inlineStr">
        <is>
          <t>KROKOM</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34659-2020</t>
        </is>
      </c>
      <c r="B3008" s="1" t="n">
        <v>44034</v>
      </c>
      <c r="C3008" s="1" t="n">
        <v>45182</v>
      </c>
      <c r="D3008" t="inlineStr">
        <is>
          <t>JÄMTLANDS LÄN</t>
        </is>
      </c>
      <c r="E3008" t="inlineStr">
        <is>
          <t>BRÄCKE</t>
        </is>
      </c>
      <c r="G3008" t="n">
        <v>4.7</v>
      </c>
      <c r="H3008" t="n">
        <v>0</v>
      </c>
      <c r="I3008" t="n">
        <v>0</v>
      </c>
      <c r="J3008" t="n">
        <v>0</v>
      </c>
      <c r="K3008" t="n">
        <v>0</v>
      </c>
      <c r="L3008" t="n">
        <v>0</v>
      </c>
      <c r="M3008" t="n">
        <v>0</v>
      </c>
      <c r="N3008" t="n">
        <v>0</v>
      </c>
      <c r="O3008" t="n">
        <v>0</v>
      </c>
      <c r="P3008" t="n">
        <v>0</v>
      </c>
      <c r="Q3008" t="n">
        <v>0</v>
      </c>
      <c r="R3008" s="2" t="inlineStr"/>
    </row>
    <row r="3009" ht="15" customHeight="1">
      <c r="A3009" t="inlineStr">
        <is>
          <t>A 34658-2020</t>
        </is>
      </c>
      <c r="B3009" s="1" t="n">
        <v>44034</v>
      </c>
      <c r="C3009" s="1" t="n">
        <v>45182</v>
      </c>
      <c r="D3009" t="inlineStr">
        <is>
          <t>JÄMTLANDS LÄN</t>
        </is>
      </c>
      <c r="E3009" t="inlineStr">
        <is>
          <t>STRÖMSUND</t>
        </is>
      </c>
      <c r="F3009" t="inlineStr">
        <is>
          <t>SCA</t>
        </is>
      </c>
      <c r="G3009" t="n">
        <v>2.5</v>
      </c>
      <c r="H3009" t="n">
        <v>0</v>
      </c>
      <c r="I3009" t="n">
        <v>0</v>
      </c>
      <c r="J3009" t="n">
        <v>0</v>
      </c>
      <c r="K3009" t="n">
        <v>0</v>
      </c>
      <c r="L3009" t="n">
        <v>0</v>
      </c>
      <c r="M3009" t="n">
        <v>0</v>
      </c>
      <c r="N3009" t="n">
        <v>0</v>
      </c>
      <c r="O3009" t="n">
        <v>0</v>
      </c>
      <c r="P3009" t="n">
        <v>0</v>
      </c>
      <c r="Q3009" t="n">
        <v>0</v>
      </c>
      <c r="R3009" s="2" t="inlineStr"/>
    </row>
    <row r="3010" ht="15" customHeight="1">
      <c r="A3010" t="inlineStr">
        <is>
          <t>A 34640-2020</t>
        </is>
      </c>
      <c r="B3010" s="1" t="n">
        <v>44034</v>
      </c>
      <c r="C3010" s="1" t="n">
        <v>45182</v>
      </c>
      <c r="D3010" t="inlineStr">
        <is>
          <t>JÄMTLANDS LÄN</t>
        </is>
      </c>
      <c r="E3010" t="inlineStr">
        <is>
          <t>ÅRE</t>
        </is>
      </c>
      <c r="G3010" t="n">
        <v>9.4</v>
      </c>
      <c r="H3010" t="n">
        <v>0</v>
      </c>
      <c r="I3010" t="n">
        <v>0</v>
      </c>
      <c r="J3010" t="n">
        <v>0</v>
      </c>
      <c r="K3010" t="n">
        <v>0</v>
      </c>
      <c r="L3010" t="n">
        <v>0</v>
      </c>
      <c r="M3010" t="n">
        <v>0</v>
      </c>
      <c r="N3010" t="n">
        <v>0</v>
      </c>
      <c r="O3010" t="n">
        <v>0</v>
      </c>
      <c r="P3010" t="n">
        <v>0</v>
      </c>
      <c r="Q3010" t="n">
        <v>0</v>
      </c>
      <c r="R3010" s="2" t="inlineStr"/>
    </row>
    <row r="3011" ht="15" customHeight="1">
      <c r="A3011" t="inlineStr">
        <is>
          <t>A 34660-2020</t>
        </is>
      </c>
      <c r="B3011" s="1" t="n">
        <v>44034</v>
      </c>
      <c r="C3011" s="1" t="n">
        <v>45182</v>
      </c>
      <c r="D3011" t="inlineStr">
        <is>
          <t>JÄMTLANDS LÄN</t>
        </is>
      </c>
      <c r="E3011" t="inlineStr">
        <is>
          <t>BRÄCKE</t>
        </is>
      </c>
      <c r="F3011" t="inlineStr">
        <is>
          <t>SCA</t>
        </is>
      </c>
      <c r="G3011" t="n">
        <v>1.9</v>
      </c>
      <c r="H3011" t="n">
        <v>0</v>
      </c>
      <c r="I3011" t="n">
        <v>0</v>
      </c>
      <c r="J3011" t="n">
        <v>0</v>
      </c>
      <c r="K3011" t="n">
        <v>0</v>
      </c>
      <c r="L3011" t="n">
        <v>0</v>
      </c>
      <c r="M3011" t="n">
        <v>0</v>
      </c>
      <c r="N3011" t="n">
        <v>0</v>
      </c>
      <c r="O3011" t="n">
        <v>0</v>
      </c>
      <c r="P3011" t="n">
        <v>0</v>
      </c>
      <c r="Q3011" t="n">
        <v>0</v>
      </c>
      <c r="R3011" s="2" t="inlineStr"/>
    </row>
    <row r="3012" ht="15" customHeight="1">
      <c r="A3012" t="inlineStr">
        <is>
          <t>A 34796-2020</t>
        </is>
      </c>
      <c r="B3012" s="1" t="n">
        <v>44035</v>
      </c>
      <c r="C3012" s="1" t="n">
        <v>45182</v>
      </c>
      <c r="D3012" t="inlineStr">
        <is>
          <t>JÄMTLANDS LÄN</t>
        </is>
      </c>
      <c r="E3012" t="inlineStr">
        <is>
          <t>STRÖMSUND</t>
        </is>
      </c>
      <c r="F3012" t="inlineStr">
        <is>
          <t>SCA</t>
        </is>
      </c>
      <c r="G3012" t="n">
        <v>1.8</v>
      </c>
      <c r="H3012" t="n">
        <v>0</v>
      </c>
      <c r="I3012" t="n">
        <v>0</v>
      </c>
      <c r="J3012" t="n">
        <v>0</v>
      </c>
      <c r="K3012" t="n">
        <v>0</v>
      </c>
      <c r="L3012" t="n">
        <v>0</v>
      </c>
      <c r="M3012" t="n">
        <v>0</v>
      </c>
      <c r="N3012" t="n">
        <v>0</v>
      </c>
      <c r="O3012" t="n">
        <v>0</v>
      </c>
      <c r="P3012" t="n">
        <v>0</v>
      </c>
      <c r="Q3012" t="n">
        <v>0</v>
      </c>
      <c r="R3012" s="2" t="inlineStr"/>
    </row>
    <row r="3013" ht="15" customHeight="1">
      <c r="A3013" t="inlineStr">
        <is>
          <t>A 34738-2020</t>
        </is>
      </c>
      <c r="B3013" s="1" t="n">
        <v>44035</v>
      </c>
      <c r="C3013" s="1" t="n">
        <v>45182</v>
      </c>
      <c r="D3013" t="inlineStr">
        <is>
          <t>JÄMTLANDS LÄN</t>
        </is>
      </c>
      <c r="E3013" t="inlineStr">
        <is>
          <t>BERG</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34703-2020</t>
        </is>
      </c>
      <c r="B3014" s="1" t="n">
        <v>44035</v>
      </c>
      <c r="C3014" s="1" t="n">
        <v>45182</v>
      </c>
      <c r="D3014" t="inlineStr">
        <is>
          <t>JÄMTLANDS LÄN</t>
        </is>
      </c>
      <c r="E3014" t="inlineStr">
        <is>
          <t>ÖSTERSUND</t>
        </is>
      </c>
      <c r="G3014" t="n">
        <v>1.7</v>
      </c>
      <c r="H3014" t="n">
        <v>0</v>
      </c>
      <c r="I3014" t="n">
        <v>0</v>
      </c>
      <c r="J3014" t="n">
        <v>0</v>
      </c>
      <c r="K3014" t="n">
        <v>0</v>
      </c>
      <c r="L3014" t="n">
        <v>0</v>
      </c>
      <c r="M3014" t="n">
        <v>0</v>
      </c>
      <c r="N3014" t="n">
        <v>0</v>
      </c>
      <c r="O3014" t="n">
        <v>0</v>
      </c>
      <c r="P3014" t="n">
        <v>0</v>
      </c>
      <c r="Q3014" t="n">
        <v>0</v>
      </c>
      <c r="R3014" s="2" t="inlineStr"/>
    </row>
    <row r="3015" ht="15" customHeight="1">
      <c r="A3015" t="inlineStr">
        <is>
          <t>A 34870-2020</t>
        </is>
      </c>
      <c r="B3015" s="1" t="n">
        <v>44036</v>
      </c>
      <c r="C3015" s="1" t="n">
        <v>45182</v>
      </c>
      <c r="D3015" t="inlineStr">
        <is>
          <t>JÄMTLANDS LÄN</t>
        </is>
      </c>
      <c r="E3015" t="inlineStr">
        <is>
          <t>BRÄCKE</t>
        </is>
      </c>
      <c r="G3015" t="n">
        <v>3.2</v>
      </c>
      <c r="H3015" t="n">
        <v>0</v>
      </c>
      <c r="I3015" t="n">
        <v>0</v>
      </c>
      <c r="J3015" t="n">
        <v>0</v>
      </c>
      <c r="K3015" t="n">
        <v>0</v>
      </c>
      <c r="L3015" t="n">
        <v>0</v>
      </c>
      <c r="M3015" t="n">
        <v>0</v>
      </c>
      <c r="N3015" t="n">
        <v>0</v>
      </c>
      <c r="O3015" t="n">
        <v>0</v>
      </c>
      <c r="P3015" t="n">
        <v>0</v>
      </c>
      <c r="Q3015" t="n">
        <v>0</v>
      </c>
      <c r="R3015" s="2" t="inlineStr"/>
    </row>
    <row r="3016" ht="15" customHeight="1">
      <c r="A3016" t="inlineStr">
        <is>
          <t>A 34855-2020</t>
        </is>
      </c>
      <c r="B3016" s="1" t="n">
        <v>44036</v>
      </c>
      <c r="C3016" s="1" t="n">
        <v>45182</v>
      </c>
      <c r="D3016" t="inlineStr">
        <is>
          <t>JÄMTLANDS LÄN</t>
        </is>
      </c>
      <c r="E3016" t="inlineStr">
        <is>
          <t>STRÖMSUND</t>
        </is>
      </c>
      <c r="G3016" t="n">
        <v>20.2</v>
      </c>
      <c r="H3016" t="n">
        <v>0</v>
      </c>
      <c r="I3016" t="n">
        <v>0</v>
      </c>
      <c r="J3016" t="n">
        <v>0</v>
      </c>
      <c r="K3016" t="n">
        <v>0</v>
      </c>
      <c r="L3016" t="n">
        <v>0</v>
      </c>
      <c r="M3016" t="n">
        <v>0</v>
      </c>
      <c r="N3016" t="n">
        <v>0</v>
      </c>
      <c r="O3016" t="n">
        <v>0</v>
      </c>
      <c r="P3016" t="n">
        <v>0</v>
      </c>
      <c r="Q3016" t="n">
        <v>0</v>
      </c>
      <c r="R3016" s="2" t="inlineStr"/>
    </row>
    <row r="3017" ht="15" customHeight="1">
      <c r="A3017" t="inlineStr">
        <is>
          <t>A 34900-2020</t>
        </is>
      </c>
      <c r="B3017" s="1" t="n">
        <v>44036</v>
      </c>
      <c r="C3017" s="1" t="n">
        <v>45182</v>
      </c>
      <c r="D3017" t="inlineStr">
        <is>
          <t>JÄMTLANDS LÄN</t>
        </is>
      </c>
      <c r="E3017" t="inlineStr">
        <is>
          <t>HÄRJEDALEN</t>
        </is>
      </c>
      <c r="G3017" t="n">
        <v>13.1</v>
      </c>
      <c r="H3017" t="n">
        <v>0</v>
      </c>
      <c r="I3017" t="n">
        <v>0</v>
      </c>
      <c r="J3017" t="n">
        <v>0</v>
      </c>
      <c r="K3017" t="n">
        <v>0</v>
      </c>
      <c r="L3017" t="n">
        <v>0</v>
      </c>
      <c r="M3017" t="n">
        <v>0</v>
      </c>
      <c r="N3017" t="n">
        <v>0</v>
      </c>
      <c r="O3017" t="n">
        <v>0</v>
      </c>
      <c r="P3017" t="n">
        <v>0</v>
      </c>
      <c r="Q3017" t="n">
        <v>0</v>
      </c>
      <c r="R3017" s="2" t="inlineStr"/>
    </row>
    <row r="3018" ht="15" customHeight="1">
      <c r="A3018" t="inlineStr">
        <is>
          <t>A 34804-2020</t>
        </is>
      </c>
      <c r="B3018" s="1" t="n">
        <v>44036</v>
      </c>
      <c r="C3018" s="1" t="n">
        <v>45182</v>
      </c>
      <c r="D3018" t="inlineStr">
        <is>
          <t>JÄMTLANDS LÄN</t>
        </is>
      </c>
      <c r="E3018" t="inlineStr">
        <is>
          <t>BERG</t>
        </is>
      </c>
      <c r="G3018" t="n">
        <v>1.9</v>
      </c>
      <c r="H3018" t="n">
        <v>0</v>
      </c>
      <c r="I3018" t="n">
        <v>0</v>
      </c>
      <c r="J3018" t="n">
        <v>0</v>
      </c>
      <c r="K3018" t="n">
        <v>0</v>
      </c>
      <c r="L3018" t="n">
        <v>0</v>
      </c>
      <c r="M3018" t="n">
        <v>0</v>
      </c>
      <c r="N3018" t="n">
        <v>0</v>
      </c>
      <c r="O3018" t="n">
        <v>0</v>
      </c>
      <c r="P3018" t="n">
        <v>0</v>
      </c>
      <c r="Q3018" t="n">
        <v>0</v>
      </c>
      <c r="R3018" s="2" t="inlineStr"/>
    </row>
    <row r="3019" ht="15" customHeight="1">
      <c r="A3019" t="inlineStr">
        <is>
          <t>A 34894-2020</t>
        </is>
      </c>
      <c r="B3019" s="1" t="n">
        <v>44036</v>
      </c>
      <c r="C3019" s="1" t="n">
        <v>45182</v>
      </c>
      <c r="D3019" t="inlineStr">
        <is>
          <t>JÄMTLANDS LÄN</t>
        </is>
      </c>
      <c r="E3019" t="inlineStr">
        <is>
          <t>HÄRJEDALEN</t>
        </is>
      </c>
      <c r="G3019" t="n">
        <v>4</v>
      </c>
      <c r="H3019" t="n">
        <v>0</v>
      </c>
      <c r="I3019" t="n">
        <v>0</v>
      </c>
      <c r="J3019" t="n">
        <v>0</v>
      </c>
      <c r="K3019" t="n">
        <v>0</v>
      </c>
      <c r="L3019" t="n">
        <v>0</v>
      </c>
      <c r="M3019" t="n">
        <v>0</v>
      </c>
      <c r="N3019" t="n">
        <v>0</v>
      </c>
      <c r="O3019" t="n">
        <v>0</v>
      </c>
      <c r="P3019" t="n">
        <v>0</v>
      </c>
      <c r="Q3019" t="n">
        <v>0</v>
      </c>
      <c r="R3019" s="2" t="inlineStr"/>
    </row>
    <row r="3020" ht="15" customHeight="1">
      <c r="A3020" t="inlineStr">
        <is>
          <t>A 34906-2020</t>
        </is>
      </c>
      <c r="B3020" s="1" t="n">
        <v>44036</v>
      </c>
      <c r="C3020" s="1" t="n">
        <v>45182</v>
      </c>
      <c r="D3020" t="inlineStr">
        <is>
          <t>JÄMTLANDS LÄN</t>
        </is>
      </c>
      <c r="E3020" t="inlineStr">
        <is>
          <t>BRÄCKE</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34952-2020</t>
        </is>
      </c>
      <c r="B3021" s="1" t="n">
        <v>44038</v>
      </c>
      <c r="C3021" s="1" t="n">
        <v>45182</v>
      </c>
      <c r="D3021" t="inlineStr">
        <is>
          <t>JÄMTLANDS LÄN</t>
        </is>
      </c>
      <c r="E3021" t="inlineStr">
        <is>
          <t>STRÖMSUND</t>
        </is>
      </c>
      <c r="G3021" t="n">
        <v>26.1</v>
      </c>
      <c r="H3021" t="n">
        <v>0</v>
      </c>
      <c r="I3021" t="n">
        <v>0</v>
      </c>
      <c r="J3021" t="n">
        <v>0</v>
      </c>
      <c r="K3021" t="n">
        <v>0</v>
      </c>
      <c r="L3021" t="n">
        <v>0</v>
      </c>
      <c r="M3021" t="n">
        <v>0</v>
      </c>
      <c r="N3021" t="n">
        <v>0</v>
      </c>
      <c r="O3021" t="n">
        <v>0</v>
      </c>
      <c r="P3021" t="n">
        <v>0</v>
      </c>
      <c r="Q3021" t="n">
        <v>0</v>
      </c>
      <c r="R3021" s="2" t="inlineStr"/>
    </row>
    <row r="3022" ht="15" customHeight="1">
      <c r="A3022" t="inlineStr">
        <is>
          <t>A 34954-2020</t>
        </is>
      </c>
      <c r="B3022" s="1" t="n">
        <v>44038</v>
      </c>
      <c r="C3022" s="1" t="n">
        <v>45182</v>
      </c>
      <c r="D3022" t="inlineStr">
        <is>
          <t>JÄMTLANDS LÄN</t>
        </is>
      </c>
      <c r="E3022" t="inlineStr">
        <is>
          <t>KROKOM</t>
        </is>
      </c>
      <c r="G3022" t="n">
        <v>14.3</v>
      </c>
      <c r="H3022" t="n">
        <v>0</v>
      </c>
      <c r="I3022" t="n">
        <v>0</v>
      </c>
      <c r="J3022" t="n">
        <v>0</v>
      </c>
      <c r="K3022" t="n">
        <v>0</v>
      </c>
      <c r="L3022" t="n">
        <v>0</v>
      </c>
      <c r="M3022" t="n">
        <v>0</v>
      </c>
      <c r="N3022" t="n">
        <v>0</v>
      </c>
      <c r="O3022" t="n">
        <v>0</v>
      </c>
      <c r="P3022" t="n">
        <v>0</v>
      </c>
      <c r="Q3022" t="n">
        <v>0</v>
      </c>
      <c r="R3022" s="2" t="inlineStr"/>
    </row>
    <row r="3023" ht="15" customHeight="1">
      <c r="A3023" t="inlineStr">
        <is>
          <t>A 34963-2020</t>
        </is>
      </c>
      <c r="B3023" s="1" t="n">
        <v>44039</v>
      </c>
      <c r="C3023" s="1" t="n">
        <v>45182</v>
      </c>
      <c r="D3023" t="inlineStr">
        <is>
          <t>JÄMTLANDS LÄN</t>
        </is>
      </c>
      <c r="E3023" t="inlineStr">
        <is>
          <t>HÄRJEDALEN</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34975-2020</t>
        </is>
      </c>
      <c r="B3024" s="1" t="n">
        <v>44039</v>
      </c>
      <c r="C3024" s="1" t="n">
        <v>45182</v>
      </c>
      <c r="D3024" t="inlineStr">
        <is>
          <t>JÄMTLANDS LÄN</t>
        </is>
      </c>
      <c r="E3024" t="inlineStr">
        <is>
          <t>HÄRJEDALEN</t>
        </is>
      </c>
      <c r="G3024" t="n">
        <v>1.8</v>
      </c>
      <c r="H3024" t="n">
        <v>0</v>
      </c>
      <c r="I3024" t="n">
        <v>0</v>
      </c>
      <c r="J3024" t="n">
        <v>0</v>
      </c>
      <c r="K3024" t="n">
        <v>0</v>
      </c>
      <c r="L3024" t="n">
        <v>0</v>
      </c>
      <c r="M3024" t="n">
        <v>0</v>
      </c>
      <c r="N3024" t="n">
        <v>0</v>
      </c>
      <c r="O3024" t="n">
        <v>0</v>
      </c>
      <c r="P3024" t="n">
        <v>0</v>
      </c>
      <c r="Q3024" t="n">
        <v>0</v>
      </c>
      <c r="R3024" s="2" t="inlineStr"/>
    </row>
    <row r="3025" ht="15" customHeight="1">
      <c r="A3025" t="inlineStr">
        <is>
          <t>A 35160-2020</t>
        </is>
      </c>
      <c r="B3025" s="1" t="n">
        <v>44040</v>
      </c>
      <c r="C3025" s="1" t="n">
        <v>45182</v>
      </c>
      <c r="D3025" t="inlineStr">
        <is>
          <t>JÄMTLANDS LÄN</t>
        </is>
      </c>
      <c r="E3025" t="inlineStr">
        <is>
          <t>HÄRJEDALEN</t>
        </is>
      </c>
      <c r="F3025" t="inlineStr">
        <is>
          <t>Bergvik skog väst AB</t>
        </is>
      </c>
      <c r="G3025" t="n">
        <v>2.2</v>
      </c>
      <c r="H3025" t="n">
        <v>0</v>
      </c>
      <c r="I3025" t="n">
        <v>0</v>
      </c>
      <c r="J3025" t="n">
        <v>0</v>
      </c>
      <c r="K3025" t="n">
        <v>0</v>
      </c>
      <c r="L3025" t="n">
        <v>0</v>
      </c>
      <c r="M3025" t="n">
        <v>0</v>
      </c>
      <c r="N3025" t="n">
        <v>0</v>
      </c>
      <c r="O3025" t="n">
        <v>0</v>
      </c>
      <c r="P3025" t="n">
        <v>0</v>
      </c>
      <c r="Q3025" t="n">
        <v>0</v>
      </c>
      <c r="R3025" s="2" t="inlineStr"/>
    </row>
    <row r="3026" ht="15" customHeight="1">
      <c r="A3026" t="inlineStr">
        <is>
          <t>A 35193-2020</t>
        </is>
      </c>
      <c r="B3026" s="1" t="n">
        <v>44040</v>
      </c>
      <c r="C3026" s="1" t="n">
        <v>45182</v>
      </c>
      <c r="D3026" t="inlineStr">
        <is>
          <t>JÄMTLANDS LÄN</t>
        </is>
      </c>
      <c r="E3026" t="inlineStr">
        <is>
          <t>RAGUNDA</t>
        </is>
      </c>
      <c r="G3026" t="n">
        <v>1.1</v>
      </c>
      <c r="H3026" t="n">
        <v>0</v>
      </c>
      <c r="I3026" t="n">
        <v>0</v>
      </c>
      <c r="J3026" t="n">
        <v>0</v>
      </c>
      <c r="K3026" t="n">
        <v>0</v>
      </c>
      <c r="L3026" t="n">
        <v>0</v>
      </c>
      <c r="M3026" t="n">
        <v>0</v>
      </c>
      <c r="N3026" t="n">
        <v>0</v>
      </c>
      <c r="O3026" t="n">
        <v>0</v>
      </c>
      <c r="P3026" t="n">
        <v>0</v>
      </c>
      <c r="Q3026" t="n">
        <v>0</v>
      </c>
      <c r="R3026" s="2" t="inlineStr"/>
    </row>
    <row r="3027" ht="15" customHeight="1">
      <c r="A3027" t="inlineStr">
        <is>
          <t>A 35364-2020</t>
        </is>
      </c>
      <c r="B3027" s="1" t="n">
        <v>44041</v>
      </c>
      <c r="C3027" s="1" t="n">
        <v>45182</v>
      </c>
      <c r="D3027" t="inlineStr">
        <is>
          <t>JÄMTLANDS LÄN</t>
        </is>
      </c>
      <c r="E3027" t="inlineStr">
        <is>
          <t>BRÄCKE</t>
        </is>
      </c>
      <c r="F3027" t="inlineStr">
        <is>
          <t>SCA</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35250-2020</t>
        </is>
      </c>
      <c r="B3028" s="1" t="n">
        <v>44041</v>
      </c>
      <c r="C3028" s="1" t="n">
        <v>45182</v>
      </c>
      <c r="D3028" t="inlineStr">
        <is>
          <t>JÄMTLANDS LÄN</t>
        </is>
      </c>
      <c r="E3028" t="inlineStr">
        <is>
          <t>BRÄCKE</t>
        </is>
      </c>
      <c r="F3028" t="inlineStr">
        <is>
          <t>Övriga Aktiebolag</t>
        </is>
      </c>
      <c r="G3028" t="n">
        <v>2.6</v>
      </c>
      <c r="H3028" t="n">
        <v>0</v>
      </c>
      <c r="I3028" t="n">
        <v>0</v>
      </c>
      <c r="J3028" t="n">
        <v>0</v>
      </c>
      <c r="K3028" t="n">
        <v>0</v>
      </c>
      <c r="L3028" t="n">
        <v>0</v>
      </c>
      <c r="M3028" t="n">
        <v>0</v>
      </c>
      <c r="N3028" t="n">
        <v>0</v>
      </c>
      <c r="O3028" t="n">
        <v>0</v>
      </c>
      <c r="P3028" t="n">
        <v>0</v>
      </c>
      <c r="Q3028" t="n">
        <v>0</v>
      </c>
      <c r="R3028" s="2" t="inlineStr"/>
    </row>
    <row r="3029" ht="15" customHeight="1">
      <c r="A3029" t="inlineStr">
        <is>
          <t>A 35365-2020</t>
        </is>
      </c>
      <c r="B3029" s="1" t="n">
        <v>44041</v>
      </c>
      <c r="C3029" s="1" t="n">
        <v>45182</v>
      </c>
      <c r="D3029" t="inlineStr">
        <is>
          <t>JÄMTLANDS LÄN</t>
        </is>
      </c>
      <c r="E3029" t="inlineStr">
        <is>
          <t>RAGUNDA</t>
        </is>
      </c>
      <c r="F3029" t="inlineStr">
        <is>
          <t>SCA</t>
        </is>
      </c>
      <c r="G3029" t="n">
        <v>5.7</v>
      </c>
      <c r="H3029" t="n">
        <v>0</v>
      </c>
      <c r="I3029" t="n">
        <v>0</v>
      </c>
      <c r="J3029" t="n">
        <v>0</v>
      </c>
      <c r="K3029" t="n">
        <v>0</v>
      </c>
      <c r="L3029" t="n">
        <v>0</v>
      </c>
      <c r="M3029" t="n">
        <v>0</v>
      </c>
      <c r="N3029" t="n">
        <v>0</v>
      </c>
      <c r="O3029" t="n">
        <v>0</v>
      </c>
      <c r="P3029" t="n">
        <v>0</v>
      </c>
      <c r="Q3029" t="n">
        <v>0</v>
      </c>
      <c r="R3029" s="2" t="inlineStr"/>
    </row>
    <row r="3030" ht="15" customHeight="1">
      <c r="A3030" t="inlineStr">
        <is>
          <t>A 35436-2020</t>
        </is>
      </c>
      <c r="B3030" s="1" t="n">
        <v>44042</v>
      </c>
      <c r="C3030" s="1" t="n">
        <v>45182</v>
      </c>
      <c r="D3030" t="inlineStr">
        <is>
          <t>JÄMTLANDS LÄN</t>
        </is>
      </c>
      <c r="E3030" t="inlineStr">
        <is>
          <t>HÄRJEDALEN</t>
        </is>
      </c>
      <c r="F3030" t="inlineStr">
        <is>
          <t>Bergvik skog väst AB</t>
        </is>
      </c>
      <c r="G3030" t="n">
        <v>1.7</v>
      </c>
      <c r="H3030" t="n">
        <v>0</v>
      </c>
      <c r="I3030" t="n">
        <v>0</v>
      </c>
      <c r="J3030" t="n">
        <v>0</v>
      </c>
      <c r="K3030" t="n">
        <v>0</v>
      </c>
      <c r="L3030" t="n">
        <v>0</v>
      </c>
      <c r="M3030" t="n">
        <v>0</v>
      </c>
      <c r="N3030" t="n">
        <v>0</v>
      </c>
      <c r="O3030" t="n">
        <v>0</v>
      </c>
      <c r="P3030" t="n">
        <v>0</v>
      </c>
      <c r="Q3030" t="n">
        <v>0</v>
      </c>
      <c r="R3030" s="2" t="inlineStr"/>
    </row>
    <row r="3031" ht="15" customHeight="1">
      <c r="A3031" t="inlineStr">
        <is>
          <t>A 35393-2020</t>
        </is>
      </c>
      <c r="B3031" s="1" t="n">
        <v>44042</v>
      </c>
      <c r="C3031" s="1" t="n">
        <v>45182</v>
      </c>
      <c r="D3031" t="inlineStr">
        <is>
          <t>JÄMTLANDS LÄN</t>
        </is>
      </c>
      <c r="E3031" t="inlineStr">
        <is>
          <t>STRÖMSUND</t>
        </is>
      </c>
      <c r="G3031" t="n">
        <v>0.8</v>
      </c>
      <c r="H3031" t="n">
        <v>0</v>
      </c>
      <c r="I3031" t="n">
        <v>0</v>
      </c>
      <c r="J3031" t="n">
        <v>0</v>
      </c>
      <c r="K3031" t="n">
        <v>0</v>
      </c>
      <c r="L3031" t="n">
        <v>0</v>
      </c>
      <c r="M3031" t="n">
        <v>0</v>
      </c>
      <c r="N3031" t="n">
        <v>0</v>
      </c>
      <c r="O3031" t="n">
        <v>0</v>
      </c>
      <c r="P3031" t="n">
        <v>0</v>
      </c>
      <c r="Q3031" t="n">
        <v>0</v>
      </c>
      <c r="R3031" s="2" t="inlineStr"/>
    </row>
    <row r="3032" ht="15" customHeight="1">
      <c r="A3032" t="inlineStr">
        <is>
          <t>A 35423-2020</t>
        </is>
      </c>
      <c r="B3032" s="1" t="n">
        <v>44042</v>
      </c>
      <c r="C3032" s="1" t="n">
        <v>45182</v>
      </c>
      <c r="D3032" t="inlineStr">
        <is>
          <t>JÄMTLANDS LÄN</t>
        </is>
      </c>
      <c r="E3032" t="inlineStr">
        <is>
          <t>BRÄCKE</t>
        </is>
      </c>
      <c r="G3032" t="n">
        <v>13.2</v>
      </c>
      <c r="H3032" t="n">
        <v>0</v>
      </c>
      <c r="I3032" t="n">
        <v>0</v>
      </c>
      <c r="J3032" t="n">
        <v>0</v>
      </c>
      <c r="K3032" t="n">
        <v>0</v>
      </c>
      <c r="L3032" t="n">
        <v>0</v>
      </c>
      <c r="M3032" t="n">
        <v>0</v>
      </c>
      <c r="N3032" t="n">
        <v>0</v>
      </c>
      <c r="O3032" t="n">
        <v>0</v>
      </c>
      <c r="P3032" t="n">
        <v>0</v>
      </c>
      <c r="Q3032" t="n">
        <v>0</v>
      </c>
      <c r="R3032" s="2" t="inlineStr"/>
    </row>
    <row r="3033" ht="15" customHeight="1">
      <c r="A3033" t="inlineStr">
        <is>
          <t>A 35548-2020</t>
        </is>
      </c>
      <c r="B3033" s="1" t="n">
        <v>44043</v>
      </c>
      <c r="C3033" s="1" t="n">
        <v>45182</v>
      </c>
      <c r="D3033" t="inlineStr">
        <is>
          <t>JÄMTLANDS LÄN</t>
        </is>
      </c>
      <c r="E3033" t="inlineStr">
        <is>
          <t>HÄRJEDALEN</t>
        </is>
      </c>
      <c r="F3033" t="inlineStr">
        <is>
          <t>Holmen skog AB</t>
        </is>
      </c>
      <c r="G3033" t="n">
        <v>1.3</v>
      </c>
      <c r="H3033" t="n">
        <v>0</v>
      </c>
      <c r="I3033" t="n">
        <v>0</v>
      </c>
      <c r="J3033" t="n">
        <v>0</v>
      </c>
      <c r="K3033" t="n">
        <v>0</v>
      </c>
      <c r="L3033" t="n">
        <v>0</v>
      </c>
      <c r="M3033" t="n">
        <v>0</v>
      </c>
      <c r="N3033" t="n">
        <v>0</v>
      </c>
      <c r="O3033" t="n">
        <v>0</v>
      </c>
      <c r="P3033" t="n">
        <v>0</v>
      </c>
      <c r="Q3033" t="n">
        <v>0</v>
      </c>
      <c r="R3033" s="2" t="inlineStr"/>
    </row>
    <row r="3034" ht="15" customHeight="1">
      <c r="A3034" t="inlineStr">
        <is>
          <t>A 35605-2020</t>
        </is>
      </c>
      <c r="B3034" s="1" t="n">
        <v>44043</v>
      </c>
      <c r="C3034" s="1" t="n">
        <v>45182</v>
      </c>
      <c r="D3034" t="inlineStr">
        <is>
          <t>JÄMTLANDS LÄN</t>
        </is>
      </c>
      <c r="E3034" t="inlineStr">
        <is>
          <t>STRÖMSUND</t>
        </is>
      </c>
      <c r="F3034" t="inlineStr">
        <is>
          <t>SCA</t>
        </is>
      </c>
      <c r="G3034" t="n">
        <v>3.4</v>
      </c>
      <c r="H3034" t="n">
        <v>0</v>
      </c>
      <c r="I3034" t="n">
        <v>0</v>
      </c>
      <c r="J3034" t="n">
        <v>0</v>
      </c>
      <c r="K3034" t="n">
        <v>0</v>
      </c>
      <c r="L3034" t="n">
        <v>0</v>
      </c>
      <c r="M3034" t="n">
        <v>0</v>
      </c>
      <c r="N3034" t="n">
        <v>0</v>
      </c>
      <c r="O3034" t="n">
        <v>0</v>
      </c>
      <c r="P3034" t="n">
        <v>0</v>
      </c>
      <c r="Q3034" t="n">
        <v>0</v>
      </c>
      <c r="R3034" s="2" t="inlineStr"/>
    </row>
    <row r="3035" ht="15" customHeight="1">
      <c r="A3035" t="inlineStr">
        <is>
          <t>A 35620-2020</t>
        </is>
      </c>
      <c r="B3035" s="1" t="n">
        <v>44045</v>
      </c>
      <c r="C3035" s="1" t="n">
        <v>45182</v>
      </c>
      <c r="D3035" t="inlineStr">
        <is>
          <t>JÄMTLANDS LÄN</t>
        </is>
      </c>
      <c r="E3035" t="inlineStr">
        <is>
          <t>BERG</t>
        </is>
      </c>
      <c r="F3035" t="inlineStr">
        <is>
          <t>SCA</t>
        </is>
      </c>
      <c r="G3035" t="n">
        <v>5</v>
      </c>
      <c r="H3035" t="n">
        <v>0</v>
      </c>
      <c r="I3035" t="n">
        <v>0</v>
      </c>
      <c r="J3035" t="n">
        <v>0</v>
      </c>
      <c r="K3035" t="n">
        <v>0</v>
      </c>
      <c r="L3035" t="n">
        <v>0</v>
      </c>
      <c r="M3035" t="n">
        <v>0</v>
      </c>
      <c r="N3035" t="n">
        <v>0</v>
      </c>
      <c r="O3035" t="n">
        <v>0</v>
      </c>
      <c r="P3035" t="n">
        <v>0</v>
      </c>
      <c r="Q3035" t="n">
        <v>0</v>
      </c>
      <c r="R3035" s="2" t="inlineStr"/>
    </row>
    <row r="3036" ht="15" customHeight="1">
      <c r="A3036" t="inlineStr">
        <is>
          <t>A 35800-2020</t>
        </is>
      </c>
      <c r="B3036" s="1" t="n">
        <v>44046</v>
      </c>
      <c r="C3036" s="1" t="n">
        <v>45182</v>
      </c>
      <c r="D3036" t="inlineStr">
        <is>
          <t>JÄMTLANDS LÄN</t>
        </is>
      </c>
      <c r="E3036" t="inlineStr">
        <is>
          <t>BRÄCKE</t>
        </is>
      </c>
      <c r="F3036" t="inlineStr">
        <is>
          <t>SCA</t>
        </is>
      </c>
      <c r="G3036" t="n">
        <v>2.5</v>
      </c>
      <c r="H3036" t="n">
        <v>0</v>
      </c>
      <c r="I3036" t="n">
        <v>0</v>
      </c>
      <c r="J3036" t="n">
        <v>0</v>
      </c>
      <c r="K3036" t="n">
        <v>0</v>
      </c>
      <c r="L3036" t="n">
        <v>0</v>
      </c>
      <c r="M3036" t="n">
        <v>0</v>
      </c>
      <c r="N3036" t="n">
        <v>0</v>
      </c>
      <c r="O3036" t="n">
        <v>0</v>
      </c>
      <c r="P3036" t="n">
        <v>0</v>
      </c>
      <c r="Q3036" t="n">
        <v>0</v>
      </c>
      <c r="R3036" s="2" t="inlineStr"/>
    </row>
    <row r="3037" ht="15" customHeight="1">
      <c r="A3037" t="inlineStr">
        <is>
          <t>A 35808-2020</t>
        </is>
      </c>
      <c r="B3037" s="1" t="n">
        <v>44046</v>
      </c>
      <c r="C3037" s="1" t="n">
        <v>45182</v>
      </c>
      <c r="D3037" t="inlineStr">
        <is>
          <t>JÄMTLANDS LÄN</t>
        </is>
      </c>
      <c r="E3037" t="inlineStr">
        <is>
          <t>BRÄCKE</t>
        </is>
      </c>
      <c r="F3037" t="inlineStr">
        <is>
          <t>SCA</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35799-2020</t>
        </is>
      </c>
      <c r="B3038" s="1" t="n">
        <v>44046</v>
      </c>
      <c r="C3038" s="1" t="n">
        <v>45182</v>
      </c>
      <c r="D3038" t="inlineStr">
        <is>
          <t>JÄMTLANDS LÄN</t>
        </is>
      </c>
      <c r="E3038" t="inlineStr">
        <is>
          <t>BRÄCKE</t>
        </is>
      </c>
      <c r="F3038" t="inlineStr">
        <is>
          <t>SCA</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35658-2020</t>
        </is>
      </c>
      <c r="B3039" s="1" t="n">
        <v>44046</v>
      </c>
      <c r="C3039" s="1" t="n">
        <v>45182</v>
      </c>
      <c r="D3039" t="inlineStr">
        <is>
          <t>JÄMTLANDS LÄN</t>
        </is>
      </c>
      <c r="E3039" t="inlineStr">
        <is>
          <t>STRÖMSUND</t>
        </is>
      </c>
      <c r="F3039" t="inlineStr">
        <is>
          <t>Holmen skog AB</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35801-2020</t>
        </is>
      </c>
      <c r="B3040" s="1" t="n">
        <v>44046</v>
      </c>
      <c r="C3040" s="1" t="n">
        <v>45182</v>
      </c>
      <c r="D3040" t="inlineStr">
        <is>
          <t>JÄMTLANDS LÄN</t>
        </is>
      </c>
      <c r="E3040" t="inlineStr">
        <is>
          <t>BRÄCKE</t>
        </is>
      </c>
      <c r="F3040" t="inlineStr">
        <is>
          <t>SCA</t>
        </is>
      </c>
      <c r="G3040" t="n">
        <v>0.9</v>
      </c>
      <c r="H3040" t="n">
        <v>0</v>
      </c>
      <c r="I3040" t="n">
        <v>0</v>
      </c>
      <c r="J3040" t="n">
        <v>0</v>
      </c>
      <c r="K3040" t="n">
        <v>0</v>
      </c>
      <c r="L3040" t="n">
        <v>0</v>
      </c>
      <c r="M3040" t="n">
        <v>0</v>
      </c>
      <c r="N3040" t="n">
        <v>0</v>
      </c>
      <c r="O3040" t="n">
        <v>0</v>
      </c>
      <c r="P3040" t="n">
        <v>0</v>
      </c>
      <c r="Q3040" t="n">
        <v>0</v>
      </c>
      <c r="R3040" s="2" t="inlineStr"/>
    </row>
    <row r="3041" ht="15" customHeight="1">
      <c r="A3041" t="inlineStr">
        <is>
          <t>A 35849-2020</t>
        </is>
      </c>
      <c r="B3041" s="1" t="n">
        <v>44047</v>
      </c>
      <c r="C3041" s="1" t="n">
        <v>45182</v>
      </c>
      <c r="D3041" t="inlineStr">
        <is>
          <t>JÄMTLANDS LÄN</t>
        </is>
      </c>
      <c r="E3041" t="inlineStr">
        <is>
          <t>ÅRE</t>
        </is>
      </c>
      <c r="G3041" t="n">
        <v>21.3</v>
      </c>
      <c r="H3041" t="n">
        <v>0</v>
      </c>
      <c r="I3041" t="n">
        <v>0</v>
      </c>
      <c r="J3041" t="n">
        <v>0</v>
      </c>
      <c r="K3041" t="n">
        <v>0</v>
      </c>
      <c r="L3041" t="n">
        <v>0</v>
      </c>
      <c r="M3041" t="n">
        <v>0</v>
      </c>
      <c r="N3041" t="n">
        <v>0</v>
      </c>
      <c r="O3041" t="n">
        <v>0</v>
      </c>
      <c r="P3041" t="n">
        <v>0</v>
      </c>
      <c r="Q3041" t="n">
        <v>0</v>
      </c>
      <c r="R3041" s="2" t="inlineStr"/>
    </row>
    <row r="3042" ht="15" customHeight="1">
      <c r="A3042" t="inlineStr">
        <is>
          <t>A 36098-2020</t>
        </is>
      </c>
      <c r="B3042" s="1" t="n">
        <v>44048</v>
      </c>
      <c r="C3042" s="1" t="n">
        <v>45182</v>
      </c>
      <c r="D3042" t="inlineStr">
        <is>
          <t>JÄMTLANDS LÄN</t>
        </is>
      </c>
      <c r="E3042" t="inlineStr">
        <is>
          <t>KROKOM</t>
        </is>
      </c>
      <c r="G3042" t="n">
        <v>0.9</v>
      </c>
      <c r="H3042" t="n">
        <v>0</v>
      </c>
      <c r="I3042" t="n">
        <v>0</v>
      </c>
      <c r="J3042" t="n">
        <v>0</v>
      </c>
      <c r="K3042" t="n">
        <v>0</v>
      </c>
      <c r="L3042" t="n">
        <v>0</v>
      </c>
      <c r="M3042" t="n">
        <v>0</v>
      </c>
      <c r="N3042" t="n">
        <v>0</v>
      </c>
      <c r="O3042" t="n">
        <v>0</v>
      </c>
      <c r="P3042" t="n">
        <v>0</v>
      </c>
      <c r="Q3042" t="n">
        <v>0</v>
      </c>
      <c r="R3042" s="2" t="inlineStr"/>
    </row>
    <row r="3043" ht="15" customHeight="1">
      <c r="A3043" t="inlineStr">
        <is>
          <t>A 36506-2020</t>
        </is>
      </c>
      <c r="B3043" s="1" t="n">
        <v>44050</v>
      </c>
      <c r="C3043" s="1" t="n">
        <v>45182</v>
      </c>
      <c r="D3043" t="inlineStr">
        <is>
          <t>JÄMTLANDS LÄN</t>
        </is>
      </c>
      <c r="E3043" t="inlineStr">
        <is>
          <t>ÅRE</t>
        </is>
      </c>
      <c r="G3043" t="n">
        <v>0.1</v>
      </c>
      <c r="H3043" t="n">
        <v>0</v>
      </c>
      <c r="I3043" t="n">
        <v>0</v>
      </c>
      <c r="J3043" t="n">
        <v>0</v>
      </c>
      <c r="K3043" t="n">
        <v>0</v>
      </c>
      <c r="L3043" t="n">
        <v>0</v>
      </c>
      <c r="M3043" t="n">
        <v>0</v>
      </c>
      <c r="N3043" t="n">
        <v>0</v>
      </c>
      <c r="O3043" t="n">
        <v>0</v>
      </c>
      <c r="P3043" t="n">
        <v>0</v>
      </c>
      <c r="Q3043" t="n">
        <v>0</v>
      </c>
      <c r="R3043" s="2" t="inlineStr"/>
    </row>
    <row r="3044" ht="15" customHeight="1">
      <c r="A3044" t="inlineStr">
        <is>
          <t>A 36671-2020</t>
        </is>
      </c>
      <c r="B3044" s="1" t="n">
        <v>44050</v>
      </c>
      <c r="C3044" s="1" t="n">
        <v>45182</v>
      </c>
      <c r="D3044" t="inlineStr">
        <is>
          <t>JÄMTLANDS LÄN</t>
        </is>
      </c>
      <c r="E3044" t="inlineStr">
        <is>
          <t>BRÄCKE</t>
        </is>
      </c>
      <c r="F3044" t="inlineStr">
        <is>
          <t>SCA</t>
        </is>
      </c>
      <c r="G3044" t="n">
        <v>5.5</v>
      </c>
      <c r="H3044" t="n">
        <v>0</v>
      </c>
      <c r="I3044" t="n">
        <v>0</v>
      </c>
      <c r="J3044" t="n">
        <v>0</v>
      </c>
      <c r="K3044" t="n">
        <v>0</v>
      </c>
      <c r="L3044" t="n">
        <v>0</v>
      </c>
      <c r="M3044" t="n">
        <v>0</v>
      </c>
      <c r="N3044" t="n">
        <v>0</v>
      </c>
      <c r="O3044" t="n">
        <v>0</v>
      </c>
      <c r="P3044" t="n">
        <v>0</v>
      </c>
      <c r="Q3044" t="n">
        <v>0</v>
      </c>
      <c r="R3044" s="2" t="inlineStr"/>
    </row>
    <row r="3045" ht="15" customHeight="1">
      <c r="A3045" t="inlineStr">
        <is>
          <t>A 36471-2020</t>
        </is>
      </c>
      <c r="B3045" s="1" t="n">
        <v>44050</v>
      </c>
      <c r="C3045" s="1" t="n">
        <v>45182</v>
      </c>
      <c r="D3045" t="inlineStr">
        <is>
          <t>JÄMTLANDS LÄN</t>
        </is>
      </c>
      <c r="E3045" t="inlineStr">
        <is>
          <t>HÄRJEDALEN</t>
        </is>
      </c>
      <c r="F3045" t="inlineStr">
        <is>
          <t>Sveaskog</t>
        </is>
      </c>
      <c r="G3045" t="n">
        <v>4</v>
      </c>
      <c r="H3045" t="n">
        <v>0</v>
      </c>
      <c r="I3045" t="n">
        <v>0</v>
      </c>
      <c r="J3045" t="n">
        <v>0</v>
      </c>
      <c r="K3045" t="n">
        <v>0</v>
      </c>
      <c r="L3045" t="n">
        <v>0</v>
      </c>
      <c r="M3045" t="n">
        <v>0</v>
      </c>
      <c r="N3045" t="n">
        <v>0</v>
      </c>
      <c r="O3045" t="n">
        <v>0</v>
      </c>
      <c r="P3045" t="n">
        <v>0</v>
      </c>
      <c r="Q3045" t="n">
        <v>0</v>
      </c>
      <c r="R3045" s="2" t="inlineStr"/>
    </row>
    <row r="3046" ht="15" customHeight="1">
      <c r="A3046" t="inlineStr">
        <is>
          <t>A 36504-2020</t>
        </is>
      </c>
      <c r="B3046" s="1" t="n">
        <v>44050</v>
      </c>
      <c r="C3046" s="1" t="n">
        <v>45182</v>
      </c>
      <c r="D3046" t="inlineStr">
        <is>
          <t>JÄMTLANDS LÄN</t>
        </is>
      </c>
      <c r="E3046" t="inlineStr">
        <is>
          <t>STRÖMSUND</t>
        </is>
      </c>
      <c r="F3046" t="inlineStr">
        <is>
          <t>Holmen skog AB</t>
        </is>
      </c>
      <c r="G3046" t="n">
        <v>3.2</v>
      </c>
      <c r="H3046" t="n">
        <v>0</v>
      </c>
      <c r="I3046" t="n">
        <v>0</v>
      </c>
      <c r="J3046" t="n">
        <v>0</v>
      </c>
      <c r="K3046" t="n">
        <v>0</v>
      </c>
      <c r="L3046" t="n">
        <v>0</v>
      </c>
      <c r="M3046" t="n">
        <v>0</v>
      </c>
      <c r="N3046" t="n">
        <v>0</v>
      </c>
      <c r="O3046" t="n">
        <v>0</v>
      </c>
      <c r="P3046" t="n">
        <v>0</v>
      </c>
      <c r="Q3046" t="n">
        <v>0</v>
      </c>
      <c r="R3046" s="2" t="inlineStr"/>
    </row>
    <row r="3047" ht="15" customHeight="1">
      <c r="A3047" t="inlineStr">
        <is>
          <t>A 36523-2020</t>
        </is>
      </c>
      <c r="B3047" s="1" t="n">
        <v>44050</v>
      </c>
      <c r="C3047" s="1" t="n">
        <v>45182</v>
      </c>
      <c r="D3047" t="inlineStr">
        <is>
          <t>JÄMTLANDS LÄN</t>
        </is>
      </c>
      <c r="E3047" t="inlineStr">
        <is>
          <t>KROKOM</t>
        </is>
      </c>
      <c r="G3047" t="n">
        <v>5.1</v>
      </c>
      <c r="H3047" t="n">
        <v>0</v>
      </c>
      <c r="I3047" t="n">
        <v>0</v>
      </c>
      <c r="J3047" t="n">
        <v>0</v>
      </c>
      <c r="K3047" t="n">
        <v>0</v>
      </c>
      <c r="L3047" t="n">
        <v>0</v>
      </c>
      <c r="M3047" t="n">
        <v>0</v>
      </c>
      <c r="N3047" t="n">
        <v>0</v>
      </c>
      <c r="O3047" t="n">
        <v>0</v>
      </c>
      <c r="P3047" t="n">
        <v>0</v>
      </c>
      <c r="Q3047" t="n">
        <v>0</v>
      </c>
      <c r="R3047" s="2" t="inlineStr"/>
    </row>
    <row r="3048" ht="15" customHeight="1">
      <c r="A3048" t="inlineStr">
        <is>
          <t>A 36698-2020</t>
        </is>
      </c>
      <c r="B3048" s="1" t="n">
        <v>44050</v>
      </c>
      <c r="C3048" s="1" t="n">
        <v>45182</v>
      </c>
      <c r="D3048" t="inlineStr">
        <is>
          <t>JÄMTLANDS LÄN</t>
        </is>
      </c>
      <c r="E3048" t="inlineStr">
        <is>
          <t>KROKOM</t>
        </is>
      </c>
      <c r="G3048" t="n">
        <v>1.4</v>
      </c>
      <c r="H3048" t="n">
        <v>0</v>
      </c>
      <c r="I3048" t="n">
        <v>0</v>
      </c>
      <c r="J3048" t="n">
        <v>0</v>
      </c>
      <c r="K3048" t="n">
        <v>0</v>
      </c>
      <c r="L3048" t="n">
        <v>0</v>
      </c>
      <c r="M3048" t="n">
        <v>0</v>
      </c>
      <c r="N3048" t="n">
        <v>0</v>
      </c>
      <c r="O3048" t="n">
        <v>0</v>
      </c>
      <c r="P3048" t="n">
        <v>0</v>
      </c>
      <c r="Q3048" t="n">
        <v>0</v>
      </c>
      <c r="R3048" s="2" t="inlineStr"/>
    </row>
    <row r="3049" ht="15" customHeight="1">
      <c r="A3049" t="inlineStr">
        <is>
          <t>A 36501-2020</t>
        </is>
      </c>
      <c r="B3049" s="1" t="n">
        <v>44050</v>
      </c>
      <c r="C3049" s="1" t="n">
        <v>45182</v>
      </c>
      <c r="D3049" t="inlineStr">
        <is>
          <t>JÄMTLANDS LÄN</t>
        </is>
      </c>
      <c r="E3049" t="inlineStr">
        <is>
          <t>ÅRE</t>
        </is>
      </c>
      <c r="G3049" t="n">
        <v>5.1</v>
      </c>
      <c r="H3049" t="n">
        <v>0</v>
      </c>
      <c r="I3049" t="n">
        <v>0</v>
      </c>
      <c r="J3049" t="n">
        <v>0</v>
      </c>
      <c r="K3049" t="n">
        <v>0</v>
      </c>
      <c r="L3049" t="n">
        <v>0</v>
      </c>
      <c r="M3049" t="n">
        <v>0</v>
      </c>
      <c r="N3049" t="n">
        <v>0</v>
      </c>
      <c r="O3049" t="n">
        <v>0</v>
      </c>
      <c r="P3049" t="n">
        <v>0</v>
      </c>
      <c r="Q3049" t="n">
        <v>0</v>
      </c>
      <c r="R3049" s="2" t="inlineStr"/>
    </row>
    <row r="3050" ht="15" customHeight="1">
      <c r="A3050" t="inlineStr">
        <is>
          <t>A 36574-2020</t>
        </is>
      </c>
      <c r="B3050" s="1" t="n">
        <v>44050</v>
      </c>
      <c r="C3050" s="1" t="n">
        <v>45182</v>
      </c>
      <c r="D3050" t="inlineStr">
        <is>
          <t>JÄMTLANDS LÄN</t>
        </is>
      </c>
      <c r="E3050" t="inlineStr">
        <is>
          <t>STRÖMSUND</t>
        </is>
      </c>
      <c r="F3050" t="inlineStr">
        <is>
          <t>Holmen skog AB</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36661-2020</t>
        </is>
      </c>
      <c r="B3051" s="1" t="n">
        <v>44050</v>
      </c>
      <c r="C3051" s="1" t="n">
        <v>45182</v>
      </c>
      <c r="D3051" t="inlineStr">
        <is>
          <t>JÄMTLANDS LÄN</t>
        </is>
      </c>
      <c r="E3051" t="inlineStr">
        <is>
          <t>BRÄCKE</t>
        </is>
      </c>
      <c r="F3051" t="inlineStr">
        <is>
          <t>SCA</t>
        </is>
      </c>
      <c r="G3051" t="n">
        <v>2.2</v>
      </c>
      <c r="H3051" t="n">
        <v>0</v>
      </c>
      <c r="I3051" t="n">
        <v>0</v>
      </c>
      <c r="J3051" t="n">
        <v>0</v>
      </c>
      <c r="K3051" t="n">
        <v>0</v>
      </c>
      <c r="L3051" t="n">
        <v>0</v>
      </c>
      <c r="M3051" t="n">
        <v>0</v>
      </c>
      <c r="N3051" t="n">
        <v>0</v>
      </c>
      <c r="O3051" t="n">
        <v>0</v>
      </c>
      <c r="P3051" t="n">
        <v>0</v>
      </c>
      <c r="Q3051" t="n">
        <v>0</v>
      </c>
      <c r="R3051" s="2" t="inlineStr"/>
    </row>
    <row r="3052" ht="15" customHeight="1">
      <c r="A3052" t="inlineStr">
        <is>
          <t>A 36696-2020</t>
        </is>
      </c>
      <c r="B3052" s="1" t="n">
        <v>44050</v>
      </c>
      <c r="C3052" s="1" t="n">
        <v>45182</v>
      </c>
      <c r="D3052" t="inlineStr">
        <is>
          <t>JÄMTLANDS LÄN</t>
        </is>
      </c>
      <c r="E3052" t="inlineStr">
        <is>
          <t>KROKOM</t>
        </is>
      </c>
      <c r="G3052" t="n">
        <v>8</v>
      </c>
      <c r="H3052" t="n">
        <v>0</v>
      </c>
      <c r="I3052" t="n">
        <v>0</v>
      </c>
      <c r="J3052" t="n">
        <v>0</v>
      </c>
      <c r="K3052" t="n">
        <v>0</v>
      </c>
      <c r="L3052" t="n">
        <v>0</v>
      </c>
      <c r="M3052" t="n">
        <v>0</v>
      </c>
      <c r="N3052" t="n">
        <v>0</v>
      </c>
      <c r="O3052" t="n">
        <v>0</v>
      </c>
      <c r="P3052" t="n">
        <v>0</v>
      </c>
      <c r="Q3052" t="n">
        <v>0</v>
      </c>
      <c r="R3052" s="2" t="inlineStr"/>
    </row>
    <row r="3053" ht="15" customHeight="1">
      <c r="A3053" t="inlineStr">
        <is>
          <t>A 36674-2020</t>
        </is>
      </c>
      <c r="B3053" s="1" t="n">
        <v>44051</v>
      </c>
      <c r="C3053" s="1" t="n">
        <v>45182</v>
      </c>
      <c r="D3053" t="inlineStr">
        <is>
          <t>JÄMTLANDS LÄN</t>
        </is>
      </c>
      <c r="E3053" t="inlineStr">
        <is>
          <t>RAGUNDA</t>
        </is>
      </c>
      <c r="G3053" t="n">
        <v>0.9</v>
      </c>
      <c r="H3053" t="n">
        <v>0</v>
      </c>
      <c r="I3053" t="n">
        <v>0</v>
      </c>
      <c r="J3053" t="n">
        <v>0</v>
      </c>
      <c r="K3053" t="n">
        <v>0</v>
      </c>
      <c r="L3053" t="n">
        <v>0</v>
      </c>
      <c r="M3053" t="n">
        <v>0</v>
      </c>
      <c r="N3053" t="n">
        <v>0</v>
      </c>
      <c r="O3053" t="n">
        <v>0</v>
      </c>
      <c r="P3053" t="n">
        <v>0</v>
      </c>
      <c r="Q3053" t="n">
        <v>0</v>
      </c>
      <c r="R3053" s="2" t="inlineStr"/>
    </row>
    <row r="3054" ht="15" customHeight="1">
      <c r="A3054" t="inlineStr">
        <is>
          <t>A 36676-2020</t>
        </is>
      </c>
      <c r="B3054" s="1" t="n">
        <v>44051</v>
      </c>
      <c r="C3054" s="1" t="n">
        <v>45182</v>
      </c>
      <c r="D3054" t="inlineStr">
        <is>
          <t>JÄMTLANDS LÄN</t>
        </is>
      </c>
      <c r="E3054" t="inlineStr">
        <is>
          <t>RAGUNDA</t>
        </is>
      </c>
      <c r="G3054" t="n">
        <v>0.8</v>
      </c>
      <c r="H3054" t="n">
        <v>0</v>
      </c>
      <c r="I3054" t="n">
        <v>0</v>
      </c>
      <c r="J3054" t="n">
        <v>0</v>
      </c>
      <c r="K3054" t="n">
        <v>0</v>
      </c>
      <c r="L3054" t="n">
        <v>0</v>
      </c>
      <c r="M3054" t="n">
        <v>0</v>
      </c>
      <c r="N3054" t="n">
        <v>0</v>
      </c>
      <c r="O3054" t="n">
        <v>0</v>
      </c>
      <c r="P3054" t="n">
        <v>0</v>
      </c>
      <c r="Q3054" t="n">
        <v>0</v>
      </c>
      <c r="R3054" s="2" t="inlineStr"/>
    </row>
    <row r="3055" ht="15" customHeight="1">
      <c r="A3055" t="inlineStr">
        <is>
          <t>A 36790-2020</t>
        </is>
      </c>
      <c r="B3055" s="1" t="n">
        <v>44053</v>
      </c>
      <c r="C3055" s="1" t="n">
        <v>45182</v>
      </c>
      <c r="D3055" t="inlineStr">
        <is>
          <t>JÄMTLANDS LÄN</t>
        </is>
      </c>
      <c r="E3055" t="inlineStr">
        <is>
          <t>HÄRJEDALEN</t>
        </is>
      </c>
      <c r="G3055" t="n">
        <v>3.8</v>
      </c>
      <c r="H3055" t="n">
        <v>0</v>
      </c>
      <c r="I3055" t="n">
        <v>0</v>
      </c>
      <c r="J3055" t="n">
        <v>0</v>
      </c>
      <c r="K3055" t="n">
        <v>0</v>
      </c>
      <c r="L3055" t="n">
        <v>0</v>
      </c>
      <c r="M3055" t="n">
        <v>0</v>
      </c>
      <c r="N3055" t="n">
        <v>0</v>
      </c>
      <c r="O3055" t="n">
        <v>0</v>
      </c>
      <c r="P3055" t="n">
        <v>0</v>
      </c>
      <c r="Q3055" t="n">
        <v>0</v>
      </c>
      <c r="R3055" s="2" t="inlineStr"/>
    </row>
    <row r="3056" ht="15" customHeight="1">
      <c r="A3056" t="inlineStr">
        <is>
          <t>A 36963-2020</t>
        </is>
      </c>
      <c r="B3056" s="1" t="n">
        <v>44053</v>
      </c>
      <c r="C3056" s="1" t="n">
        <v>45182</v>
      </c>
      <c r="D3056" t="inlineStr">
        <is>
          <t>JÄMTLANDS LÄN</t>
        </is>
      </c>
      <c r="E3056" t="inlineStr">
        <is>
          <t>STRÖMSUND</t>
        </is>
      </c>
      <c r="F3056" t="inlineStr">
        <is>
          <t>SCA</t>
        </is>
      </c>
      <c r="G3056" t="n">
        <v>7.1</v>
      </c>
      <c r="H3056" t="n">
        <v>0</v>
      </c>
      <c r="I3056" t="n">
        <v>0</v>
      </c>
      <c r="J3056" t="n">
        <v>0</v>
      </c>
      <c r="K3056" t="n">
        <v>0</v>
      </c>
      <c r="L3056" t="n">
        <v>0</v>
      </c>
      <c r="M3056" t="n">
        <v>0</v>
      </c>
      <c r="N3056" t="n">
        <v>0</v>
      </c>
      <c r="O3056" t="n">
        <v>0</v>
      </c>
      <c r="P3056" t="n">
        <v>0</v>
      </c>
      <c r="Q3056" t="n">
        <v>0</v>
      </c>
      <c r="R3056" s="2" t="inlineStr"/>
    </row>
    <row r="3057" ht="15" customHeight="1">
      <c r="A3057" t="inlineStr">
        <is>
          <t>A 36971-2020</t>
        </is>
      </c>
      <c r="B3057" s="1" t="n">
        <v>44053</v>
      </c>
      <c r="C3057" s="1" t="n">
        <v>45182</v>
      </c>
      <c r="D3057" t="inlineStr">
        <is>
          <t>JÄMTLANDS LÄN</t>
        </is>
      </c>
      <c r="E3057" t="inlineStr">
        <is>
          <t>BRÄCKE</t>
        </is>
      </c>
      <c r="F3057" t="inlineStr">
        <is>
          <t>SCA</t>
        </is>
      </c>
      <c r="G3057" t="n">
        <v>2.7</v>
      </c>
      <c r="H3057" t="n">
        <v>0</v>
      </c>
      <c r="I3057" t="n">
        <v>0</v>
      </c>
      <c r="J3057" t="n">
        <v>0</v>
      </c>
      <c r="K3057" t="n">
        <v>0</v>
      </c>
      <c r="L3057" t="n">
        <v>0</v>
      </c>
      <c r="M3057" t="n">
        <v>0</v>
      </c>
      <c r="N3057" t="n">
        <v>0</v>
      </c>
      <c r="O3057" t="n">
        <v>0</v>
      </c>
      <c r="P3057" t="n">
        <v>0</v>
      </c>
      <c r="Q3057" t="n">
        <v>0</v>
      </c>
      <c r="R3057" s="2" t="inlineStr"/>
    </row>
    <row r="3058" ht="15" customHeight="1">
      <c r="A3058" t="inlineStr">
        <is>
          <t>A 36787-2020</t>
        </is>
      </c>
      <c r="B3058" s="1" t="n">
        <v>44053</v>
      </c>
      <c r="C3058" s="1" t="n">
        <v>45182</v>
      </c>
      <c r="D3058" t="inlineStr">
        <is>
          <t>JÄMTLANDS LÄN</t>
        </is>
      </c>
      <c r="E3058" t="inlineStr">
        <is>
          <t>STRÖMSUND</t>
        </is>
      </c>
      <c r="F3058" t="inlineStr">
        <is>
          <t>Holmen skog AB</t>
        </is>
      </c>
      <c r="G3058" t="n">
        <v>5.3</v>
      </c>
      <c r="H3058" t="n">
        <v>0</v>
      </c>
      <c r="I3058" t="n">
        <v>0</v>
      </c>
      <c r="J3058" t="n">
        <v>0</v>
      </c>
      <c r="K3058" t="n">
        <v>0</v>
      </c>
      <c r="L3058" t="n">
        <v>0</v>
      </c>
      <c r="M3058" t="n">
        <v>0</v>
      </c>
      <c r="N3058" t="n">
        <v>0</v>
      </c>
      <c r="O3058" t="n">
        <v>0</v>
      </c>
      <c r="P3058" t="n">
        <v>0</v>
      </c>
      <c r="Q3058" t="n">
        <v>0</v>
      </c>
      <c r="R3058" s="2" t="inlineStr"/>
    </row>
    <row r="3059" ht="15" customHeight="1">
      <c r="A3059" t="inlineStr">
        <is>
          <t>A 37229-2020</t>
        </is>
      </c>
      <c r="B3059" s="1" t="n">
        <v>44054</v>
      </c>
      <c r="C3059" s="1" t="n">
        <v>45182</v>
      </c>
      <c r="D3059" t="inlineStr">
        <is>
          <t>JÄMTLANDS LÄN</t>
        </is>
      </c>
      <c r="E3059" t="inlineStr">
        <is>
          <t>BRÄCKE</t>
        </is>
      </c>
      <c r="F3059" t="inlineStr">
        <is>
          <t>SCA</t>
        </is>
      </c>
      <c r="G3059" t="n">
        <v>2.1</v>
      </c>
      <c r="H3059" t="n">
        <v>0</v>
      </c>
      <c r="I3059" t="n">
        <v>0</v>
      </c>
      <c r="J3059" t="n">
        <v>0</v>
      </c>
      <c r="K3059" t="n">
        <v>0</v>
      </c>
      <c r="L3059" t="n">
        <v>0</v>
      </c>
      <c r="M3059" t="n">
        <v>0</v>
      </c>
      <c r="N3059" t="n">
        <v>0</v>
      </c>
      <c r="O3059" t="n">
        <v>0</v>
      </c>
      <c r="P3059" t="n">
        <v>0</v>
      </c>
      <c r="Q3059" t="n">
        <v>0</v>
      </c>
      <c r="R3059" s="2" t="inlineStr"/>
    </row>
    <row r="3060" ht="15" customHeight="1">
      <c r="A3060" t="inlineStr">
        <is>
          <t>A 37500-2020</t>
        </is>
      </c>
      <c r="B3060" s="1" t="n">
        <v>44055</v>
      </c>
      <c r="C3060" s="1" t="n">
        <v>45182</v>
      </c>
      <c r="D3060" t="inlineStr">
        <is>
          <t>JÄMTLANDS LÄN</t>
        </is>
      </c>
      <c r="E3060" t="inlineStr">
        <is>
          <t>ÖSTERSUND</t>
        </is>
      </c>
      <c r="G3060" t="n">
        <v>4.8</v>
      </c>
      <c r="H3060" t="n">
        <v>0</v>
      </c>
      <c r="I3060" t="n">
        <v>0</v>
      </c>
      <c r="J3060" t="n">
        <v>0</v>
      </c>
      <c r="K3060" t="n">
        <v>0</v>
      </c>
      <c r="L3060" t="n">
        <v>0</v>
      </c>
      <c r="M3060" t="n">
        <v>0</v>
      </c>
      <c r="N3060" t="n">
        <v>0</v>
      </c>
      <c r="O3060" t="n">
        <v>0</v>
      </c>
      <c r="P3060" t="n">
        <v>0</v>
      </c>
      <c r="Q3060" t="n">
        <v>0</v>
      </c>
      <c r="R3060" s="2" t="inlineStr"/>
    </row>
    <row r="3061" ht="15" customHeight="1">
      <c r="A3061" t="inlineStr">
        <is>
          <t>A 37501-2020</t>
        </is>
      </c>
      <c r="B3061" s="1" t="n">
        <v>44055</v>
      </c>
      <c r="C3061" s="1" t="n">
        <v>45182</v>
      </c>
      <c r="D3061" t="inlineStr">
        <is>
          <t>JÄMTLANDS LÄN</t>
        </is>
      </c>
      <c r="E3061" t="inlineStr">
        <is>
          <t>STRÖMSUND</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37308-2020</t>
        </is>
      </c>
      <c r="B3062" s="1" t="n">
        <v>44055</v>
      </c>
      <c r="C3062" s="1" t="n">
        <v>45182</v>
      </c>
      <c r="D3062" t="inlineStr">
        <is>
          <t>JÄMTLANDS LÄN</t>
        </is>
      </c>
      <c r="E3062" t="inlineStr">
        <is>
          <t>STRÖMSUND</t>
        </is>
      </c>
      <c r="F3062" t="inlineStr">
        <is>
          <t>Holmen skog AB</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37498-2020</t>
        </is>
      </c>
      <c r="B3063" s="1" t="n">
        <v>44055</v>
      </c>
      <c r="C3063" s="1" t="n">
        <v>45182</v>
      </c>
      <c r="D3063" t="inlineStr">
        <is>
          <t>JÄMTLANDS LÄN</t>
        </is>
      </c>
      <c r="E3063" t="inlineStr">
        <is>
          <t>RAGUNDA</t>
        </is>
      </c>
      <c r="G3063" t="n">
        <v>2.4</v>
      </c>
      <c r="H3063" t="n">
        <v>0</v>
      </c>
      <c r="I3063" t="n">
        <v>0</v>
      </c>
      <c r="J3063" t="n">
        <v>0</v>
      </c>
      <c r="K3063" t="n">
        <v>0</v>
      </c>
      <c r="L3063" t="n">
        <v>0</v>
      </c>
      <c r="M3063" t="n">
        <v>0</v>
      </c>
      <c r="N3063" t="n">
        <v>0</v>
      </c>
      <c r="O3063" t="n">
        <v>0</v>
      </c>
      <c r="P3063" t="n">
        <v>0</v>
      </c>
      <c r="Q3063" t="n">
        <v>0</v>
      </c>
      <c r="R3063" s="2" t="inlineStr"/>
    </row>
    <row r="3064" ht="15" customHeight="1">
      <c r="A3064" t="inlineStr">
        <is>
          <t>A 39474-2020</t>
        </is>
      </c>
      <c r="B3064" s="1" t="n">
        <v>44056</v>
      </c>
      <c r="C3064" s="1" t="n">
        <v>45182</v>
      </c>
      <c r="D3064" t="inlineStr">
        <is>
          <t>JÄMTLANDS LÄN</t>
        </is>
      </c>
      <c r="E3064" t="inlineStr">
        <is>
          <t>RAGUNDA</t>
        </is>
      </c>
      <c r="G3064" t="n">
        <v>1.2</v>
      </c>
      <c r="H3064" t="n">
        <v>0</v>
      </c>
      <c r="I3064" t="n">
        <v>0</v>
      </c>
      <c r="J3064" t="n">
        <v>0</v>
      </c>
      <c r="K3064" t="n">
        <v>0</v>
      </c>
      <c r="L3064" t="n">
        <v>0</v>
      </c>
      <c r="M3064" t="n">
        <v>0</v>
      </c>
      <c r="N3064" t="n">
        <v>0</v>
      </c>
      <c r="O3064" t="n">
        <v>0</v>
      </c>
      <c r="P3064" t="n">
        <v>0</v>
      </c>
      <c r="Q3064" t="n">
        <v>0</v>
      </c>
      <c r="R3064" s="2" t="inlineStr"/>
    </row>
    <row r="3065" ht="15" customHeight="1">
      <c r="A3065" t="inlineStr">
        <is>
          <t>A 37780-2020</t>
        </is>
      </c>
      <c r="B3065" s="1" t="n">
        <v>44056</v>
      </c>
      <c r="C3065" s="1" t="n">
        <v>45182</v>
      </c>
      <c r="D3065" t="inlineStr">
        <is>
          <t>JÄMTLANDS LÄN</t>
        </is>
      </c>
      <c r="E3065" t="inlineStr">
        <is>
          <t>HÄRJEDALEN</t>
        </is>
      </c>
      <c r="F3065" t="inlineStr">
        <is>
          <t>SCA</t>
        </is>
      </c>
      <c r="G3065" t="n">
        <v>2.5</v>
      </c>
      <c r="H3065" t="n">
        <v>0</v>
      </c>
      <c r="I3065" t="n">
        <v>0</v>
      </c>
      <c r="J3065" t="n">
        <v>0</v>
      </c>
      <c r="K3065" t="n">
        <v>0</v>
      </c>
      <c r="L3065" t="n">
        <v>0</v>
      </c>
      <c r="M3065" t="n">
        <v>0</v>
      </c>
      <c r="N3065" t="n">
        <v>0</v>
      </c>
      <c r="O3065" t="n">
        <v>0</v>
      </c>
      <c r="P3065" t="n">
        <v>0</v>
      </c>
      <c r="Q3065" t="n">
        <v>0</v>
      </c>
      <c r="R3065" s="2" t="inlineStr"/>
    </row>
    <row r="3066" ht="15" customHeight="1">
      <c r="A3066" t="inlineStr">
        <is>
          <t>A 37878-2020</t>
        </is>
      </c>
      <c r="B3066" s="1" t="n">
        <v>44057</v>
      </c>
      <c r="C3066" s="1" t="n">
        <v>45182</v>
      </c>
      <c r="D3066" t="inlineStr">
        <is>
          <t>JÄMTLANDS LÄN</t>
        </is>
      </c>
      <c r="E3066" t="inlineStr">
        <is>
          <t>STRÖMSUND</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38019-2020</t>
        </is>
      </c>
      <c r="B3067" s="1" t="n">
        <v>44057</v>
      </c>
      <c r="C3067" s="1" t="n">
        <v>45182</v>
      </c>
      <c r="D3067" t="inlineStr">
        <is>
          <t>JÄMTLANDS LÄN</t>
        </is>
      </c>
      <c r="E3067" t="inlineStr">
        <is>
          <t>STRÖMSUND</t>
        </is>
      </c>
      <c r="G3067" t="n">
        <v>0.2</v>
      </c>
      <c r="H3067" t="n">
        <v>0</v>
      </c>
      <c r="I3067" t="n">
        <v>0</v>
      </c>
      <c r="J3067" t="n">
        <v>0</v>
      </c>
      <c r="K3067" t="n">
        <v>0</v>
      </c>
      <c r="L3067" t="n">
        <v>0</v>
      </c>
      <c r="M3067" t="n">
        <v>0</v>
      </c>
      <c r="N3067" t="n">
        <v>0</v>
      </c>
      <c r="O3067" t="n">
        <v>0</v>
      </c>
      <c r="P3067" t="n">
        <v>0</v>
      </c>
      <c r="Q3067" t="n">
        <v>0</v>
      </c>
      <c r="R3067" s="2" t="inlineStr"/>
    </row>
    <row r="3068" ht="15" customHeight="1">
      <c r="A3068" t="inlineStr">
        <is>
          <t>A 38044-2020</t>
        </is>
      </c>
      <c r="B3068" s="1" t="n">
        <v>44057</v>
      </c>
      <c r="C3068" s="1" t="n">
        <v>45182</v>
      </c>
      <c r="D3068" t="inlineStr">
        <is>
          <t>JÄMTLANDS LÄN</t>
        </is>
      </c>
      <c r="E3068" t="inlineStr">
        <is>
          <t>HÄRJEDALEN</t>
        </is>
      </c>
      <c r="F3068" t="inlineStr">
        <is>
          <t>Sveaskog</t>
        </is>
      </c>
      <c r="G3068" t="n">
        <v>2.1</v>
      </c>
      <c r="H3068" t="n">
        <v>0</v>
      </c>
      <c r="I3068" t="n">
        <v>0</v>
      </c>
      <c r="J3068" t="n">
        <v>0</v>
      </c>
      <c r="K3068" t="n">
        <v>0</v>
      </c>
      <c r="L3068" t="n">
        <v>0</v>
      </c>
      <c r="M3068" t="n">
        <v>0</v>
      </c>
      <c r="N3068" t="n">
        <v>0</v>
      </c>
      <c r="O3068" t="n">
        <v>0</v>
      </c>
      <c r="P3068" t="n">
        <v>0</v>
      </c>
      <c r="Q3068" t="n">
        <v>0</v>
      </c>
      <c r="R3068" s="2" t="inlineStr"/>
    </row>
    <row r="3069" ht="15" customHeight="1">
      <c r="A3069" t="inlineStr">
        <is>
          <t>A 38071-2020</t>
        </is>
      </c>
      <c r="B3069" s="1" t="n">
        <v>44057</v>
      </c>
      <c r="C3069" s="1" t="n">
        <v>45182</v>
      </c>
      <c r="D3069" t="inlineStr">
        <is>
          <t>JÄMTLANDS LÄN</t>
        </is>
      </c>
      <c r="E3069" t="inlineStr">
        <is>
          <t>STRÖMSUND</t>
        </is>
      </c>
      <c r="F3069" t="inlineStr">
        <is>
          <t>SCA</t>
        </is>
      </c>
      <c r="G3069" t="n">
        <v>2.4</v>
      </c>
      <c r="H3069" t="n">
        <v>0</v>
      </c>
      <c r="I3069" t="n">
        <v>0</v>
      </c>
      <c r="J3069" t="n">
        <v>0</v>
      </c>
      <c r="K3069" t="n">
        <v>0</v>
      </c>
      <c r="L3069" t="n">
        <v>0</v>
      </c>
      <c r="M3069" t="n">
        <v>0</v>
      </c>
      <c r="N3069" t="n">
        <v>0</v>
      </c>
      <c r="O3069" t="n">
        <v>0</v>
      </c>
      <c r="P3069" t="n">
        <v>0</v>
      </c>
      <c r="Q3069" t="n">
        <v>0</v>
      </c>
      <c r="R3069" s="2" t="inlineStr"/>
    </row>
    <row r="3070" ht="15" customHeight="1">
      <c r="A3070" t="inlineStr">
        <is>
          <t>A 38077-2020</t>
        </is>
      </c>
      <c r="B3070" s="1" t="n">
        <v>44057</v>
      </c>
      <c r="C3070" s="1" t="n">
        <v>45182</v>
      </c>
      <c r="D3070" t="inlineStr">
        <is>
          <t>JÄMTLANDS LÄN</t>
        </is>
      </c>
      <c r="E3070" t="inlineStr">
        <is>
          <t>BERG</t>
        </is>
      </c>
      <c r="G3070" t="n">
        <v>0.5</v>
      </c>
      <c r="H3070" t="n">
        <v>0</v>
      </c>
      <c r="I3070" t="n">
        <v>0</v>
      </c>
      <c r="J3070" t="n">
        <v>0</v>
      </c>
      <c r="K3070" t="n">
        <v>0</v>
      </c>
      <c r="L3070" t="n">
        <v>0</v>
      </c>
      <c r="M3070" t="n">
        <v>0</v>
      </c>
      <c r="N3070" t="n">
        <v>0</v>
      </c>
      <c r="O3070" t="n">
        <v>0</v>
      </c>
      <c r="P3070" t="n">
        <v>0</v>
      </c>
      <c r="Q3070" t="n">
        <v>0</v>
      </c>
      <c r="R3070" s="2" t="inlineStr"/>
    </row>
    <row r="3071" ht="15" customHeight="1">
      <c r="A3071" t="inlineStr">
        <is>
          <t>A 38098-2020</t>
        </is>
      </c>
      <c r="B3071" s="1" t="n">
        <v>44057</v>
      </c>
      <c r="C3071" s="1" t="n">
        <v>45182</v>
      </c>
      <c r="D3071" t="inlineStr">
        <is>
          <t>JÄMTLANDS LÄN</t>
        </is>
      </c>
      <c r="E3071" t="inlineStr">
        <is>
          <t>RAGUNDA</t>
        </is>
      </c>
      <c r="G3071" t="n">
        <v>1.2</v>
      </c>
      <c r="H3071" t="n">
        <v>0</v>
      </c>
      <c r="I3071" t="n">
        <v>0</v>
      </c>
      <c r="J3071" t="n">
        <v>0</v>
      </c>
      <c r="K3071" t="n">
        <v>0</v>
      </c>
      <c r="L3071" t="n">
        <v>0</v>
      </c>
      <c r="M3071" t="n">
        <v>0</v>
      </c>
      <c r="N3071" t="n">
        <v>0</v>
      </c>
      <c r="O3071" t="n">
        <v>0</v>
      </c>
      <c r="P3071" t="n">
        <v>0</v>
      </c>
      <c r="Q3071" t="n">
        <v>0</v>
      </c>
      <c r="R3071" s="2" t="inlineStr"/>
    </row>
    <row r="3072" ht="15" customHeight="1">
      <c r="A3072" t="inlineStr">
        <is>
          <t>A 38106-2020</t>
        </is>
      </c>
      <c r="B3072" s="1" t="n">
        <v>44057</v>
      </c>
      <c r="C3072" s="1" t="n">
        <v>45182</v>
      </c>
      <c r="D3072" t="inlineStr">
        <is>
          <t>JÄMTLANDS LÄN</t>
        </is>
      </c>
      <c r="E3072" t="inlineStr">
        <is>
          <t>RAGUNDA</t>
        </is>
      </c>
      <c r="F3072" t="inlineStr">
        <is>
          <t>SCA</t>
        </is>
      </c>
      <c r="G3072" t="n">
        <v>2.3</v>
      </c>
      <c r="H3072" t="n">
        <v>0</v>
      </c>
      <c r="I3072" t="n">
        <v>0</v>
      </c>
      <c r="J3072" t="n">
        <v>0</v>
      </c>
      <c r="K3072" t="n">
        <v>0</v>
      </c>
      <c r="L3072" t="n">
        <v>0</v>
      </c>
      <c r="M3072" t="n">
        <v>0</v>
      </c>
      <c r="N3072" t="n">
        <v>0</v>
      </c>
      <c r="O3072" t="n">
        <v>0</v>
      </c>
      <c r="P3072" t="n">
        <v>0</v>
      </c>
      <c r="Q3072" t="n">
        <v>0</v>
      </c>
      <c r="R3072" s="2" t="inlineStr"/>
    </row>
    <row r="3073" ht="15" customHeight="1">
      <c r="A3073" t="inlineStr">
        <is>
          <t>A 38029-2020</t>
        </is>
      </c>
      <c r="B3073" s="1" t="n">
        <v>44057</v>
      </c>
      <c r="C3073" s="1" t="n">
        <v>45182</v>
      </c>
      <c r="D3073" t="inlineStr">
        <is>
          <t>JÄMTLANDS LÄN</t>
        </is>
      </c>
      <c r="E3073" t="inlineStr">
        <is>
          <t>STRÖMSUND</t>
        </is>
      </c>
      <c r="G3073" t="n">
        <v>0.6</v>
      </c>
      <c r="H3073" t="n">
        <v>0</v>
      </c>
      <c r="I3073" t="n">
        <v>0</v>
      </c>
      <c r="J3073" t="n">
        <v>0</v>
      </c>
      <c r="K3073" t="n">
        <v>0</v>
      </c>
      <c r="L3073" t="n">
        <v>0</v>
      </c>
      <c r="M3073" t="n">
        <v>0</v>
      </c>
      <c r="N3073" t="n">
        <v>0</v>
      </c>
      <c r="O3073" t="n">
        <v>0</v>
      </c>
      <c r="P3073" t="n">
        <v>0</v>
      </c>
      <c r="Q3073" t="n">
        <v>0</v>
      </c>
      <c r="R3073" s="2" t="inlineStr"/>
    </row>
    <row r="3074" ht="15" customHeight="1">
      <c r="A3074" t="inlineStr">
        <is>
          <t>A 38082-2020</t>
        </is>
      </c>
      <c r="B3074" s="1" t="n">
        <v>44057</v>
      </c>
      <c r="C3074" s="1" t="n">
        <v>45182</v>
      </c>
      <c r="D3074" t="inlineStr">
        <is>
          <t>JÄMTLANDS LÄN</t>
        </is>
      </c>
      <c r="E3074" t="inlineStr">
        <is>
          <t>BRÄCKE</t>
        </is>
      </c>
      <c r="F3074" t="inlineStr">
        <is>
          <t>SCA</t>
        </is>
      </c>
      <c r="G3074" t="n">
        <v>4</v>
      </c>
      <c r="H3074" t="n">
        <v>0</v>
      </c>
      <c r="I3074" t="n">
        <v>0</v>
      </c>
      <c r="J3074" t="n">
        <v>0</v>
      </c>
      <c r="K3074" t="n">
        <v>0</v>
      </c>
      <c r="L3074" t="n">
        <v>0</v>
      </c>
      <c r="M3074" t="n">
        <v>0</v>
      </c>
      <c r="N3074" t="n">
        <v>0</v>
      </c>
      <c r="O3074" t="n">
        <v>0</v>
      </c>
      <c r="P3074" t="n">
        <v>0</v>
      </c>
      <c r="Q3074" t="n">
        <v>0</v>
      </c>
      <c r="R3074" s="2" t="inlineStr"/>
    </row>
    <row r="3075" ht="15" customHeight="1">
      <c r="A3075" t="inlineStr">
        <is>
          <t>A 38101-2020</t>
        </is>
      </c>
      <c r="B3075" s="1" t="n">
        <v>44057</v>
      </c>
      <c r="C3075" s="1" t="n">
        <v>45182</v>
      </c>
      <c r="D3075" t="inlineStr">
        <is>
          <t>JÄMTLANDS LÄN</t>
        </is>
      </c>
      <c r="E3075" t="inlineStr">
        <is>
          <t>BRÄCKE</t>
        </is>
      </c>
      <c r="F3075" t="inlineStr">
        <is>
          <t>SCA</t>
        </is>
      </c>
      <c r="G3075" t="n">
        <v>2.9</v>
      </c>
      <c r="H3075" t="n">
        <v>0</v>
      </c>
      <c r="I3075" t="n">
        <v>0</v>
      </c>
      <c r="J3075" t="n">
        <v>0</v>
      </c>
      <c r="K3075" t="n">
        <v>0</v>
      </c>
      <c r="L3075" t="n">
        <v>0</v>
      </c>
      <c r="M3075" t="n">
        <v>0</v>
      </c>
      <c r="N3075" t="n">
        <v>0</v>
      </c>
      <c r="O3075" t="n">
        <v>0</v>
      </c>
      <c r="P3075" t="n">
        <v>0</v>
      </c>
      <c r="Q3075" t="n">
        <v>0</v>
      </c>
      <c r="R3075" s="2" t="inlineStr"/>
    </row>
    <row r="3076" ht="15" customHeight="1">
      <c r="A3076" t="inlineStr">
        <is>
          <t>A 38070-2020</t>
        </is>
      </c>
      <c r="B3076" s="1" t="n">
        <v>44057</v>
      </c>
      <c r="C3076" s="1" t="n">
        <v>45182</v>
      </c>
      <c r="D3076" t="inlineStr">
        <is>
          <t>JÄMTLANDS LÄN</t>
        </is>
      </c>
      <c r="E3076" t="inlineStr">
        <is>
          <t>STRÖMSUND</t>
        </is>
      </c>
      <c r="F3076" t="inlineStr">
        <is>
          <t>SCA</t>
        </is>
      </c>
      <c r="G3076" t="n">
        <v>3.2</v>
      </c>
      <c r="H3076" t="n">
        <v>0</v>
      </c>
      <c r="I3076" t="n">
        <v>0</v>
      </c>
      <c r="J3076" t="n">
        <v>0</v>
      </c>
      <c r="K3076" t="n">
        <v>0</v>
      </c>
      <c r="L3076" t="n">
        <v>0</v>
      </c>
      <c r="M3076" t="n">
        <v>0</v>
      </c>
      <c r="N3076" t="n">
        <v>0</v>
      </c>
      <c r="O3076" t="n">
        <v>0</v>
      </c>
      <c r="P3076" t="n">
        <v>0</v>
      </c>
      <c r="Q3076" t="n">
        <v>0</v>
      </c>
      <c r="R3076" s="2" t="inlineStr"/>
    </row>
    <row r="3077" ht="15" customHeight="1">
      <c r="A3077" t="inlineStr">
        <is>
          <t>A 38084-2020</t>
        </is>
      </c>
      <c r="B3077" s="1" t="n">
        <v>44057</v>
      </c>
      <c r="C3077" s="1" t="n">
        <v>45182</v>
      </c>
      <c r="D3077" t="inlineStr">
        <is>
          <t>JÄMTLANDS LÄN</t>
        </is>
      </c>
      <c r="E3077" t="inlineStr">
        <is>
          <t>BRÄCKE</t>
        </is>
      </c>
      <c r="F3077" t="inlineStr">
        <is>
          <t>SCA</t>
        </is>
      </c>
      <c r="G3077" t="n">
        <v>1.4</v>
      </c>
      <c r="H3077" t="n">
        <v>0</v>
      </c>
      <c r="I3077" t="n">
        <v>0</v>
      </c>
      <c r="J3077" t="n">
        <v>0</v>
      </c>
      <c r="K3077" t="n">
        <v>0</v>
      </c>
      <c r="L3077" t="n">
        <v>0</v>
      </c>
      <c r="M3077" t="n">
        <v>0</v>
      </c>
      <c r="N3077" t="n">
        <v>0</v>
      </c>
      <c r="O3077" t="n">
        <v>0</v>
      </c>
      <c r="P3077" t="n">
        <v>0</v>
      </c>
      <c r="Q3077" t="n">
        <v>0</v>
      </c>
      <c r="R3077" s="2" t="inlineStr"/>
    </row>
    <row r="3078" ht="15" customHeight="1">
      <c r="A3078" t="inlineStr">
        <is>
          <t>A 38105-2020</t>
        </is>
      </c>
      <c r="B3078" s="1" t="n">
        <v>44057</v>
      </c>
      <c r="C3078" s="1" t="n">
        <v>45182</v>
      </c>
      <c r="D3078" t="inlineStr">
        <is>
          <t>JÄMTLANDS LÄN</t>
        </is>
      </c>
      <c r="E3078" t="inlineStr">
        <is>
          <t>BRÄCKE</t>
        </is>
      </c>
      <c r="F3078" t="inlineStr">
        <is>
          <t>SCA</t>
        </is>
      </c>
      <c r="G3078" t="n">
        <v>1.4</v>
      </c>
      <c r="H3078" t="n">
        <v>0</v>
      </c>
      <c r="I3078" t="n">
        <v>0</v>
      </c>
      <c r="J3078" t="n">
        <v>0</v>
      </c>
      <c r="K3078" t="n">
        <v>0</v>
      </c>
      <c r="L3078" t="n">
        <v>0</v>
      </c>
      <c r="M3078" t="n">
        <v>0</v>
      </c>
      <c r="N3078" t="n">
        <v>0</v>
      </c>
      <c r="O3078" t="n">
        <v>0</v>
      </c>
      <c r="P3078" t="n">
        <v>0</v>
      </c>
      <c r="Q3078" t="n">
        <v>0</v>
      </c>
      <c r="R3078" s="2" t="inlineStr"/>
    </row>
    <row r="3079" ht="15" customHeight="1">
      <c r="A3079" t="inlineStr">
        <is>
          <t>A 38001-2020</t>
        </is>
      </c>
      <c r="B3079" s="1" t="n">
        <v>44057</v>
      </c>
      <c r="C3079" s="1" t="n">
        <v>45182</v>
      </c>
      <c r="D3079" t="inlineStr">
        <is>
          <t>JÄMTLANDS LÄN</t>
        </is>
      </c>
      <c r="E3079" t="inlineStr">
        <is>
          <t>KROKOM</t>
        </is>
      </c>
      <c r="G3079" t="n">
        <v>0.9</v>
      </c>
      <c r="H3079" t="n">
        <v>0</v>
      </c>
      <c r="I3079" t="n">
        <v>0</v>
      </c>
      <c r="J3079" t="n">
        <v>0</v>
      </c>
      <c r="K3079" t="n">
        <v>0</v>
      </c>
      <c r="L3079" t="n">
        <v>0</v>
      </c>
      <c r="M3079" t="n">
        <v>0</v>
      </c>
      <c r="N3079" t="n">
        <v>0</v>
      </c>
      <c r="O3079" t="n">
        <v>0</v>
      </c>
      <c r="P3079" t="n">
        <v>0</v>
      </c>
      <c r="Q3079" t="n">
        <v>0</v>
      </c>
      <c r="R3079" s="2" t="inlineStr"/>
    </row>
    <row r="3080" ht="15" customHeight="1">
      <c r="A3080" t="inlineStr">
        <is>
          <t>A 38099-2020</t>
        </is>
      </c>
      <c r="B3080" s="1" t="n">
        <v>44057</v>
      </c>
      <c r="C3080" s="1" t="n">
        <v>45182</v>
      </c>
      <c r="D3080" t="inlineStr">
        <is>
          <t>JÄMTLANDS LÄN</t>
        </is>
      </c>
      <c r="E3080" t="inlineStr">
        <is>
          <t>ÖSTERSUND</t>
        </is>
      </c>
      <c r="F3080" t="inlineStr">
        <is>
          <t>SCA</t>
        </is>
      </c>
      <c r="G3080" t="n">
        <v>5.5</v>
      </c>
      <c r="H3080" t="n">
        <v>0</v>
      </c>
      <c r="I3080" t="n">
        <v>0</v>
      </c>
      <c r="J3080" t="n">
        <v>0</v>
      </c>
      <c r="K3080" t="n">
        <v>0</v>
      </c>
      <c r="L3080" t="n">
        <v>0</v>
      </c>
      <c r="M3080" t="n">
        <v>0</v>
      </c>
      <c r="N3080" t="n">
        <v>0</v>
      </c>
      <c r="O3080" t="n">
        <v>0</v>
      </c>
      <c r="P3080" t="n">
        <v>0</v>
      </c>
      <c r="Q3080" t="n">
        <v>0</v>
      </c>
      <c r="R3080" s="2" t="inlineStr"/>
    </row>
    <row r="3081" ht="15" customHeight="1">
      <c r="A3081" t="inlineStr">
        <is>
          <t>A 38107-2020</t>
        </is>
      </c>
      <c r="B3081" s="1" t="n">
        <v>44057</v>
      </c>
      <c r="C3081" s="1" t="n">
        <v>45182</v>
      </c>
      <c r="D3081" t="inlineStr">
        <is>
          <t>JÄMTLANDS LÄN</t>
        </is>
      </c>
      <c r="E3081" t="inlineStr">
        <is>
          <t>HÄRJEDALEN</t>
        </is>
      </c>
      <c r="F3081" t="inlineStr">
        <is>
          <t>SCA</t>
        </is>
      </c>
      <c r="G3081" t="n">
        <v>3.5</v>
      </c>
      <c r="H3081" t="n">
        <v>0</v>
      </c>
      <c r="I3081" t="n">
        <v>0</v>
      </c>
      <c r="J3081" t="n">
        <v>0</v>
      </c>
      <c r="K3081" t="n">
        <v>0</v>
      </c>
      <c r="L3081" t="n">
        <v>0</v>
      </c>
      <c r="M3081" t="n">
        <v>0</v>
      </c>
      <c r="N3081" t="n">
        <v>0</v>
      </c>
      <c r="O3081" t="n">
        <v>0</v>
      </c>
      <c r="P3081" t="n">
        <v>0</v>
      </c>
      <c r="Q3081" t="n">
        <v>0</v>
      </c>
      <c r="R3081" s="2" t="inlineStr"/>
    </row>
    <row r="3082" ht="15" customHeight="1">
      <c r="A3082" t="inlineStr">
        <is>
          <t>A 38454-2020</t>
        </is>
      </c>
      <c r="B3082" s="1" t="n">
        <v>44060</v>
      </c>
      <c r="C3082" s="1" t="n">
        <v>45182</v>
      </c>
      <c r="D3082" t="inlineStr">
        <is>
          <t>JÄMTLANDS LÄN</t>
        </is>
      </c>
      <c r="E3082" t="inlineStr">
        <is>
          <t>ÅRE</t>
        </is>
      </c>
      <c r="G3082" t="n">
        <v>6.9</v>
      </c>
      <c r="H3082" t="n">
        <v>0</v>
      </c>
      <c r="I3082" t="n">
        <v>0</v>
      </c>
      <c r="J3082" t="n">
        <v>0</v>
      </c>
      <c r="K3082" t="n">
        <v>0</v>
      </c>
      <c r="L3082" t="n">
        <v>0</v>
      </c>
      <c r="M3082" t="n">
        <v>0</v>
      </c>
      <c r="N3082" t="n">
        <v>0</v>
      </c>
      <c r="O3082" t="n">
        <v>0</v>
      </c>
      <c r="P3082" t="n">
        <v>0</v>
      </c>
      <c r="Q3082" t="n">
        <v>0</v>
      </c>
      <c r="R3082" s="2" t="inlineStr"/>
    </row>
    <row r="3083" ht="15" customHeight="1">
      <c r="A3083" t="inlineStr">
        <is>
          <t>A 38459-2020</t>
        </is>
      </c>
      <c r="B3083" s="1" t="n">
        <v>44060</v>
      </c>
      <c r="C3083" s="1" t="n">
        <v>45182</v>
      </c>
      <c r="D3083" t="inlineStr">
        <is>
          <t>JÄMTLANDS LÄN</t>
        </is>
      </c>
      <c r="E3083" t="inlineStr">
        <is>
          <t>BRÄCKE</t>
        </is>
      </c>
      <c r="G3083" t="n">
        <v>4.9</v>
      </c>
      <c r="H3083" t="n">
        <v>0</v>
      </c>
      <c r="I3083" t="n">
        <v>0</v>
      </c>
      <c r="J3083" t="n">
        <v>0</v>
      </c>
      <c r="K3083" t="n">
        <v>0</v>
      </c>
      <c r="L3083" t="n">
        <v>0</v>
      </c>
      <c r="M3083" t="n">
        <v>0</v>
      </c>
      <c r="N3083" t="n">
        <v>0</v>
      </c>
      <c r="O3083" t="n">
        <v>0</v>
      </c>
      <c r="P3083" t="n">
        <v>0</v>
      </c>
      <c r="Q3083" t="n">
        <v>0</v>
      </c>
      <c r="R3083" s="2" t="inlineStr"/>
    </row>
    <row r="3084" ht="15" customHeight="1">
      <c r="A3084" t="inlineStr">
        <is>
          <t>A 38484-2020</t>
        </is>
      </c>
      <c r="B3084" s="1" t="n">
        <v>44060</v>
      </c>
      <c r="C3084" s="1" t="n">
        <v>45182</v>
      </c>
      <c r="D3084" t="inlineStr">
        <is>
          <t>JÄMTLANDS LÄN</t>
        </is>
      </c>
      <c r="E3084" t="inlineStr">
        <is>
          <t>STRÖMSUND</t>
        </is>
      </c>
      <c r="F3084" t="inlineStr">
        <is>
          <t>SCA</t>
        </is>
      </c>
      <c r="G3084" t="n">
        <v>3.2</v>
      </c>
      <c r="H3084" t="n">
        <v>0</v>
      </c>
      <c r="I3084" t="n">
        <v>0</v>
      </c>
      <c r="J3084" t="n">
        <v>0</v>
      </c>
      <c r="K3084" t="n">
        <v>0</v>
      </c>
      <c r="L3084" t="n">
        <v>0</v>
      </c>
      <c r="M3084" t="n">
        <v>0</v>
      </c>
      <c r="N3084" t="n">
        <v>0</v>
      </c>
      <c r="O3084" t="n">
        <v>0</v>
      </c>
      <c r="P3084" t="n">
        <v>0</v>
      </c>
      <c r="Q3084" t="n">
        <v>0</v>
      </c>
      <c r="R3084" s="2" t="inlineStr"/>
    </row>
    <row r="3085" ht="15" customHeight="1">
      <c r="A3085" t="inlineStr">
        <is>
          <t>A 38266-2020</t>
        </is>
      </c>
      <c r="B3085" s="1" t="n">
        <v>44060</v>
      </c>
      <c r="C3085" s="1" t="n">
        <v>45182</v>
      </c>
      <c r="D3085" t="inlineStr">
        <is>
          <t>JÄMTLANDS LÄN</t>
        </is>
      </c>
      <c r="E3085" t="inlineStr">
        <is>
          <t>STRÖMSUND</t>
        </is>
      </c>
      <c r="G3085" t="n">
        <v>2.5</v>
      </c>
      <c r="H3085" t="n">
        <v>0</v>
      </c>
      <c r="I3085" t="n">
        <v>0</v>
      </c>
      <c r="J3085" t="n">
        <v>0</v>
      </c>
      <c r="K3085" t="n">
        <v>0</v>
      </c>
      <c r="L3085" t="n">
        <v>0</v>
      </c>
      <c r="M3085" t="n">
        <v>0</v>
      </c>
      <c r="N3085" t="n">
        <v>0</v>
      </c>
      <c r="O3085" t="n">
        <v>0</v>
      </c>
      <c r="P3085" t="n">
        <v>0</v>
      </c>
      <c r="Q3085" t="n">
        <v>0</v>
      </c>
      <c r="R3085" s="2" t="inlineStr"/>
    </row>
    <row r="3086" ht="15" customHeight="1">
      <c r="A3086" t="inlineStr">
        <is>
          <t>A 38455-2020</t>
        </is>
      </c>
      <c r="B3086" s="1" t="n">
        <v>44060</v>
      </c>
      <c r="C3086" s="1" t="n">
        <v>45182</v>
      </c>
      <c r="D3086" t="inlineStr">
        <is>
          <t>JÄMTLANDS LÄN</t>
        </is>
      </c>
      <c r="E3086" t="inlineStr">
        <is>
          <t>ÅRE</t>
        </is>
      </c>
      <c r="G3086" t="n">
        <v>2.1</v>
      </c>
      <c r="H3086" t="n">
        <v>0</v>
      </c>
      <c r="I3086" t="n">
        <v>0</v>
      </c>
      <c r="J3086" t="n">
        <v>0</v>
      </c>
      <c r="K3086" t="n">
        <v>0</v>
      </c>
      <c r="L3086" t="n">
        <v>0</v>
      </c>
      <c r="M3086" t="n">
        <v>0</v>
      </c>
      <c r="N3086" t="n">
        <v>0</v>
      </c>
      <c r="O3086" t="n">
        <v>0</v>
      </c>
      <c r="P3086" t="n">
        <v>0</v>
      </c>
      <c r="Q3086" t="n">
        <v>0</v>
      </c>
      <c r="R3086" s="2" t="inlineStr"/>
    </row>
    <row r="3087" ht="15" customHeight="1">
      <c r="A3087" t="inlineStr">
        <is>
          <t>A 38467-2020</t>
        </is>
      </c>
      <c r="B3087" s="1" t="n">
        <v>44060</v>
      </c>
      <c r="C3087" s="1" t="n">
        <v>45182</v>
      </c>
      <c r="D3087" t="inlineStr">
        <is>
          <t>JÄMTLANDS LÄN</t>
        </is>
      </c>
      <c r="E3087" t="inlineStr">
        <is>
          <t>STRÖMSUND</t>
        </is>
      </c>
      <c r="F3087" t="inlineStr">
        <is>
          <t>SCA</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38485-2020</t>
        </is>
      </c>
      <c r="B3088" s="1" t="n">
        <v>44060</v>
      </c>
      <c r="C3088" s="1" t="n">
        <v>45182</v>
      </c>
      <c r="D3088" t="inlineStr">
        <is>
          <t>JÄMTLANDS LÄN</t>
        </is>
      </c>
      <c r="E3088" t="inlineStr">
        <is>
          <t>STRÖMSUND</t>
        </is>
      </c>
      <c r="F3088" t="inlineStr">
        <is>
          <t>SCA</t>
        </is>
      </c>
      <c r="G3088" t="n">
        <v>2.9</v>
      </c>
      <c r="H3088" t="n">
        <v>0</v>
      </c>
      <c r="I3088" t="n">
        <v>0</v>
      </c>
      <c r="J3088" t="n">
        <v>0</v>
      </c>
      <c r="K3088" t="n">
        <v>0</v>
      </c>
      <c r="L3088" t="n">
        <v>0</v>
      </c>
      <c r="M3088" t="n">
        <v>0</v>
      </c>
      <c r="N3088" t="n">
        <v>0</v>
      </c>
      <c r="O3088" t="n">
        <v>0</v>
      </c>
      <c r="P3088" t="n">
        <v>0</v>
      </c>
      <c r="Q3088" t="n">
        <v>0</v>
      </c>
      <c r="R3088" s="2" t="inlineStr"/>
    </row>
    <row r="3089" ht="15" customHeight="1">
      <c r="A3089" t="inlineStr">
        <is>
          <t>A 38261-2020</t>
        </is>
      </c>
      <c r="B3089" s="1" t="n">
        <v>44060</v>
      </c>
      <c r="C3089" s="1" t="n">
        <v>45182</v>
      </c>
      <c r="D3089" t="inlineStr">
        <is>
          <t>JÄMTLANDS LÄN</t>
        </is>
      </c>
      <c r="E3089" t="inlineStr">
        <is>
          <t>STRÖMSUND</t>
        </is>
      </c>
      <c r="G3089" t="n">
        <v>2.8</v>
      </c>
      <c r="H3089" t="n">
        <v>0</v>
      </c>
      <c r="I3089" t="n">
        <v>0</v>
      </c>
      <c r="J3089" t="n">
        <v>0</v>
      </c>
      <c r="K3089" t="n">
        <v>0</v>
      </c>
      <c r="L3089" t="n">
        <v>0</v>
      </c>
      <c r="M3089" t="n">
        <v>0</v>
      </c>
      <c r="N3089" t="n">
        <v>0</v>
      </c>
      <c r="O3089" t="n">
        <v>0</v>
      </c>
      <c r="P3089" t="n">
        <v>0</v>
      </c>
      <c r="Q3089" t="n">
        <v>0</v>
      </c>
      <c r="R3089" s="2" t="inlineStr"/>
    </row>
    <row r="3090" ht="15" customHeight="1">
      <c r="A3090" t="inlineStr">
        <is>
          <t>A 38268-2020</t>
        </is>
      </c>
      <c r="B3090" s="1" t="n">
        <v>44060</v>
      </c>
      <c r="C3090" s="1" t="n">
        <v>45182</v>
      </c>
      <c r="D3090" t="inlineStr">
        <is>
          <t>JÄMTLANDS LÄN</t>
        </is>
      </c>
      <c r="E3090" t="inlineStr">
        <is>
          <t>STRÖMSUND</t>
        </is>
      </c>
      <c r="G3090" t="n">
        <v>6.4</v>
      </c>
      <c r="H3090" t="n">
        <v>0</v>
      </c>
      <c r="I3090" t="n">
        <v>0</v>
      </c>
      <c r="J3090" t="n">
        <v>0</v>
      </c>
      <c r="K3090" t="n">
        <v>0</v>
      </c>
      <c r="L3090" t="n">
        <v>0</v>
      </c>
      <c r="M3090" t="n">
        <v>0</v>
      </c>
      <c r="N3090" t="n">
        <v>0</v>
      </c>
      <c r="O3090" t="n">
        <v>0</v>
      </c>
      <c r="P3090" t="n">
        <v>0</v>
      </c>
      <c r="Q3090" t="n">
        <v>0</v>
      </c>
      <c r="R3090" s="2" t="inlineStr"/>
    </row>
    <row r="3091" ht="15" customHeight="1">
      <c r="A3091" t="inlineStr">
        <is>
          <t>A 38403-2020</t>
        </is>
      </c>
      <c r="B3091" s="1" t="n">
        <v>44060</v>
      </c>
      <c r="C3091" s="1" t="n">
        <v>45182</v>
      </c>
      <c r="D3091" t="inlineStr">
        <is>
          <t>JÄMTLANDS LÄN</t>
        </is>
      </c>
      <c r="E3091" t="inlineStr">
        <is>
          <t>HÄRJEDALEN</t>
        </is>
      </c>
      <c r="G3091" t="n">
        <v>4.7</v>
      </c>
      <c r="H3091" t="n">
        <v>0</v>
      </c>
      <c r="I3091" t="n">
        <v>0</v>
      </c>
      <c r="J3091" t="n">
        <v>0</v>
      </c>
      <c r="K3091" t="n">
        <v>0</v>
      </c>
      <c r="L3091" t="n">
        <v>0</v>
      </c>
      <c r="M3091" t="n">
        <v>0</v>
      </c>
      <c r="N3091" t="n">
        <v>0</v>
      </c>
      <c r="O3091" t="n">
        <v>0</v>
      </c>
      <c r="P3091" t="n">
        <v>0</v>
      </c>
      <c r="Q3091" t="n">
        <v>0</v>
      </c>
      <c r="R3091" s="2" t="inlineStr"/>
    </row>
    <row r="3092" ht="15" customHeight="1">
      <c r="A3092" t="inlineStr">
        <is>
          <t>A 38782-2020</t>
        </is>
      </c>
      <c r="B3092" s="1" t="n">
        <v>44061</v>
      </c>
      <c r="C3092" s="1" t="n">
        <v>45182</v>
      </c>
      <c r="D3092" t="inlineStr">
        <is>
          <t>JÄMTLANDS LÄN</t>
        </is>
      </c>
      <c r="E3092" t="inlineStr">
        <is>
          <t>STRÖMSUND</t>
        </is>
      </c>
      <c r="F3092" t="inlineStr">
        <is>
          <t>SCA</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38779-2020</t>
        </is>
      </c>
      <c r="B3093" s="1" t="n">
        <v>44061</v>
      </c>
      <c r="C3093" s="1" t="n">
        <v>45182</v>
      </c>
      <c r="D3093" t="inlineStr">
        <is>
          <t>JÄMTLANDS LÄN</t>
        </is>
      </c>
      <c r="E3093" t="inlineStr">
        <is>
          <t>STRÖMSUND</t>
        </is>
      </c>
      <c r="F3093" t="inlineStr">
        <is>
          <t>SCA</t>
        </is>
      </c>
      <c r="G3093" t="n">
        <v>34.2</v>
      </c>
      <c r="H3093" t="n">
        <v>0</v>
      </c>
      <c r="I3093" t="n">
        <v>0</v>
      </c>
      <c r="J3093" t="n">
        <v>0</v>
      </c>
      <c r="K3093" t="n">
        <v>0</v>
      </c>
      <c r="L3093" t="n">
        <v>0</v>
      </c>
      <c r="M3093" t="n">
        <v>0</v>
      </c>
      <c r="N3093" t="n">
        <v>0</v>
      </c>
      <c r="O3093" t="n">
        <v>0</v>
      </c>
      <c r="P3093" t="n">
        <v>0</v>
      </c>
      <c r="Q3093" t="n">
        <v>0</v>
      </c>
      <c r="R3093" s="2" t="inlineStr"/>
    </row>
    <row r="3094" ht="15" customHeight="1">
      <c r="A3094" t="inlineStr">
        <is>
          <t>A 38787-2020</t>
        </is>
      </c>
      <c r="B3094" s="1" t="n">
        <v>44061</v>
      </c>
      <c r="C3094" s="1" t="n">
        <v>45182</v>
      </c>
      <c r="D3094" t="inlineStr">
        <is>
          <t>JÄMTLANDS LÄN</t>
        </is>
      </c>
      <c r="E3094" t="inlineStr">
        <is>
          <t>BRÄCKE</t>
        </is>
      </c>
      <c r="F3094" t="inlineStr">
        <is>
          <t>SCA</t>
        </is>
      </c>
      <c r="G3094" t="n">
        <v>3.1</v>
      </c>
      <c r="H3094" t="n">
        <v>0</v>
      </c>
      <c r="I3094" t="n">
        <v>0</v>
      </c>
      <c r="J3094" t="n">
        <v>0</v>
      </c>
      <c r="K3094" t="n">
        <v>0</v>
      </c>
      <c r="L3094" t="n">
        <v>0</v>
      </c>
      <c r="M3094" t="n">
        <v>0</v>
      </c>
      <c r="N3094" t="n">
        <v>0</v>
      </c>
      <c r="O3094" t="n">
        <v>0</v>
      </c>
      <c r="P3094" t="n">
        <v>0</v>
      </c>
      <c r="Q3094" t="n">
        <v>0</v>
      </c>
      <c r="R3094" s="2" t="inlineStr"/>
    </row>
    <row r="3095" ht="15" customHeight="1">
      <c r="A3095" t="inlineStr">
        <is>
          <t>A 38720-2020</t>
        </is>
      </c>
      <c r="B3095" s="1" t="n">
        <v>44061</v>
      </c>
      <c r="C3095" s="1" t="n">
        <v>45182</v>
      </c>
      <c r="D3095" t="inlineStr">
        <is>
          <t>JÄMTLANDS LÄN</t>
        </is>
      </c>
      <c r="E3095" t="inlineStr">
        <is>
          <t>KROKOM</t>
        </is>
      </c>
      <c r="G3095" t="n">
        <v>1</v>
      </c>
      <c r="H3095" t="n">
        <v>0</v>
      </c>
      <c r="I3095" t="n">
        <v>0</v>
      </c>
      <c r="J3095" t="n">
        <v>0</v>
      </c>
      <c r="K3095" t="n">
        <v>0</v>
      </c>
      <c r="L3095" t="n">
        <v>0</v>
      </c>
      <c r="M3095" t="n">
        <v>0</v>
      </c>
      <c r="N3095" t="n">
        <v>0</v>
      </c>
      <c r="O3095" t="n">
        <v>0</v>
      </c>
      <c r="P3095" t="n">
        <v>0</v>
      </c>
      <c r="Q3095" t="n">
        <v>0</v>
      </c>
      <c r="R3095" s="2" t="inlineStr"/>
    </row>
    <row r="3096" ht="15" customHeight="1">
      <c r="A3096" t="inlineStr">
        <is>
          <t>A 38780-2020</t>
        </is>
      </c>
      <c r="B3096" s="1" t="n">
        <v>44061</v>
      </c>
      <c r="C3096" s="1" t="n">
        <v>45182</v>
      </c>
      <c r="D3096" t="inlineStr">
        <is>
          <t>JÄMTLANDS LÄN</t>
        </is>
      </c>
      <c r="E3096" t="inlineStr">
        <is>
          <t>STRÖMSUND</t>
        </is>
      </c>
      <c r="F3096" t="inlineStr">
        <is>
          <t>SCA</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38781-2020</t>
        </is>
      </c>
      <c r="B3097" s="1" t="n">
        <v>44061</v>
      </c>
      <c r="C3097" s="1" t="n">
        <v>45182</v>
      </c>
      <c r="D3097" t="inlineStr">
        <is>
          <t>JÄMTLANDS LÄN</t>
        </is>
      </c>
      <c r="E3097" t="inlineStr">
        <is>
          <t>STRÖMSUND</t>
        </is>
      </c>
      <c r="F3097" t="inlineStr">
        <is>
          <t>SCA</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39043-2020</t>
        </is>
      </c>
      <c r="B3098" s="1" t="n">
        <v>44062</v>
      </c>
      <c r="C3098" s="1" t="n">
        <v>45182</v>
      </c>
      <c r="D3098" t="inlineStr">
        <is>
          <t>JÄMTLANDS LÄN</t>
        </is>
      </c>
      <c r="E3098" t="inlineStr">
        <is>
          <t>BRÄCKE</t>
        </is>
      </c>
      <c r="F3098" t="inlineStr">
        <is>
          <t>SCA</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39052-2020</t>
        </is>
      </c>
      <c r="B3099" s="1" t="n">
        <v>44062</v>
      </c>
      <c r="C3099" s="1" t="n">
        <v>45182</v>
      </c>
      <c r="D3099" t="inlineStr">
        <is>
          <t>JÄMTLANDS LÄN</t>
        </is>
      </c>
      <c r="E3099" t="inlineStr">
        <is>
          <t>BRÄCKE</t>
        </is>
      </c>
      <c r="F3099" t="inlineStr">
        <is>
          <t>SCA</t>
        </is>
      </c>
      <c r="G3099" t="n">
        <v>0.6</v>
      </c>
      <c r="H3099" t="n">
        <v>0</v>
      </c>
      <c r="I3099" t="n">
        <v>0</v>
      </c>
      <c r="J3099" t="n">
        <v>0</v>
      </c>
      <c r="K3099" t="n">
        <v>0</v>
      </c>
      <c r="L3099" t="n">
        <v>0</v>
      </c>
      <c r="M3099" t="n">
        <v>0</v>
      </c>
      <c r="N3099" t="n">
        <v>0</v>
      </c>
      <c r="O3099" t="n">
        <v>0</v>
      </c>
      <c r="P3099" t="n">
        <v>0</v>
      </c>
      <c r="Q3099" t="n">
        <v>0</v>
      </c>
      <c r="R3099" s="2" t="inlineStr"/>
    </row>
    <row r="3100" ht="15" customHeight="1">
      <c r="A3100" t="inlineStr">
        <is>
          <t>A 38866-2020</t>
        </is>
      </c>
      <c r="B3100" s="1" t="n">
        <v>44062</v>
      </c>
      <c r="C3100" s="1" t="n">
        <v>45182</v>
      </c>
      <c r="D3100" t="inlineStr">
        <is>
          <t>JÄMTLANDS LÄN</t>
        </is>
      </c>
      <c r="E3100" t="inlineStr">
        <is>
          <t>KROKOM</t>
        </is>
      </c>
      <c r="F3100" t="inlineStr">
        <is>
          <t>Övriga Aktiebolag</t>
        </is>
      </c>
      <c r="G3100" t="n">
        <v>4.6</v>
      </c>
      <c r="H3100" t="n">
        <v>0</v>
      </c>
      <c r="I3100" t="n">
        <v>0</v>
      </c>
      <c r="J3100" t="n">
        <v>0</v>
      </c>
      <c r="K3100" t="n">
        <v>0</v>
      </c>
      <c r="L3100" t="n">
        <v>0</v>
      </c>
      <c r="M3100" t="n">
        <v>0</v>
      </c>
      <c r="N3100" t="n">
        <v>0</v>
      </c>
      <c r="O3100" t="n">
        <v>0</v>
      </c>
      <c r="P3100" t="n">
        <v>0</v>
      </c>
      <c r="Q3100" t="n">
        <v>0</v>
      </c>
      <c r="R3100" s="2" t="inlineStr"/>
    </row>
    <row r="3101" ht="15" customHeight="1">
      <c r="A3101" t="inlineStr">
        <is>
          <t>A 39053-2020</t>
        </is>
      </c>
      <c r="B3101" s="1" t="n">
        <v>44062</v>
      </c>
      <c r="C3101" s="1" t="n">
        <v>45182</v>
      </c>
      <c r="D3101" t="inlineStr">
        <is>
          <t>JÄMTLANDS LÄN</t>
        </is>
      </c>
      <c r="E3101" t="inlineStr">
        <is>
          <t>BRÄCKE</t>
        </is>
      </c>
      <c r="F3101" t="inlineStr">
        <is>
          <t>SCA</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39137-2020</t>
        </is>
      </c>
      <c r="B3102" s="1" t="n">
        <v>44062</v>
      </c>
      <c r="C3102" s="1" t="n">
        <v>45182</v>
      </c>
      <c r="D3102" t="inlineStr">
        <is>
          <t>JÄMTLANDS LÄN</t>
        </is>
      </c>
      <c r="E3102" t="inlineStr">
        <is>
          <t>BERG</t>
        </is>
      </c>
      <c r="G3102" t="n">
        <v>1.2</v>
      </c>
      <c r="H3102" t="n">
        <v>0</v>
      </c>
      <c r="I3102" t="n">
        <v>0</v>
      </c>
      <c r="J3102" t="n">
        <v>0</v>
      </c>
      <c r="K3102" t="n">
        <v>0</v>
      </c>
      <c r="L3102" t="n">
        <v>0</v>
      </c>
      <c r="M3102" t="n">
        <v>0</v>
      </c>
      <c r="N3102" t="n">
        <v>0</v>
      </c>
      <c r="O3102" t="n">
        <v>0</v>
      </c>
      <c r="P3102" t="n">
        <v>0</v>
      </c>
      <c r="Q3102" t="n">
        <v>0</v>
      </c>
      <c r="R3102" s="2" t="inlineStr"/>
    </row>
    <row r="3103" ht="15" customHeight="1">
      <c r="A3103" t="inlineStr">
        <is>
          <t>A 39040-2020</t>
        </is>
      </c>
      <c r="B3103" s="1" t="n">
        <v>44062</v>
      </c>
      <c r="C3103" s="1" t="n">
        <v>45182</v>
      </c>
      <c r="D3103" t="inlineStr">
        <is>
          <t>JÄMTLANDS LÄN</t>
        </is>
      </c>
      <c r="E3103" t="inlineStr">
        <is>
          <t>RAGUNDA</t>
        </is>
      </c>
      <c r="F3103" t="inlineStr">
        <is>
          <t>SCA</t>
        </is>
      </c>
      <c r="G3103" t="n">
        <v>2.4</v>
      </c>
      <c r="H3103" t="n">
        <v>0</v>
      </c>
      <c r="I3103" t="n">
        <v>0</v>
      </c>
      <c r="J3103" t="n">
        <v>0</v>
      </c>
      <c r="K3103" t="n">
        <v>0</v>
      </c>
      <c r="L3103" t="n">
        <v>0</v>
      </c>
      <c r="M3103" t="n">
        <v>0</v>
      </c>
      <c r="N3103" t="n">
        <v>0</v>
      </c>
      <c r="O3103" t="n">
        <v>0</v>
      </c>
      <c r="P3103" t="n">
        <v>0</v>
      </c>
      <c r="Q3103" t="n">
        <v>0</v>
      </c>
      <c r="R3103" s="2" t="inlineStr"/>
    </row>
    <row r="3104" ht="15" customHeight="1">
      <c r="A3104" t="inlineStr">
        <is>
          <t>A 39200-2020</t>
        </is>
      </c>
      <c r="B3104" s="1" t="n">
        <v>44063</v>
      </c>
      <c r="C3104" s="1" t="n">
        <v>45182</v>
      </c>
      <c r="D3104" t="inlineStr">
        <is>
          <t>JÄMTLANDS LÄN</t>
        </is>
      </c>
      <c r="E3104" t="inlineStr">
        <is>
          <t>BERG</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39220-2020</t>
        </is>
      </c>
      <c r="B3105" s="1" t="n">
        <v>44063</v>
      </c>
      <c r="C3105" s="1" t="n">
        <v>45182</v>
      </c>
      <c r="D3105" t="inlineStr">
        <is>
          <t>JÄMTLANDS LÄN</t>
        </is>
      </c>
      <c r="E3105" t="inlineStr">
        <is>
          <t>BERG</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39340-2020</t>
        </is>
      </c>
      <c r="B3106" s="1" t="n">
        <v>44063</v>
      </c>
      <c r="C3106" s="1" t="n">
        <v>45182</v>
      </c>
      <c r="D3106" t="inlineStr">
        <is>
          <t>JÄMTLANDS LÄN</t>
        </is>
      </c>
      <c r="E3106" t="inlineStr">
        <is>
          <t>RAGUNDA</t>
        </is>
      </c>
      <c r="F3106" t="inlineStr">
        <is>
          <t>SCA</t>
        </is>
      </c>
      <c r="G3106" t="n">
        <v>0.9</v>
      </c>
      <c r="H3106" t="n">
        <v>0</v>
      </c>
      <c r="I3106" t="n">
        <v>0</v>
      </c>
      <c r="J3106" t="n">
        <v>0</v>
      </c>
      <c r="K3106" t="n">
        <v>0</v>
      </c>
      <c r="L3106" t="n">
        <v>0</v>
      </c>
      <c r="M3106" t="n">
        <v>0</v>
      </c>
      <c r="N3106" t="n">
        <v>0</v>
      </c>
      <c r="O3106" t="n">
        <v>0</v>
      </c>
      <c r="P3106" t="n">
        <v>0</v>
      </c>
      <c r="Q3106" t="n">
        <v>0</v>
      </c>
      <c r="R3106" s="2" t="inlineStr"/>
    </row>
    <row r="3107" ht="15" customHeight="1">
      <c r="A3107" t="inlineStr">
        <is>
          <t>A 39205-2020</t>
        </is>
      </c>
      <c r="B3107" s="1" t="n">
        <v>44063</v>
      </c>
      <c r="C3107" s="1" t="n">
        <v>45182</v>
      </c>
      <c r="D3107" t="inlineStr">
        <is>
          <t>JÄMTLANDS LÄN</t>
        </is>
      </c>
      <c r="E3107" t="inlineStr">
        <is>
          <t>BERG</t>
        </is>
      </c>
      <c r="G3107" t="n">
        <v>5.3</v>
      </c>
      <c r="H3107" t="n">
        <v>0</v>
      </c>
      <c r="I3107" t="n">
        <v>0</v>
      </c>
      <c r="J3107" t="n">
        <v>0</v>
      </c>
      <c r="K3107" t="n">
        <v>0</v>
      </c>
      <c r="L3107" t="n">
        <v>0</v>
      </c>
      <c r="M3107" t="n">
        <v>0</v>
      </c>
      <c r="N3107" t="n">
        <v>0</v>
      </c>
      <c r="O3107" t="n">
        <v>0</v>
      </c>
      <c r="P3107" t="n">
        <v>0</v>
      </c>
      <c r="Q3107" t="n">
        <v>0</v>
      </c>
      <c r="R3107" s="2" t="inlineStr"/>
    </row>
    <row r="3108" ht="15" customHeight="1">
      <c r="A3108" t="inlineStr">
        <is>
          <t>A 39351-2020</t>
        </is>
      </c>
      <c r="B3108" s="1" t="n">
        <v>44063</v>
      </c>
      <c r="C3108" s="1" t="n">
        <v>45182</v>
      </c>
      <c r="D3108" t="inlineStr">
        <is>
          <t>JÄMTLANDS LÄN</t>
        </is>
      </c>
      <c r="E3108" t="inlineStr">
        <is>
          <t>BRÄCKE</t>
        </is>
      </c>
      <c r="F3108" t="inlineStr">
        <is>
          <t>SCA</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39212-2020</t>
        </is>
      </c>
      <c r="B3109" s="1" t="n">
        <v>44063</v>
      </c>
      <c r="C3109" s="1" t="n">
        <v>45182</v>
      </c>
      <c r="D3109" t="inlineStr">
        <is>
          <t>JÄMTLANDS LÄN</t>
        </is>
      </c>
      <c r="E3109" t="inlineStr">
        <is>
          <t>BERG</t>
        </is>
      </c>
      <c r="G3109" t="n">
        <v>0.9</v>
      </c>
      <c r="H3109" t="n">
        <v>0</v>
      </c>
      <c r="I3109" t="n">
        <v>0</v>
      </c>
      <c r="J3109" t="n">
        <v>0</v>
      </c>
      <c r="K3109" t="n">
        <v>0</v>
      </c>
      <c r="L3109" t="n">
        <v>0</v>
      </c>
      <c r="M3109" t="n">
        <v>0</v>
      </c>
      <c r="N3109" t="n">
        <v>0</v>
      </c>
      <c r="O3109" t="n">
        <v>0</v>
      </c>
      <c r="P3109" t="n">
        <v>0</v>
      </c>
      <c r="Q3109" t="n">
        <v>0</v>
      </c>
      <c r="R3109" s="2" t="inlineStr"/>
    </row>
    <row r="3110" ht="15" customHeight="1">
      <c r="A3110" t="inlineStr">
        <is>
          <t>A 39350-2020</t>
        </is>
      </c>
      <c r="B3110" s="1" t="n">
        <v>44063</v>
      </c>
      <c r="C3110" s="1" t="n">
        <v>45182</v>
      </c>
      <c r="D3110" t="inlineStr">
        <is>
          <t>JÄMTLANDS LÄN</t>
        </is>
      </c>
      <c r="E3110" t="inlineStr">
        <is>
          <t>BRÄCKE</t>
        </is>
      </c>
      <c r="F3110" t="inlineStr">
        <is>
          <t>SCA</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39228-2020</t>
        </is>
      </c>
      <c r="B3111" s="1" t="n">
        <v>44063</v>
      </c>
      <c r="C3111" s="1" t="n">
        <v>45182</v>
      </c>
      <c r="D3111" t="inlineStr">
        <is>
          <t>JÄMTLANDS LÄN</t>
        </is>
      </c>
      <c r="E3111" t="inlineStr">
        <is>
          <t>BERG</t>
        </is>
      </c>
      <c r="G3111" t="n">
        <v>3.6</v>
      </c>
      <c r="H3111" t="n">
        <v>0</v>
      </c>
      <c r="I3111" t="n">
        <v>0</v>
      </c>
      <c r="J3111" t="n">
        <v>0</v>
      </c>
      <c r="K3111" t="n">
        <v>0</v>
      </c>
      <c r="L3111" t="n">
        <v>0</v>
      </c>
      <c r="M3111" t="n">
        <v>0</v>
      </c>
      <c r="N3111" t="n">
        <v>0</v>
      </c>
      <c r="O3111" t="n">
        <v>0</v>
      </c>
      <c r="P3111" t="n">
        <v>0</v>
      </c>
      <c r="Q3111" t="n">
        <v>0</v>
      </c>
      <c r="R3111" s="2" t="inlineStr"/>
    </row>
    <row r="3112" ht="15" customHeight="1">
      <c r="A3112" t="inlineStr">
        <is>
          <t>A 39337-2020</t>
        </is>
      </c>
      <c r="B3112" s="1" t="n">
        <v>44063</v>
      </c>
      <c r="C3112" s="1" t="n">
        <v>45182</v>
      </c>
      <c r="D3112" t="inlineStr">
        <is>
          <t>JÄMTLANDS LÄN</t>
        </is>
      </c>
      <c r="E3112" t="inlineStr">
        <is>
          <t>BRÄCKE</t>
        </is>
      </c>
      <c r="F3112" t="inlineStr">
        <is>
          <t>SCA</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39396-2020</t>
        </is>
      </c>
      <c r="B3113" s="1" t="n">
        <v>44064</v>
      </c>
      <c r="C3113" s="1" t="n">
        <v>45182</v>
      </c>
      <c r="D3113" t="inlineStr">
        <is>
          <t>JÄMTLANDS LÄN</t>
        </is>
      </c>
      <c r="E3113" t="inlineStr">
        <is>
          <t>STRÖMSUND</t>
        </is>
      </c>
      <c r="F3113" t="inlineStr">
        <is>
          <t>Holmen skog AB</t>
        </is>
      </c>
      <c r="G3113" t="n">
        <v>7.2</v>
      </c>
      <c r="H3113" t="n">
        <v>0</v>
      </c>
      <c r="I3113" t="n">
        <v>0</v>
      </c>
      <c r="J3113" t="n">
        <v>0</v>
      </c>
      <c r="K3113" t="n">
        <v>0</v>
      </c>
      <c r="L3113" t="n">
        <v>0</v>
      </c>
      <c r="M3113" t="n">
        <v>0</v>
      </c>
      <c r="N3113" t="n">
        <v>0</v>
      </c>
      <c r="O3113" t="n">
        <v>0</v>
      </c>
      <c r="P3113" t="n">
        <v>0</v>
      </c>
      <c r="Q3113" t="n">
        <v>0</v>
      </c>
      <c r="R3113" s="2" t="inlineStr"/>
    </row>
    <row r="3114" ht="15" customHeight="1">
      <c r="A3114" t="inlineStr">
        <is>
          <t>A 39397-2020</t>
        </is>
      </c>
      <c r="B3114" s="1" t="n">
        <v>44064</v>
      </c>
      <c r="C3114" s="1" t="n">
        <v>45182</v>
      </c>
      <c r="D3114" t="inlineStr">
        <is>
          <t>JÄMTLANDS LÄN</t>
        </is>
      </c>
      <c r="E3114" t="inlineStr">
        <is>
          <t>STRÖMSUND</t>
        </is>
      </c>
      <c r="G3114" t="n">
        <v>6.1</v>
      </c>
      <c r="H3114" t="n">
        <v>0</v>
      </c>
      <c r="I3114" t="n">
        <v>0</v>
      </c>
      <c r="J3114" t="n">
        <v>0</v>
      </c>
      <c r="K3114" t="n">
        <v>0</v>
      </c>
      <c r="L3114" t="n">
        <v>0</v>
      </c>
      <c r="M3114" t="n">
        <v>0</v>
      </c>
      <c r="N3114" t="n">
        <v>0</v>
      </c>
      <c r="O3114" t="n">
        <v>0</v>
      </c>
      <c r="P3114" t="n">
        <v>0</v>
      </c>
      <c r="Q3114" t="n">
        <v>0</v>
      </c>
      <c r="R3114" s="2" t="inlineStr"/>
    </row>
    <row r="3115" ht="15" customHeight="1">
      <c r="A3115" t="inlineStr">
        <is>
          <t>A 40083-2020</t>
        </is>
      </c>
      <c r="B3115" s="1" t="n">
        <v>44067</v>
      </c>
      <c r="C3115" s="1" t="n">
        <v>45182</v>
      </c>
      <c r="D3115" t="inlineStr">
        <is>
          <t>JÄMTLANDS LÄN</t>
        </is>
      </c>
      <c r="E3115" t="inlineStr">
        <is>
          <t>BRÄCKE</t>
        </is>
      </c>
      <c r="F3115" t="inlineStr">
        <is>
          <t>SCA</t>
        </is>
      </c>
      <c r="G3115" t="n">
        <v>3</v>
      </c>
      <c r="H3115" t="n">
        <v>0</v>
      </c>
      <c r="I3115" t="n">
        <v>0</v>
      </c>
      <c r="J3115" t="n">
        <v>0</v>
      </c>
      <c r="K3115" t="n">
        <v>0</v>
      </c>
      <c r="L3115" t="n">
        <v>0</v>
      </c>
      <c r="M3115" t="n">
        <v>0</v>
      </c>
      <c r="N3115" t="n">
        <v>0</v>
      </c>
      <c r="O3115" t="n">
        <v>0</v>
      </c>
      <c r="P3115" t="n">
        <v>0</v>
      </c>
      <c r="Q3115" t="n">
        <v>0</v>
      </c>
      <c r="R3115" s="2" t="inlineStr"/>
    </row>
    <row r="3116" ht="15" customHeight="1">
      <c r="A3116" t="inlineStr">
        <is>
          <t>A 39998-2020</t>
        </is>
      </c>
      <c r="B3116" s="1" t="n">
        <v>44067</v>
      </c>
      <c r="C3116" s="1" t="n">
        <v>45182</v>
      </c>
      <c r="D3116" t="inlineStr">
        <is>
          <t>JÄMTLANDS LÄN</t>
        </is>
      </c>
      <c r="E3116" t="inlineStr">
        <is>
          <t>BRÄCKE</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40051-2020</t>
        </is>
      </c>
      <c r="B3117" s="1" t="n">
        <v>44067</v>
      </c>
      <c r="C3117" s="1" t="n">
        <v>45182</v>
      </c>
      <c r="D3117" t="inlineStr">
        <is>
          <t>JÄMTLANDS LÄN</t>
        </is>
      </c>
      <c r="E3117" t="inlineStr">
        <is>
          <t>RAGUNDA</t>
        </is>
      </c>
      <c r="F3117" t="inlineStr">
        <is>
          <t>SCA</t>
        </is>
      </c>
      <c r="G3117" t="n">
        <v>5.7</v>
      </c>
      <c r="H3117" t="n">
        <v>0</v>
      </c>
      <c r="I3117" t="n">
        <v>0</v>
      </c>
      <c r="J3117" t="n">
        <v>0</v>
      </c>
      <c r="K3117" t="n">
        <v>0</v>
      </c>
      <c r="L3117" t="n">
        <v>0</v>
      </c>
      <c r="M3117" t="n">
        <v>0</v>
      </c>
      <c r="N3117" t="n">
        <v>0</v>
      </c>
      <c r="O3117" t="n">
        <v>0</v>
      </c>
      <c r="P3117" t="n">
        <v>0</v>
      </c>
      <c r="Q3117" t="n">
        <v>0</v>
      </c>
      <c r="R3117" s="2" t="inlineStr"/>
    </row>
    <row r="3118" ht="15" customHeight="1">
      <c r="A3118" t="inlineStr">
        <is>
          <t>A 40080-2020</t>
        </is>
      </c>
      <c r="B3118" s="1" t="n">
        <v>44067</v>
      </c>
      <c r="C3118" s="1" t="n">
        <v>45182</v>
      </c>
      <c r="D3118" t="inlineStr">
        <is>
          <t>JÄMTLANDS LÄN</t>
        </is>
      </c>
      <c r="E3118" t="inlineStr">
        <is>
          <t>STRÖMSUND</t>
        </is>
      </c>
      <c r="F3118" t="inlineStr">
        <is>
          <t>SCA</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40387-2020</t>
        </is>
      </c>
      <c r="B3119" s="1" t="n">
        <v>44068</v>
      </c>
      <c r="C3119" s="1" t="n">
        <v>45182</v>
      </c>
      <c r="D3119" t="inlineStr">
        <is>
          <t>JÄMTLANDS LÄN</t>
        </is>
      </c>
      <c r="E3119" t="inlineStr">
        <is>
          <t>BRÄCKE</t>
        </is>
      </c>
      <c r="F3119" t="inlineStr">
        <is>
          <t>SCA</t>
        </is>
      </c>
      <c r="G3119" t="n">
        <v>5.2</v>
      </c>
      <c r="H3119" t="n">
        <v>0</v>
      </c>
      <c r="I3119" t="n">
        <v>0</v>
      </c>
      <c r="J3119" t="n">
        <v>0</v>
      </c>
      <c r="K3119" t="n">
        <v>0</v>
      </c>
      <c r="L3119" t="n">
        <v>0</v>
      </c>
      <c r="M3119" t="n">
        <v>0</v>
      </c>
      <c r="N3119" t="n">
        <v>0</v>
      </c>
      <c r="O3119" t="n">
        <v>0</v>
      </c>
      <c r="P3119" t="n">
        <v>0</v>
      </c>
      <c r="Q3119" t="n">
        <v>0</v>
      </c>
      <c r="R3119" s="2" t="inlineStr"/>
    </row>
    <row r="3120" ht="15" customHeight="1">
      <c r="A3120" t="inlineStr">
        <is>
          <t>A 40148-2020</t>
        </is>
      </c>
      <c r="B3120" s="1" t="n">
        <v>44068</v>
      </c>
      <c r="C3120" s="1" t="n">
        <v>45182</v>
      </c>
      <c r="D3120" t="inlineStr">
        <is>
          <t>JÄMTLANDS LÄN</t>
        </is>
      </c>
      <c r="E3120" t="inlineStr">
        <is>
          <t>ÅRE</t>
        </is>
      </c>
      <c r="G3120" t="n">
        <v>0.5</v>
      </c>
      <c r="H3120" t="n">
        <v>0</v>
      </c>
      <c r="I3120" t="n">
        <v>0</v>
      </c>
      <c r="J3120" t="n">
        <v>0</v>
      </c>
      <c r="K3120" t="n">
        <v>0</v>
      </c>
      <c r="L3120" t="n">
        <v>0</v>
      </c>
      <c r="M3120" t="n">
        <v>0</v>
      </c>
      <c r="N3120" t="n">
        <v>0</v>
      </c>
      <c r="O3120" t="n">
        <v>0</v>
      </c>
      <c r="P3120" t="n">
        <v>0</v>
      </c>
      <c r="Q3120" t="n">
        <v>0</v>
      </c>
      <c r="R3120" s="2" t="inlineStr"/>
    </row>
    <row r="3121" ht="15" customHeight="1">
      <c r="A3121" t="inlineStr">
        <is>
          <t>A 40333-2020</t>
        </is>
      </c>
      <c r="B3121" s="1" t="n">
        <v>44068</v>
      </c>
      <c r="C3121" s="1" t="n">
        <v>45182</v>
      </c>
      <c r="D3121" t="inlineStr">
        <is>
          <t>JÄMTLANDS LÄN</t>
        </is>
      </c>
      <c r="E3121" t="inlineStr">
        <is>
          <t>BERG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40519-2020</t>
        </is>
      </c>
      <c r="B3122" s="1" t="n">
        <v>44069</v>
      </c>
      <c r="C3122" s="1" t="n">
        <v>45182</v>
      </c>
      <c r="D3122" t="inlineStr">
        <is>
          <t>JÄMTLANDS LÄN</t>
        </is>
      </c>
      <c r="E3122" t="inlineStr">
        <is>
          <t>STRÖMSUND</t>
        </is>
      </c>
      <c r="G3122" t="n">
        <v>11.7</v>
      </c>
      <c r="H3122" t="n">
        <v>0</v>
      </c>
      <c r="I3122" t="n">
        <v>0</v>
      </c>
      <c r="J3122" t="n">
        <v>0</v>
      </c>
      <c r="K3122" t="n">
        <v>0</v>
      </c>
      <c r="L3122" t="n">
        <v>0</v>
      </c>
      <c r="M3122" t="n">
        <v>0</v>
      </c>
      <c r="N3122" t="n">
        <v>0</v>
      </c>
      <c r="O3122" t="n">
        <v>0</v>
      </c>
      <c r="P3122" t="n">
        <v>0</v>
      </c>
      <c r="Q3122" t="n">
        <v>0</v>
      </c>
      <c r="R3122" s="2" t="inlineStr"/>
    </row>
    <row r="3123" ht="15" customHeight="1">
      <c r="A3123" t="inlineStr">
        <is>
          <t>A 40742-2020</t>
        </is>
      </c>
      <c r="B3123" s="1" t="n">
        <v>44069</v>
      </c>
      <c r="C3123" s="1" t="n">
        <v>45182</v>
      </c>
      <c r="D3123" t="inlineStr">
        <is>
          <t>JÄMTLANDS LÄN</t>
        </is>
      </c>
      <c r="E3123" t="inlineStr">
        <is>
          <t>RAGUNDA</t>
        </is>
      </c>
      <c r="F3123" t="inlineStr">
        <is>
          <t>SCA</t>
        </is>
      </c>
      <c r="G3123" t="n">
        <v>5.6</v>
      </c>
      <c r="H3123" t="n">
        <v>0</v>
      </c>
      <c r="I3123" t="n">
        <v>0</v>
      </c>
      <c r="J3123" t="n">
        <v>0</v>
      </c>
      <c r="K3123" t="n">
        <v>0</v>
      </c>
      <c r="L3123" t="n">
        <v>0</v>
      </c>
      <c r="M3123" t="n">
        <v>0</v>
      </c>
      <c r="N3123" t="n">
        <v>0</v>
      </c>
      <c r="O3123" t="n">
        <v>0</v>
      </c>
      <c r="P3123" t="n">
        <v>0</v>
      </c>
      <c r="Q3123" t="n">
        <v>0</v>
      </c>
      <c r="R3123" s="2" t="inlineStr"/>
    </row>
    <row r="3124" ht="15" customHeight="1">
      <c r="A3124" t="inlineStr">
        <is>
          <t>A 41349-2020</t>
        </is>
      </c>
      <c r="B3124" s="1" t="n">
        <v>44071</v>
      </c>
      <c r="C3124" s="1" t="n">
        <v>45182</v>
      </c>
      <c r="D3124" t="inlineStr">
        <is>
          <t>JÄMTLANDS LÄN</t>
        </is>
      </c>
      <c r="E3124" t="inlineStr">
        <is>
          <t>BRÄCKE</t>
        </is>
      </c>
      <c r="G3124" t="n">
        <v>0.9</v>
      </c>
      <c r="H3124" t="n">
        <v>0</v>
      </c>
      <c r="I3124" t="n">
        <v>0</v>
      </c>
      <c r="J3124" t="n">
        <v>0</v>
      </c>
      <c r="K3124" t="n">
        <v>0</v>
      </c>
      <c r="L3124" t="n">
        <v>0</v>
      </c>
      <c r="M3124" t="n">
        <v>0</v>
      </c>
      <c r="N3124" t="n">
        <v>0</v>
      </c>
      <c r="O3124" t="n">
        <v>0</v>
      </c>
      <c r="P3124" t="n">
        <v>0</v>
      </c>
      <c r="Q3124" t="n">
        <v>0</v>
      </c>
      <c r="R3124" s="2" t="inlineStr"/>
    </row>
    <row r="3125" ht="15" customHeight="1">
      <c r="A3125" t="inlineStr">
        <is>
          <t>A 41368-2020</t>
        </is>
      </c>
      <c r="B3125" s="1" t="n">
        <v>44071</v>
      </c>
      <c r="C3125" s="1" t="n">
        <v>45182</v>
      </c>
      <c r="D3125" t="inlineStr">
        <is>
          <t>JÄMTLANDS LÄN</t>
        </is>
      </c>
      <c r="E3125" t="inlineStr">
        <is>
          <t>STRÖMSUND</t>
        </is>
      </c>
      <c r="F3125" t="inlineStr">
        <is>
          <t>SCA</t>
        </is>
      </c>
      <c r="G3125" t="n">
        <v>8.199999999999999</v>
      </c>
      <c r="H3125" t="n">
        <v>0</v>
      </c>
      <c r="I3125" t="n">
        <v>0</v>
      </c>
      <c r="J3125" t="n">
        <v>0</v>
      </c>
      <c r="K3125" t="n">
        <v>0</v>
      </c>
      <c r="L3125" t="n">
        <v>0</v>
      </c>
      <c r="M3125" t="n">
        <v>0</v>
      </c>
      <c r="N3125" t="n">
        <v>0</v>
      </c>
      <c r="O3125" t="n">
        <v>0</v>
      </c>
      <c r="P3125" t="n">
        <v>0</v>
      </c>
      <c r="Q3125" t="n">
        <v>0</v>
      </c>
      <c r="R3125" s="2" t="inlineStr"/>
    </row>
    <row r="3126" ht="15" customHeight="1">
      <c r="A3126" t="inlineStr">
        <is>
          <t>A 41346-2020</t>
        </is>
      </c>
      <c r="B3126" s="1" t="n">
        <v>44071</v>
      </c>
      <c r="C3126" s="1" t="n">
        <v>45182</v>
      </c>
      <c r="D3126" t="inlineStr">
        <is>
          <t>JÄMTLANDS LÄN</t>
        </is>
      </c>
      <c r="E3126" t="inlineStr">
        <is>
          <t>RAGUNDA</t>
        </is>
      </c>
      <c r="F3126" t="inlineStr">
        <is>
          <t>SCA</t>
        </is>
      </c>
      <c r="G3126" t="n">
        <v>1.7</v>
      </c>
      <c r="H3126" t="n">
        <v>0</v>
      </c>
      <c r="I3126" t="n">
        <v>0</v>
      </c>
      <c r="J3126" t="n">
        <v>0</v>
      </c>
      <c r="K3126" t="n">
        <v>0</v>
      </c>
      <c r="L3126" t="n">
        <v>0</v>
      </c>
      <c r="M3126" t="n">
        <v>0</v>
      </c>
      <c r="N3126" t="n">
        <v>0</v>
      </c>
      <c r="O3126" t="n">
        <v>0</v>
      </c>
      <c r="P3126" t="n">
        <v>0</v>
      </c>
      <c r="Q3126" t="n">
        <v>0</v>
      </c>
      <c r="R3126" s="2" t="inlineStr"/>
    </row>
    <row r="3127" ht="15" customHeight="1">
      <c r="A3127" t="inlineStr">
        <is>
          <t>A 41352-2020</t>
        </is>
      </c>
      <c r="B3127" s="1" t="n">
        <v>44071</v>
      </c>
      <c r="C3127" s="1" t="n">
        <v>45182</v>
      </c>
      <c r="D3127" t="inlineStr">
        <is>
          <t>JÄMTLANDS LÄN</t>
        </is>
      </c>
      <c r="E3127" t="inlineStr">
        <is>
          <t>BRÄCKE</t>
        </is>
      </c>
      <c r="G3127" t="n">
        <v>4.3</v>
      </c>
      <c r="H3127" t="n">
        <v>0</v>
      </c>
      <c r="I3127" t="n">
        <v>0</v>
      </c>
      <c r="J3127" t="n">
        <v>0</v>
      </c>
      <c r="K3127" t="n">
        <v>0</v>
      </c>
      <c r="L3127" t="n">
        <v>0</v>
      </c>
      <c r="M3127" t="n">
        <v>0</v>
      </c>
      <c r="N3127" t="n">
        <v>0</v>
      </c>
      <c r="O3127" t="n">
        <v>0</v>
      </c>
      <c r="P3127" t="n">
        <v>0</v>
      </c>
      <c r="Q3127" t="n">
        <v>0</v>
      </c>
      <c r="R3127" s="2" t="inlineStr"/>
    </row>
    <row r="3128" ht="15" customHeight="1">
      <c r="A3128" t="inlineStr">
        <is>
          <t>A 41450-2020</t>
        </is>
      </c>
      <c r="B3128" s="1" t="n">
        <v>44073</v>
      </c>
      <c r="C3128" s="1" t="n">
        <v>45182</v>
      </c>
      <c r="D3128" t="inlineStr">
        <is>
          <t>JÄMTLANDS LÄN</t>
        </is>
      </c>
      <c r="E3128" t="inlineStr">
        <is>
          <t>STRÖMSUND</t>
        </is>
      </c>
      <c r="F3128" t="inlineStr">
        <is>
          <t>SCA</t>
        </is>
      </c>
      <c r="G3128" t="n">
        <v>5.5</v>
      </c>
      <c r="H3128" t="n">
        <v>0</v>
      </c>
      <c r="I3128" t="n">
        <v>0</v>
      </c>
      <c r="J3128" t="n">
        <v>0</v>
      </c>
      <c r="K3128" t="n">
        <v>0</v>
      </c>
      <c r="L3128" t="n">
        <v>0</v>
      </c>
      <c r="M3128" t="n">
        <v>0</v>
      </c>
      <c r="N3128" t="n">
        <v>0</v>
      </c>
      <c r="O3128" t="n">
        <v>0</v>
      </c>
      <c r="P3128" t="n">
        <v>0</v>
      </c>
      <c r="Q3128" t="n">
        <v>0</v>
      </c>
      <c r="R3128" s="2" t="inlineStr"/>
    </row>
    <row r="3129" ht="15" customHeight="1">
      <c r="A3129" t="inlineStr">
        <is>
          <t>A 41451-2020</t>
        </is>
      </c>
      <c r="B3129" s="1" t="n">
        <v>44073</v>
      </c>
      <c r="C3129" s="1" t="n">
        <v>45182</v>
      </c>
      <c r="D3129" t="inlineStr">
        <is>
          <t>JÄMTLANDS LÄN</t>
        </is>
      </c>
      <c r="E3129" t="inlineStr">
        <is>
          <t>STRÖMSUND</t>
        </is>
      </c>
      <c r="F3129" t="inlineStr">
        <is>
          <t>SCA</t>
        </is>
      </c>
      <c r="G3129" t="n">
        <v>8.5</v>
      </c>
      <c r="H3129" t="n">
        <v>0</v>
      </c>
      <c r="I3129" t="n">
        <v>0</v>
      </c>
      <c r="J3129" t="n">
        <v>0</v>
      </c>
      <c r="K3129" t="n">
        <v>0</v>
      </c>
      <c r="L3129" t="n">
        <v>0</v>
      </c>
      <c r="M3129" t="n">
        <v>0</v>
      </c>
      <c r="N3129" t="n">
        <v>0</v>
      </c>
      <c r="O3129" t="n">
        <v>0</v>
      </c>
      <c r="P3129" t="n">
        <v>0</v>
      </c>
      <c r="Q3129" t="n">
        <v>0</v>
      </c>
      <c r="R3129" s="2" t="inlineStr"/>
    </row>
    <row r="3130" ht="15" customHeight="1">
      <c r="A3130" t="inlineStr">
        <is>
          <t>A 41454-2020</t>
        </is>
      </c>
      <c r="B3130" s="1" t="n">
        <v>44073</v>
      </c>
      <c r="C3130" s="1" t="n">
        <v>45182</v>
      </c>
      <c r="D3130" t="inlineStr">
        <is>
          <t>JÄMTLANDS LÄN</t>
        </is>
      </c>
      <c r="E3130" t="inlineStr">
        <is>
          <t>STRÖMSUND</t>
        </is>
      </c>
      <c r="F3130" t="inlineStr">
        <is>
          <t>SCA</t>
        </is>
      </c>
      <c r="G3130" t="n">
        <v>11.8</v>
      </c>
      <c r="H3130" t="n">
        <v>0</v>
      </c>
      <c r="I3130" t="n">
        <v>0</v>
      </c>
      <c r="J3130" t="n">
        <v>0</v>
      </c>
      <c r="K3130" t="n">
        <v>0</v>
      </c>
      <c r="L3130" t="n">
        <v>0</v>
      </c>
      <c r="M3130" t="n">
        <v>0</v>
      </c>
      <c r="N3130" t="n">
        <v>0</v>
      </c>
      <c r="O3130" t="n">
        <v>0</v>
      </c>
      <c r="P3130" t="n">
        <v>0</v>
      </c>
      <c r="Q3130" t="n">
        <v>0</v>
      </c>
      <c r="R3130" s="2" t="inlineStr"/>
    </row>
    <row r="3131" ht="15" customHeight="1">
      <c r="A3131" t="inlineStr">
        <is>
          <t>A 41892-2020</t>
        </is>
      </c>
      <c r="B3131" s="1" t="n">
        <v>44074</v>
      </c>
      <c r="C3131" s="1" t="n">
        <v>45182</v>
      </c>
      <c r="D3131" t="inlineStr">
        <is>
          <t>JÄMTLANDS LÄN</t>
        </is>
      </c>
      <c r="E3131" t="inlineStr">
        <is>
          <t>STRÖMSUND</t>
        </is>
      </c>
      <c r="F3131" t="inlineStr">
        <is>
          <t>SCA</t>
        </is>
      </c>
      <c r="G3131" t="n">
        <v>12.2</v>
      </c>
      <c r="H3131" t="n">
        <v>0</v>
      </c>
      <c r="I3131" t="n">
        <v>0</v>
      </c>
      <c r="J3131" t="n">
        <v>0</v>
      </c>
      <c r="K3131" t="n">
        <v>0</v>
      </c>
      <c r="L3131" t="n">
        <v>0</v>
      </c>
      <c r="M3131" t="n">
        <v>0</v>
      </c>
      <c r="N3131" t="n">
        <v>0</v>
      </c>
      <c r="O3131" t="n">
        <v>0</v>
      </c>
      <c r="P3131" t="n">
        <v>0</v>
      </c>
      <c r="Q3131" t="n">
        <v>0</v>
      </c>
      <c r="R3131" s="2" t="inlineStr"/>
    </row>
    <row r="3132" ht="15" customHeight="1">
      <c r="A3132" t="inlineStr">
        <is>
          <t>A 41885-2020</t>
        </is>
      </c>
      <c r="B3132" s="1" t="n">
        <v>44074</v>
      </c>
      <c r="C3132" s="1" t="n">
        <v>45182</v>
      </c>
      <c r="D3132" t="inlineStr">
        <is>
          <t>JÄMTLANDS LÄN</t>
        </is>
      </c>
      <c r="E3132" t="inlineStr">
        <is>
          <t>RAGUNDA</t>
        </is>
      </c>
      <c r="F3132" t="inlineStr">
        <is>
          <t>SCA</t>
        </is>
      </c>
      <c r="G3132" t="n">
        <v>0.4</v>
      </c>
      <c r="H3132" t="n">
        <v>0</v>
      </c>
      <c r="I3132" t="n">
        <v>0</v>
      </c>
      <c r="J3132" t="n">
        <v>0</v>
      </c>
      <c r="K3132" t="n">
        <v>0</v>
      </c>
      <c r="L3132" t="n">
        <v>0</v>
      </c>
      <c r="M3132" t="n">
        <v>0</v>
      </c>
      <c r="N3132" t="n">
        <v>0</v>
      </c>
      <c r="O3132" t="n">
        <v>0</v>
      </c>
      <c r="P3132" t="n">
        <v>0</v>
      </c>
      <c r="Q3132" t="n">
        <v>0</v>
      </c>
      <c r="R3132" s="2" t="inlineStr"/>
    </row>
    <row r="3133" ht="15" customHeight="1">
      <c r="A3133" t="inlineStr">
        <is>
          <t>A 41490-2020</t>
        </is>
      </c>
      <c r="B3133" s="1" t="n">
        <v>44074</v>
      </c>
      <c r="C3133" s="1" t="n">
        <v>45182</v>
      </c>
      <c r="D3133" t="inlineStr">
        <is>
          <t>JÄMTLANDS LÄN</t>
        </is>
      </c>
      <c r="E3133" t="inlineStr">
        <is>
          <t>STRÖMSUND</t>
        </is>
      </c>
      <c r="F3133" t="inlineStr">
        <is>
          <t>SCA</t>
        </is>
      </c>
      <c r="G3133" t="n">
        <v>0.1</v>
      </c>
      <c r="H3133" t="n">
        <v>0</v>
      </c>
      <c r="I3133" t="n">
        <v>0</v>
      </c>
      <c r="J3133" t="n">
        <v>0</v>
      </c>
      <c r="K3133" t="n">
        <v>0</v>
      </c>
      <c r="L3133" t="n">
        <v>0</v>
      </c>
      <c r="M3133" t="n">
        <v>0</v>
      </c>
      <c r="N3133" t="n">
        <v>0</v>
      </c>
      <c r="O3133" t="n">
        <v>0</v>
      </c>
      <c r="P3133" t="n">
        <v>0</v>
      </c>
      <c r="Q3133" t="n">
        <v>0</v>
      </c>
      <c r="R3133" s="2" t="inlineStr"/>
    </row>
    <row r="3134" ht="15" customHeight="1">
      <c r="A3134" t="inlineStr">
        <is>
          <t>A 41875-2020</t>
        </is>
      </c>
      <c r="B3134" s="1" t="n">
        <v>44074</v>
      </c>
      <c r="C3134" s="1" t="n">
        <v>45182</v>
      </c>
      <c r="D3134" t="inlineStr">
        <is>
          <t>JÄMTLANDS LÄN</t>
        </is>
      </c>
      <c r="E3134" t="inlineStr">
        <is>
          <t>RAGUNDA</t>
        </is>
      </c>
      <c r="F3134" t="inlineStr">
        <is>
          <t>Naturvårdsverket</t>
        </is>
      </c>
      <c r="G3134" t="n">
        <v>3.3</v>
      </c>
      <c r="H3134" t="n">
        <v>0</v>
      </c>
      <c r="I3134" t="n">
        <v>0</v>
      </c>
      <c r="J3134" t="n">
        <v>0</v>
      </c>
      <c r="K3134" t="n">
        <v>0</v>
      </c>
      <c r="L3134" t="n">
        <v>0</v>
      </c>
      <c r="M3134" t="n">
        <v>0</v>
      </c>
      <c r="N3134" t="n">
        <v>0</v>
      </c>
      <c r="O3134" t="n">
        <v>0</v>
      </c>
      <c r="P3134" t="n">
        <v>0</v>
      </c>
      <c r="Q3134" t="n">
        <v>0</v>
      </c>
      <c r="R3134" s="2" t="inlineStr"/>
    </row>
    <row r="3135" ht="15" customHeight="1">
      <c r="A3135" t="inlineStr">
        <is>
          <t>A 41887-2020</t>
        </is>
      </c>
      <c r="B3135" s="1" t="n">
        <v>44074</v>
      </c>
      <c r="C3135" s="1" t="n">
        <v>45182</v>
      </c>
      <c r="D3135" t="inlineStr">
        <is>
          <t>JÄMTLANDS LÄN</t>
        </is>
      </c>
      <c r="E3135" t="inlineStr">
        <is>
          <t>RAGUNDA</t>
        </is>
      </c>
      <c r="F3135" t="inlineStr">
        <is>
          <t>SCA</t>
        </is>
      </c>
      <c r="G3135" t="n">
        <v>0.9</v>
      </c>
      <c r="H3135" t="n">
        <v>0</v>
      </c>
      <c r="I3135" t="n">
        <v>0</v>
      </c>
      <c r="J3135" t="n">
        <v>0</v>
      </c>
      <c r="K3135" t="n">
        <v>0</v>
      </c>
      <c r="L3135" t="n">
        <v>0</v>
      </c>
      <c r="M3135" t="n">
        <v>0</v>
      </c>
      <c r="N3135" t="n">
        <v>0</v>
      </c>
      <c r="O3135" t="n">
        <v>0</v>
      </c>
      <c r="P3135" t="n">
        <v>0</v>
      </c>
      <c r="Q3135" t="n">
        <v>0</v>
      </c>
      <c r="R3135" s="2" t="inlineStr"/>
    </row>
    <row r="3136" ht="15" customHeight="1">
      <c r="A3136" t="inlineStr">
        <is>
          <t>A 42203-2020</t>
        </is>
      </c>
      <c r="B3136" s="1" t="n">
        <v>44075</v>
      </c>
      <c r="C3136" s="1" t="n">
        <v>45182</v>
      </c>
      <c r="D3136" t="inlineStr">
        <is>
          <t>JÄMTLANDS LÄN</t>
        </is>
      </c>
      <c r="E3136" t="inlineStr">
        <is>
          <t>BRÄCKE</t>
        </is>
      </c>
      <c r="F3136" t="inlineStr">
        <is>
          <t>SCA</t>
        </is>
      </c>
      <c r="G3136" t="n">
        <v>0.9</v>
      </c>
      <c r="H3136" t="n">
        <v>0</v>
      </c>
      <c r="I3136" t="n">
        <v>0</v>
      </c>
      <c r="J3136" t="n">
        <v>0</v>
      </c>
      <c r="K3136" t="n">
        <v>0</v>
      </c>
      <c r="L3136" t="n">
        <v>0</v>
      </c>
      <c r="M3136" t="n">
        <v>0</v>
      </c>
      <c r="N3136" t="n">
        <v>0</v>
      </c>
      <c r="O3136" t="n">
        <v>0</v>
      </c>
      <c r="P3136" t="n">
        <v>0</v>
      </c>
      <c r="Q3136" t="n">
        <v>0</v>
      </c>
      <c r="R3136" s="2" t="inlineStr"/>
    </row>
    <row r="3137" ht="15" customHeight="1">
      <c r="A3137" t="inlineStr">
        <is>
          <t>A 42078-2020</t>
        </is>
      </c>
      <c r="B3137" s="1" t="n">
        <v>44075</v>
      </c>
      <c r="C3137" s="1" t="n">
        <v>45182</v>
      </c>
      <c r="D3137" t="inlineStr">
        <is>
          <t>JÄMTLANDS LÄN</t>
        </is>
      </c>
      <c r="E3137" t="inlineStr">
        <is>
          <t>HÄRJEDALEN</t>
        </is>
      </c>
      <c r="G3137" t="n">
        <v>3.9</v>
      </c>
      <c r="H3137" t="n">
        <v>0</v>
      </c>
      <c r="I3137" t="n">
        <v>0</v>
      </c>
      <c r="J3137" t="n">
        <v>0</v>
      </c>
      <c r="K3137" t="n">
        <v>0</v>
      </c>
      <c r="L3137" t="n">
        <v>0</v>
      </c>
      <c r="M3137" t="n">
        <v>0</v>
      </c>
      <c r="N3137" t="n">
        <v>0</v>
      </c>
      <c r="O3137" t="n">
        <v>0</v>
      </c>
      <c r="P3137" t="n">
        <v>0</v>
      </c>
      <c r="Q3137" t="n">
        <v>0</v>
      </c>
      <c r="R3137" s="2" t="inlineStr"/>
    </row>
    <row r="3138" ht="15" customHeight="1">
      <c r="A3138" t="inlineStr">
        <is>
          <t>A 42204-2020</t>
        </is>
      </c>
      <c r="B3138" s="1" t="n">
        <v>44075</v>
      </c>
      <c r="C3138" s="1" t="n">
        <v>45182</v>
      </c>
      <c r="D3138" t="inlineStr">
        <is>
          <t>JÄMTLANDS LÄN</t>
        </is>
      </c>
      <c r="E3138" t="inlineStr">
        <is>
          <t>BRÄCKE</t>
        </is>
      </c>
      <c r="F3138" t="inlineStr">
        <is>
          <t>SCA</t>
        </is>
      </c>
      <c r="G3138" t="n">
        <v>2.1</v>
      </c>
      <c r="H3138" t="n">
        <v>0</v>
      </c>
      <c r="I3138" t="n">
        <v>0</v>
      </c>
      <c r="J3138" t="n">
        <v>0</v>
      </c>
      <c r="K3138" t="n">
        <v>0</v>
      </c>
      <c r="L3138" t="n">
        <v>0</v>
      </c>
      <c r="M3138" t="n">
        <v>0</v>
      </c>
      <c r="N3138" t="n">
        <v>0</v>
      </c>
      <c r="O3138" t="n">
        <v>0</v>
      </c>
      <c r="P3138" t="n">
        <v>0</v>
      </c>
      <c r="Q3138" t="n">
        <v>0</v>
      </c>
      <c r="R3138" s="2" t="inlineStr"/>
    </row>
    <row r="3139" ht="15" customHeight="1">
      <c r="A3139" t="inlineStr">
        <is>
          <t>A 42202-2020</t>
        </is>
      </c>
      <c r="B3139" s="1" t="n">
        <v>44075</v>
      </c>
      <c r="C3139" s="1" t="n">
        <v>45182</v>
      </c>
      <c r="D3139" t="inlineStr">
        <is>
          <t>JÄMTLANDS LÄN</t>
        </is>
      </c>
      <c r="E3139" t="inlineStr">
        <is>
          <t>BRÄCKE</t>
        </is>
      </c>
      <c r="F3139" t="inlineStr">
        <is>
          <t>SCA</t>
        </is>
      </c>
      <c r="G3139" t="n">
        <v>8.5</v>
      </c>
      <c r="H3139" t="n">
        <v>0</v>
      </c>
      <c r="I3139" t="n">
        <v>0</v>
      </c>
      <c r="J3139" t="n">
        <v>0</v>
      </c>
      <c r="K3139" t="n">
        <v>0</v>
      </c>
      <c r="L3139" t="n">
        <v>0</v>
      </c>
      <c r="M3139" t="n">
        <v>0</v>
      </c>
      <c r="N3139" t="n">
        <v>0</v>
      </c>
      <c r="O3139" t="n">
        <v>0</v>
      </c>
      <c r="P3139" t="n">
        <v>0</v>
      </c>
      <c r="Q3139" t="n">
        <v>0</v>
      </c>
      <c r="R3139" s="2" t="inlineStr"/>
    </row>
    <row r="3140" ht="15" customHeight="1">
      <c r="A3140" t="inlineStr">
        <is>
          <t>A 42208-2020</t>
        </is>
      </c>
      <c r="B3140" s="1" t="n">
        <v>44075</v>
      </c>
      <c r="C3140" s="1" t="n">
        <v>45182</v>
      </c>
      <c r="D3140" t="inlineStr">
        <is>
          <t>JÄMTLANDS LÄN</t>
        </is>
      </c>
      <c r="E3140" t="inlineStr">
        <is>
          <t>RAGUNDA</t>
        </is>
      </c>
      <c r="F3140" t="inlineStr">
        <is>
          <t>SCA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42337-2020</t>
        </is>
      </c>
      <c r="B3141" s="1" t="n">
        <v>44076</v>
      </c>
      <c r="C3141" s="1" t="n">
        <v>45182</v>
      </c>
      <c r="D3141" t="inlineStr">
        <is>
          <t>JÄMTLANDS LÄN</t>
        </is>
      </c>
      <c r="E3141" t="inlineStr">
        <is>
          <t>ÅRE</t>
        </is>
      </c>
      <c r="G3141" t="n">
        <v>3.6</v>
      </c>
      <c r="H3141" t="n">
        <v>0</v>
      </c>
      <c r="I3141" t="n">
        <v>0</v>
      </c>
      <c r="J3141" t="n">
        <v>0</v>
      </c>
      <c r="K3141" t="n">
        <v>0</v>
      </c>
      <c r="L3141" t="n">
        <v>0</v>
      </c>
      <c r="M3141" t="n">
        <v>0</v>
      </c>
      <c r="N3141" t="n">
        <v>0</v>
      </c>
      <c r="O3141" t="n">
        <v>0</v>
      </c>
      <c r="P3141" t="n">
        <v>0</v>
      </c>
      <c r="Q3141" t="n">
        <v>0</v>
      </c>
      <c r="R3141" s="2" t="inlineStr"/>
    </row>
    <row r="3142" ht="15" customHeight="1">
      <c r="A3142" t="inlineStr">
        <is>
          <t>A 42712-2020</t>
        </is>
      </c>
      <c r="B3142" s="1" t="n">
        <v>44076</v>
      </c>
      <c r="C3142" s="1" t="n">
        <v>45182</v>
      </c>
      <c r="D3142" t="inlineStr">
        <is>
          <t>JÄMTLANDS LÄN</t>
        </is>
      </c>
      <c r="E3142" t="inlineStr">
        <is>
          <t>ÖSTERSUND</t>
        </is>
      </c>
      <c r="G3142" t="n">
        <v>1.5</v>
      </c>
      <c r="H3142" t="n">
        <v>0</v>
      </c>
      <c r="I3142" t="n">
        <v>0</v>
      </c>
      <c r="J3142" t="n">
        <v>0</v>
      </c>
      <c r="K3142" t="n">
        <v>0</v>
      </c>
      <c r="L3142" t="n">
        <v>0</v>
      </c>
      <c r="M3142" t="n">
        <v>0</v>
      </c>
      <c r="N3142" t="n">
        <v>0</v>
      </c>
      <c r="O3142" t="n">
        <v>0</v>
      </c>
      <c r="P3142" t="n">
        <v>0</v>
      </c>
      <c r="Q3142" t="n">
        <v>0</v>
      </c>
      <c r="R3142" s="2" t="inlineStr"/>
    </row>
    <row r="3143" ht="15" customHeight="1">
      <c r="A3143" t="inlineStr">
        <is>
          <t>A 42385-2020</t>
        </is>
      </c>
      <c r="B3143" s="1" t="n">
        <v>44076</v>
      </c>
      <c r="C3143" s="1" t="n">
        <v>45182</v>
      </c>
      <c r="D3143" t="inlineStr">
        <is>
          <t>JÄMTLANDS LÄN</t>
        </is>
      </c>
      <c r="E3143" t="inlineStr">
        <is>
          <t>KROKOM</t>
        </is>
      </c>
      <c r="G3143" t="n">
        <v>2.9</v>
      </c>
      <c r="H3143" t="n">
        <v>0</v>
      </c>
      <c r="I3143" t="n">
        <v>0</v>
      </c>
      <c r="J3143" t="n">
        <v>0</v>
      </c>
      <c r="K3143" t="n">
        <v>0</v>
      </c>
      <c r="L3143" t="n">
        <v>0</v>
      </c>
      <c r="M3143" t="n">
        <v>0</v>
      </c>
      <c r="N3143" t="n">
        <v>0</v>
      </c>
      <c r="O3143" t="n">
        <v>0</v>
      </c>
      <c r="P3143" t="n">
        <v>0</v>
      </c>
      <c r="Q3143" t="n">
        <v>0</v>
      </c>
      <c r="R3143" s="2" t="inlineStr"/>
    </row>
    <row r="3144" ht="15" customHeight="1">
      <c r="A3144" t="inlineStr">
        <is>
          <t>A 42634-2020</t>
        </is>
      </c>
      <c r="B3144" s="1" t="n">
        <v>44077</v>
      </c>
      <c r="C3144" s="1" t="n">
        <v>45182</v>
      </c>
      <c r="D3144" t="inlineStr">
        <is>
          <t>JÄMTLANDS LÄN</t>
        </is>
      </c>
      <c r="E3144" t="inlineStr">
        <is>
          <t>ÅRE</t>
        </is>
      </c>
      <c r="G3144" t="n">
        <v>3.7</v>
      </c>
      <c r="H3144" t="n">
        <v>0</v>
      </c>
      <c r="I3144" t="n">
        <v>0</v>
      </c>
      <c r="J3144" t="n">
        <v>0</v>
      </c>
      <c r="K3144" t="n">
        <v>0</v>
      </c>
      <c r="L3144" t="n">
        <v>0</v>
      </c>
      <c r="M3144" t="n">
        <v>0</v>
      </c>
      <c r="N3144" t="n">
        <v>0</v>
      </c>
      <c r="O3144" t="n">
        <v>0</v>
      </c>
      <c r="P3144" t="n">
        <v>0</v>
      </c>
      <c r="Q3144" t="n">
        <v>0</v>
      </c>
      <c r="R3144" s="2" t="inlineStr"/>
    </row>
    <row r="3145" ht="15" customHeight="1">
      <c r="A3145" t="inlineStr">
        <is>
          <t>A 42765-2020</t>
        </is>
      </c>
      <c r="B3145" s="1" t="n">
        <v>44077</v>
      </c>
      <c r="C3145" s="1" t="n">
        <v>45182</v>
      </c>
      <c r="D3145" t="inlineStr">
        <is>
          <t>JÄMTLANDS LÄN</t>
        </is>
      </c>
      <c r="E3145" t="inlineStr">
        <is>
          <t>ÖSTERSUND</t>
        </is>
      </c>
      <c r="F3145" t="inlineStr">
        <is>
          <t>SCA</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42550-2020</t>
        </is>
      </c>
      <c r="B3146" s="1" t="n">
        <v>44077</v>
      </c>
      <c r="C3146" s="1" t="n">
        <v>45182</v>
      </c>
      <c r="D3146" t="inlineStr">
        <is>
          <t>JÄMTLANDS LÄN</t>
        </is>
      </c>
      <c r="E3146" t="inlineStr">
        <is>
          <t>KROKOM</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42766-2020</t>
        </is>
      </c>
      <c r="B3147" s="1" t="n">
        <v>44077</v>
      </c>
      <c r="C3147" s="1" t="n">
        <v>45182</v>
      </c>
      <c r="D3147" t="inlineStr">
        <is>
          <t>JÄMTLANDS LÄN</t>
        </is>
      </c>
      <c r="E3147" t="inlineStr">
        <is>
          <t>ÖSTERSUND</t>
        </is>
      </c>
      <c r="F3147" t="inlineStr">
        <is>
          <t>SCA</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42650-2020</t>
        </is>
      </c>
      <c r="B3148" s="1" t="n">
        <v>44077</v>
      </c>
      <c r="C3148" s="1" t="n">
        <v>45182</v>
      </c>
      <c r="D3148" t="inlineStr">
        <is>
          <t>JÄMTLANDS LÄN</t>
        </is>
      </c>
      <c r="E3148" t="inlineStr">
        <is>
          <t>ÅRE</t>
        </is>
      </c>
      <c r="G3148" t="n">
        <v>1.4</v>
      </c>
      <c r="H3148" t="n">
        <v>0</v>
      </c>
      <c r="I3148" t="n">
        <v>0</v>
      </c>
      <c r="J3148" t="n">
        <v>0</v>
      </c>
      <c r="K3148" t="n">
        <v>0</v>
      </c>
      <c r="L3148" t="n">
        <v>0</v>
      </c>
      <c r="M3148" t="n">
        <v>0</v>
      </c>
      <c r="N3148" t="n">
        <v>0</v>
      </c>
      <c r="O3148" t="n">
        <v>0</v>
      </c>
      <c r="P3148" t="n">
        <v>0</v>
      </c>
      <c r="Q3148" t="n">
        <v>0</v>
      </c>
      <c r="R3148" s="2" t="inlineStr"/>
    </row>
    <row r="3149" ht="15" customHeight="1">
      <c r="A3149" t="inlineStr">
        <is>
          <t>A 42643-2020</t>
        </is>
      </c>
      <c r="B3149" s="1" t="n">
        <v>44077</v>
      </c>
      <c r="C3149" s="1" t="n">
        <v>45182</v>
      </c>
      <c r="D3149" t="inlineStr">
        <is>
          <t>JÄMTLANDS LÄN</t>
        </is>
      </c>
      <c r="E3149" t="inlineStr">
        <is>
          <t>ÅRE</t>
        </is>
      </c>
      <c r="G3149" t="n">
        <v>7.5</v>
      </c>
      <c r="H3149" t="n">
        <v>0</v>
      </c>
      <c r="I3149" t="n">
        <v>0</v>
      </c>
      <c r="J3149" t="n">
        <v>0</v>
      </c>
      <c r="K3149" t="n">
        <v>0</v>
      </c>
      <c r="L3149" t="n">
        <v>0</v>
      </c>
      <c r="M3149" t="n">
        <v>0</v>
      </c>
      <c r="N3149" t="n">
        <v>0</v>
      </c>
      <c r="O3149" t="n">
        <v>0</v>
      </c>
      <c r="P3149" t="n">
        <v>0</v>
      </c>
      <c r="Q3149" t="n">
        <v>0</v>
      </c>
      <c r="R3149" s="2" t="inlineStr"/>
    </row>
    <row r="3150" ht="15" customHeight="1">
      <c r="A3150" t="inlineStr">
        <is>
          <t>A 43167-2020</t>
        </is>
      </c>
      <c r="B3150" s="1" t="n">
        <v>44077</v>
      </c>
      <c r="C3150" s="1" t="n">
        <v>45182</v>
      </c>
      <c r="D3150" t="inlineStr">
        <is>
          <t>JÄMTLANDS LÄN</t>
        </is>
      </c>
      <c r="E3150" t="inlineStr">
        <is>
          <t>ÅRE</t>
        </is>
      </c>
      <c r="G3150" t="n">
        <v>0.6</v>
      </c>
      <c r="H3150" t="n">
        <v>0</v>
      </c>
      <c r="I3150" t="n">
        <v>0</v>
      </c>
      <c r="J3150" t="n">
        <v>0</v>
      </c>
      <c r="K3150" t="n">
        <v>0</v>
      </c>
      <c r="L3150" t="n">
        <v>0</v>
      </c>
      <c r="M3150" t="n">
        <v>0</v>
      </c>
      <c r="N3150" t="n">
        <v>0</v>
      </c>
      <c r="O3150" t="n">
        <v>0</v>
      </c>
      <c r="P3150" t="n">
        <v>0</v>
      </c>
      <c r="Q3150" t="n">
        <v>0</v>
      </c>
      <c r="R3150" s="2" t="inlineStr"/>
    </row>
    <row r="3151" ht="15" customHeight="1">
      <c r="A3151" t="inlineStr">
        <is>
          <t>A 42897-2020</t>
        </is>
      </c>
      <c r="B3151" s="1" t="n">
        <v>44078</v>
      </c>
      <c r="C3151" s="1" t="n">
        <v>45182</v>
      </c>
      <c r="D3151" t="inlineStr">
        <is>
          <t>JÄMTLANDS LÄN</t>
        </is>
      </c>
      <c r="E3151" t="inlineStr">
        <is>
          <t>BRÄCKE</t>
        </is>
      </c>
      <c r="G3151" t="n">
        <v>12.9</v>
      </c>
      <c r="H3151" t="n">
        <v>0</v>
      </c>
      <c r="I3151" t="n">
        <v>0</v>
      </c>
      <c r="J3151" t="n">
        <v>0</v>
      </c>
      <c r="K3151" t="n">
        <v>0</v>
      </c>
      <c r="L3151" t="n">
        <v>0</v>
      </c>
      <c r="M3151" t="n">
        <v>0</v>
      </c>
      <c r="N3151" t="n">
        <v>0</v>
      </c>
      <c r="O3151" t="n">
        <v>0</v>
      </c>
      <c r="P3151" t="n">
        <v>0</v>
      </c>
      <c r="Q3151" t="n">
        <v>0</v>
      </c>
      <c r="R3151" s="2" t="inlineStr"/>
    </row>
    <row r="3152" ht="15" customHeight="1">
      <c r="A3152" t="inlineStr">
        <is>
          <t>A 43070-2020</t>
        </is>
      </c>
      <c r="B3152" s="1" t="n">
        <v>44078</v>
      </c>
      <c r="C3152" s="1" t="n">
        <v>45182</v>
      </c>
      <c r="D3152" t="inlineStr">
        <is>
          <t>JÄMTLANDS LÄN</t>
        </is>
      </c>
      <c r="E3152" t="inlineStr">
        <is>
          <t>BRÄCKE</t>
        </is>
      </c>
      <c r="F3152" t="inlineStr">
        <is>
          <t>SCA</t>
        </is>
      </c>
      <c r="G3152" t="n">
        <v>6.5</v>
      </c>
      <c r="H3152" t="n">
        <v>0</v>
      </c>
      <c r="I3152" t="n">
        <v>0</v>
      </c>
      <c r="J3152" t="n">
        <v>0</v>
      </c>
      <c r="K3152" t="n">
        <v>0</v>
      </c>
      <c r="L3152" t="n">
        <v>0</v>
      </c>
      <c r="M3152" t="n">
        <v>0</v>
      </c>
      <c r="N3152" t="n">
        <v>0</v>
      </c>
      <c r="O3152" t="n">
        <v>0</v>
      </c>
      <c r="P3152" t="n">
        <v>0</v>
      </c>
      <c r="Q3152" t="n">
        <v>0</v>
      </c>
      <c r="R3152" s="2" t="inlineStr"/>
    </row>
    <row r="3153" ht="15" customHeight="1">
      <c r="A3153" t="inlineStr">
        <is>
          <t>A 42899-2020</t>
        </is>
      </c>
      <c r="B3153" s="1" t="n">
        <v>44078</v>
      </c>
      <c r="C3153" s="1" t="n">
        <v>45182</v>
      </c>
      <c r="D3153" t="inlineStr">
        <is>
          <t>JÄMTLANDS LÄN</t>
        </is>
      </c>
      <c r="E3153" t="inlineStr">
        <is>
          <t>RAGUNDA</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43075-2020</t>
        </is>
      </c>
      <c r="B3154" s="1" t="n">
        <v>44078</v>
      </c>
      <c r="C3154" s="1" t="n">
        <v>45182</v>
      </c>
      <c r="D3154" t="inlineStr">
        <is>
          <t>JÄMTLANDS LÄN</t>
        </is>
      </c>
      <c r="E3154" t="inlineStr">
        <is>
          <t>BRÄCKE</t>
        </is>
      </c>
      <c r="F3154" t="inlineStr">
        <is>
          <t>SCA</t>
        </is>
      </c>
      <c r="G3154" t="n">
        <v>4.9</v>
      </c>
      <c r="H3154" t="n">
        <v>0</v>
      </c>
      <c r="I3154" t="n">
        <v>0</v>
      </c>
      <c r="J3154" t="n">
        <v>0</v>
      </c>
      <c r="K3154" t="n">
        <v>0</v>
      </c>
      <c r="L3154" t="n">
        <v>0</v>
      </c>
      <c r="M3154" t="n">
        <v>0</v>
      </c>
      <c r="N3154" t="n">
        <v>0</v>
      </c>
      <c r="O3154" t="n">
        <v>0</v>
      </c>
      <c r="P3154" t="n">
        <v>0</v>
      </c>
      <c r="Q3154" t="n">
        <v>0</v>
      </c>
      <c r="R3154" s="2" t="inlineStr"/>
    </row>
    <row r="3155" ht="15" customHeight="1">
      <c r="A3155" t="inlineStr">
        <is>
          <t>A 43417-2020</t>
        </is>
      </c>
      <c r="B3155" s="1" t="n">
        <v>44078</v>
      </c>
      <c r="C3155" s="1" t="n">
        <v>45182</v>
      </c>
      <c r="D3155" t="inlineStr">
        <is>
          <t>JÄMTLANDS LÄN</t>
        </is>
      </c>
      <c r="E3155" t="inlineStr">
        <is>
          <t>HÄRJEDALEN</t>
        </is>
      </c>
      <c r="G3155" t="n">
        <v>8</v>
      </c>
      <c r="H3155" t="n">
        <v>0</v>
      </c>
      <c r="I3155" t="n">
        <v>0</v>
      </c>
      <c r="J3155" t="n">
        <v>0</v>
      </c>
      <c r="K3155" t="n">
        <v>0</v>
      </c>
      <c r="L3155" t="n">
        <v>0</v>
      </c>
      <c r="M3155" t="n">
        <v>0</v>
      </c>
      <c r="N3155" t="n">
        <v>0</v>
      </c>
      <c r="O3155" t="n">
        <v>0</v>
      </c>
      <c r="P3155" t="n">
        <v>0</v>
      </c>
      <c r="Q3155" t="n">
        <v>0</v>
      </c>
      <c r="R3155" s="2" t="inlineStr"/>
    </row>
    <row r="3156" ht="15" customHeight="1">
      <c r="A3156" t="inlineStr">
        <is>
          <t>A 43085-2020</t>
        </is>
      </c>
      <c r="B3156" s="1" t="n">
        <v>44078</v>
      </c>
      <c r="C3156" s="1" t="n">
        <v>45182</v>
      </c>
      <c r="D3156" t="inlineStr">
        <is>
          <t>JÄMTLANDS LÄN</t>
        </is>
      </c>
      <c r="E3156" t="inlineStr">
        <is>
          <t>BRÄCKE</t>
        </is>
      </c>
      <c r="F3156" t="inlineStr">
        <is>
          <t>SCA</t>
        </is>
      </c>
      <c r="G3156" t="n">
        <v>3.6</v>
      </c>
      <c r="H3156" t="n">
        <v>0</v>
      </c>
      <c r="I3156" t="n">
        <v>0</v>
      </c>
      <c r="J3156" t="n">
        <v>0</v>
      </c>
      <c r="K3156" t="n">
        <v>0</v>
      </c>
      <c r="L3156" t="n">
        <v>0</v>
      </c>
      <c r="M3156" t="n">
        <v>0</v>
      </c>
      <c r="N3156" t="n">
        <v>0</v>
      </c>
      <c r="O3156" t="n">
        <v>0</v>
      </c>
      <c r="P3156" t="n">
        <v>0</v>
      </c>
      <c r="Q3156" t="n">
        <v>0</v>
      </c>
      <c r="R3156" s="2" t="inlineStr"/>
    </row>
    <row r="3157" ht="15" customHeight="1">
      <c r="A3157" t="inlineStr">
        <is>
          <t>A 43447-2020</t>
        </is>
      </c>
      <c r="B3157" s="1" t="n">
        <v>44081</v>
      </c>
      <c r="C3157" s="1" t="n">
        <v>45182</v>
      </c>
      <c r="D3157" t="inlineStr">
        <is>
          <t>JÄMTLANDS LÄN</t>
        </is>
      </c>
      <c r="E3157" t="inlineStr">
        <is>
          <t>STRÖMSUND</t>
        </is>
      </c>
      <c r="F3157" t="inlineStr">
        <is>
          <t>SCA</t>
        </is>
      </c>
      <c r="G3157" t="n">
        <v>24.7</v>
      </c>
      <c r="H3157" t="n">
        <v>0</v>
      </c>
      <c r="I3157" t="n">
        <v>0</v>
      </c>
      <c r="J3157" t="n">
        <v>0</v>
      </c>
      <c r="K3157" t="n">
        <v>0</v>
      </c>
      <c r="L3157" t="n">
        <v>0</v>
      </c>
      <c r="M3157" t="n">
        <v>0</v>
      </c>
      <c r="N3157" t="n">
        <v>0</v>
      </c>
      <c r="O3157" t="n">
        <v>0</v>
      </c>
      <c r="P3157" t="n">
        <v>0</v>
      </c>
      <c r="Q3157" t="n">
        <v>0</v>
      </c>
      <c r="R3157" s="2" t="inlineStr"/>
    </row>
    <row r="3158" ht="15" customHeight="1">
      <c r="A3158" t="inlineStr">
        <is>
          <t>A 43448-2020</t>
        </is>
      </c>
      <c r="B3158" s="1" t="n">
        <v>44081</v>
      </c>
      <c r="C3158" s="1" t="n">
        <v>45182</v>
      </c>
      <c r="D3158" t="inlineStr">
        <is>
          <t>JÄMTLANDS LÄN</t>
        </is>
      </c>
      <c r="E3158" t="inlineStr">
        <is>
          <t>STRÖMSUND</t>
        </is>
      </c>
      <c r="F3158" t="inlineStr">
        <is>
          <t>SCA</t>
        </is>
      </c>
      <c r="G3158" t="n">
        <v>7.1</v>
      </c>
      <c r="H3158" t="n">
        <v>0</v>
      </c>
      <c r="I3158" t="n">
        <v>0</v>
      </c>
      <c r="J3158" t="n">
        <v>0</v>
      </c>
      <c r="K3158" t="n">
        <v>0</v>
      </c>
      <c r="L3158" t="n">
        <v>0</v>
      </c>
      <c r="M3158" t="n">
        <v>0</v>
      </c>
      <c r="N3158" t="n">
        <v>0</v>
      </c>
      <c r="O3158" t="n">
        <v>0</v>
      </c>
      <c r="P3158" t="n">
        <v>0</v>
      </c>
      <c r="Q3158" t="n">
        <v>0</v>
      </c>
      <c r="R3158" s="2" t="inlineStr"/>
    </row>
    <row r="3159" ht="15" customHeight="1">
      <c r="A3159" t="inlineStr">
        <is>
          <t>A 43748-2020</t>
        </is>
      </c>
      <c r="B3159" s="1" t="n">
        <v>44082</v>
      </c>
      <c r="C3159" s="1" t="n">
        <v>45182</v>
      </c>
      <c r="D3159" t="inlineStr">
        <is>
          <t>JÄMTLANDS LÄN</t>
        </is>
      </c>
      <c r="E3159" t="inlineStr">
        <is>
          <t>HÄRJEDALEN</t>
        </is>
      </c>
      <c r="F3159" t="inlineStr">
        <is>
          <t>Holmen skog AB</t>
        </is>
      </c>
      <c r="G3159" t="n">
        <v>0.4</v>
      </c>
      <c r="H3159" t="n">
        <v>0</v>
      </c>
      <c r="I3159" t="n">
        <v>0</v>
      </c>
      <c r="J3159" t="n">
        <v>0</v>
      </c>
      <c r="K3159" t="n">
        <v>0</v>
      </c>
      <c r="L3159" t="n">
        <v>0</v>
      </c>
      <c r="M3159" t="n">
        <v>0</v>
      </c>
      <c r="N3159" t="n">
        <v>0</v>
      </c>
      <c r="O3159" t="n">
        <v>0</v>
      </c>
      <c r="P3159" t="n">
        <v>0</v>
      </c>
      <c r="Q3159" t="n">
        <v>0</v>
      </c>
      <c r="R3159" s="2" t="inlineStr"/>
    </row>
    <row r="3160" ht="15" customHeight="1">
      <c r="A3160" t="inlineStr">
        <is>
          <t>A 43750-2020</t>
        </is>
      </c>
      <c r="B3160" s="1" t="n">
        <v>44082</v>
      </c>
      <c r="C3160" s="1" t="n">
        <v>45182</v>
      </c>
      <c r="D3160" t="inlineStr">
        <is>
          <t>JÄMTLANDS LÄN</t>
        </is>
      </c>
      <c r="E3160" t="inlineStr">
        <is>
          <t>HÄRJEDALEN</t>
        </is>
      </c>
      <c r="F3160" t="inlineStr">
        <is>
          <t>Holmen skog AB</t>
        </is>
      </c>
      <c r="G3160" t="n">
        <v>0.4</v>
      </c>
      <c r="H3160" t="n">
        <v>0</v>
      </c>
      <c r="I3160" t="n">
        <v>0</v>
      </c>
      <c r="J3160" t="n">
        <v>0</v>
      </c>
      <c r="K3160" t="n">
        <v>0</v>
      </c>
      <c r="L3160" t="n">
        <v>0</v>
      </c>
      <c r="M3160" t="n">
        <v>0</v>
      </c>
      <c r="N3160" t="n">
        <v>0</v>
      </c>
      <c r="O3160" t="n">
        <v>0</v>
      </c>
      <c r="P3160" t="n">
        <v>0</v>
      </c>
      <c r="Q3160" t="n">
        <v>0</v>
      </c>
      <c r="R3160" s="2" t="inlineStr"/>
    </row>
    <row r="3161" ht="15" customHeight="1">
      <c r="A3161" t="inlineStr">
        <is>
          <t>A 43796-2020</t>
        </is>
      </c>
      <c r="B3161" s="1" t="n">
        <v>44082</v>
      </c>
      <c r="C3161" s="1" t="n">
        <v>45182</v>
      </c>
      <c r="D3161" t="inlineStr">
        <is>
          <t>JÄMTLANDS LÄN</t>
        </is>
      </c>
      <c r="E3161" t="inlineStr">
        <is>
          <t>ÖSTERSUND</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43828-2020</t>
        </is>
      </c>
      <c r="B3162" s="1" t="n">
        <v>44082</v>
      </c>
      <c r="C3162" s="1" t="n">
        <v>45182</v>
      </c>
      <c r="D3162" t="inlineStr">
        <is>
          <t>JÄMTLANDS LÄN</t>
        </is>
      </c>
      <c r="E3162" t="inlineStr">
        <is>
          <t>RAGUNDA</t>
        </is>
      </c>
      <c r="F3162" t="inlineStr">
        <is>
          <t>SCA</t>
        </is>
      </c>
      <c r="G3162" t="n">
        <v>0.9</v>
      </c>
      <c r="H3162" t="n">
        <v>0</v>
      </c>
      <c r="I3162" t="n">
        <v>0</v>
      </c>
      <c r="J3162" t="n">
        <v>0</v>
      </c>
      <c r="K3162" t="n">
        <v>0</v>
      </c>
      <c r="L3162" t="n">
        <v>0</v>
      </c>
      <c r="M3162" t="n">
        <v>0</v>
      </c>
      <c r="N3162" t="n">
        <v>0</v>
      </c>
      <c r="O3162" t="n">
        <v>0</v>
      </c>
      <c r="P3162" t="n">
        <v>0</v>
      </c>
      <c r="Q3162" t="n">
        <v>0</v>
      </c>
      <c r="R3162" s="2" t="inlineStr"/>
    </row>
    <row r="3163" ht="15" customHeight="1">
      <c r="A3163" t="inlineStr">
        <is>
          <t>A 44009-2020</t>
        </is>
      </c>
      <c r="B3163" s="1" t="n">
        <v>44083</v>
      </c>
      <c r="C3163" s="1" t="n">
        <v>45182</v>
      </c>
      <c r="D3163" t="inlineStr">
        <is>
          <t>JÄMTLANDS LÄN</t>
        </is>
      </c>
      <c r="E3163" t="inlineStr">
        <is>
          <t>STRÖMSUND</t>
        </is>
      </c>
      <c r="G3163" t="n">
        <v>3.2</v>
      </c>
      <c r="H3163" t="n">
        <v>0</v>
      </c>
      <c r="I3163" t="n">
        <v>0</v>
      </c>
      <c r="J3163" t="n">
        <v>0</v>
      </c>
      <c r="K3163" t="n">
        <v>0</v>
      </c>
      <c r="L3163" t="n">
        <v>0</v>
      </c>
      <c r="M3163" t="n">
        <v>0</v>
      </c>
      <c r="N3163" t="n">
        <v>0</v>
      </c>
      <c r="O3163" t="n">
        <v>0</v>
      </c>
      <c r="P3163" t="n">
        <v>0</v>
      </c>
      <c r="Q3163" t="n">
        <v>0</v>
      </c>
      <c r="R3163" s="2" t="inlineStr"/>
    </row>
    <row r="3164" ht="15" customHeight="1">
      <c r="A3164" t="inlineStr">
        <is>
          <t>A 44197-2020</t>
        </is>
      </c>
      <c r="B3164" s="1" t="n">
        <v>44083</v>
      </c>
      <c r="C3164" s="1" t="n">
        <v>45182</v>
      </c>
      <c r="D3164" t="inlineStr">
        <is>
          <t>JÄMTLANDS LÄN</t>
        </is>
      </c>
      <c r="E3164" t="inlineStr">
        <is>
          <t>STRÖMSUND</t>
        </is>
      </c>
      <c r="F3164" t="inlineStr">
        <is>
          <t>SCA</t>
        </is>
      </c>
      <c r="G3164" t="n">
        <v>1.4</v>
      </c>
      <c r="H3164" t="n">
        <v>0</v>
      </c>
      <c r="I3164" t="n">
        <v>0</v>
      </c>
      <c r="J3164" t="n">
        <v>0</v>
      </c>
      <c r="K3164" t="n">
        <v>0</v>
      </c>
      <c r="L3164" t="n">
        <v>0</v>
      </c>
      <c r="M3164" t="n">
        <v>0</v>
      </c>
      <c r="N3164" t="n">
        <v>0</v>
      </c>
      <c r="O3164" t="n">
        <v>0</v>
      </c>
      <c r="P3164" t="n">
        <v>0</v>
      </c>
      <c r="Q3164" t="n">
        <v>0</v>
      </c>
      <c r="R3164" s="2" t="inlineStr"/>
    </row>
    <row r="3165" ht="15" customHeight="1">
      <c r="A3165" t="inlineStr">
        <is>
          <t>A 44992-2020</t>
        </is>
      </c>
      <c r="B3165" s="1" t="n">
        <v>44083</v>
      </c>
      <c r="C3165" s="1" t="n">
        <v>45182</v>
      </c>
      <c r="D3165" t="inlineStr">
        <is>
          <t>JÄMTLANDS LÄN</t>
        </is>
      </c>
      <c r="E3165" t="inlineStr">
        <is>
          <t>STRÖMSUND</t>
        </is>
      </c>
      <c r="G3165" t="n">
        <v>20.3</v>
      </c>
      <c r="H3165" t="n">
        <v>0</v>
      </c>
      <c r="I3165" t="n">
        <v>0</v>
      </c>
      <c r="J3165" t="n">
        <v>0</v>
      </c>
      <c r="K3165" t="n">
        <v>0</v>
      </c>
      <c r="L3165" t="n">
        <v>0</v>
      </c>
      <c r="M3165" t="n">
        <v>0</v>
      </c>
      <c r="N3165" t="n">
        <v>0</v>
      </c>
      <c r="O3165" t="n">
        <v>0</v>
      </c>
      <c r="P3165" t="n">
        <v>0</v>
      </c>
      <c r="Q3165" t="n">
        <v>0</v>
      </c>
      <c r="R3165" s="2" t="inlineStr"/>
    </row>
    <row r="3166" ht="15" customHeight="1">
      <c r="A3166" t="inlineStr">
        <is>
          <t>A 44989-2020</t>
        </is>
      </c>
      <c r="B3166" s="1" t="n">
        <v>44083</v>
      </c>
      <c r="C3166" s="1" t="n">
        <v>45182</v>
      </c>
      <c r="D3166" t="inlineStr">
        <is>
          <t>JÄMTLANDS LÄN</t>
        </is>
      </c>
      <c r="E3166" t="inlineStr">
        <is>
          <t>STRÖMSUND</t>
        </is>
      </c>
      <c r="G3166" t="n">
        <v>8</v>
      </c>
      <c r="H3166" t="n">
        <v>0</v>
      </c>
      <c r="I3166" t="n">
        <v>0</v>
      </c>
      <c r="J3166" t="n">
        <v>0</v>
      </c>
      <c r="K3166" t="n">
        <v>0</v>
      </c>
      <c r="L3166" t="n">
        <v>0</v>
      </c>
      <c r="M3166" t="n">
        <v>0</v>
      </c>
      <c r="N3166" t="n">
        <v>0</v>
      </c>
      <c r="O3166" t="n">
        <v>0</v>
      </c>
      <c r="P3166" t="n">
        <v>0</v>
      </c>
      <c r="Q3166" t="n">
        <v>0</v>
      </c>
      <c r="R3166" s="2" t="inlineStr"/>
    </row>
    <row r="3167" ht="15" customHeight="1">
      <c r="A3167" t="inlineStr">
        <is>
          <t>A 44003-2020</t>
        </is>
      </c>
      <c r="B3167" s="1" t="n">
        <v>44083</v>
      </c>
      <c r="C3167" s="1" t="n">
        <v>45182</v>
      </c>
      <c r="D3167" t="inlineStr">
        <is>
          <t>JÄMTLANDS LÄN</t>
        </is>
      </c>
      <c r="E3167" t="inlineStr">
        <is>
          <t>BERG</t>
        </is>
      </c>
      <c r="G3167" t="n">
        <v>5.3</v>
      </c>
      <c r="H3167" t="n">
        <v>0</v>
      </c>
      <c r="I3167" t="n">
        <v>0</v>
      </c>
      <c r="J3167" t="n">
        <v>0</v>
      </c>
      <c r="K3167" t="n">
        <v>0</v>
      </c>
      <c r="L3167" t="n">
        <v>0</v>
      </c>
      <c r="M3167" t="n">
        <v>0</v>
      </c>
      <c r="N3167" t="n">
        <v>0</v>
      </c>
      <c r="O3167" t="n">
        <v>0</v>
      </c>
      <c r="P3167" t="n">
        <v>0</v>
      </c>
      <c r="Q3167" t="n">
        <v>0</v>
      </c>
      <c r="R3167" s="2" t="inlineStr"/>
    </row>
    <row r="3168" ht="15" customHeight="1">
      <c r="A3168" t="inlineStr">
        <is>
          <t>A 44065-2020</t>
        </is>
      </c>
      <c r="B3168" s="1" t="n">
        <v>44083</v>
      </c>
      <c r="C3168" s="1" t="n">
        <v>45182</v>
      </c>
      <c r="D3168" t="inlineStr">
        <is>
          <t>JÄMTLANDS LÄN</t>
        </is>
      </c>
      <c r="E3168" t="inlineStr">
        <is>
          <t>BRÄCKE</t>
        </is>
      </c>
      <c r="G3168" t="n">
        <v>1.9</v>
      </c>
      <c r="H3168" t="n">
        <v>0</v>
      </c>
      <c r="I3168" t="n">
        <v>0</v>
      </c>
      <c r="J3168" t="n">
        <v>0</v>
      </c>
      <c r="K3168" t="n">
        <v>0</v>
      </c>
      <c r="L3168" t="n">
        <v>0</v>
      </c>
      <c r="M3168" t="n">
        <v>0</v>
      </c>
      <c r="N3168" t="n">
        <v>0</v>
      </c>
      <c r="O3168" t="n">
        <v>0</v>
      </c>
      <c r="P3168" t="n">
        <v>0</v>
      </c>
      <c r="Q3168" t="n">
        <v>0</v>
      </c>
      <c r="R3168" s="2" t="inlineStr"/>
    </row>
    <row r="3169" ht="15" customHeight="1">
      <c r="A3169" t="inlineStr">
        <is>
          <t>A 44218-2020</t>
        </is>
      </c>
      <c r="B3169" s="1" t="n">
        <v>44084</v>
      </c>
      <c r="C3169" s="1" t="n">
        <v>45182</v>
      </c>
      <c r="D3169" t="inlineStr">
        <is>
          <t>JÄMTLANDS LÄN</t>
        </is>
      </c>
      <c r="E3169" t="inlineStr">
        <is>
          <t>BRÄCKE</t>
        </is>
      </c>
      <c r="G3169" t="n">
        <v>2</v>
      </c>
      <c r="H3169" t="n">
        <v>0</v>
      </c>
      <c r="I3169" t="n">
        <v>0</v>
      </c>
      <c r="J3169" t="n">
        <v>0</v>
      </c>
      <c r="K3169" t="n">
        <v>0</v>
      </c>
      <c r="L3169" t="n">
        <v>0</v>
      </c>
      <c r="M3169" t="n">
        <v>0</v>
      </c>
      <c r="N3169" t="n">
        <v>0</v>
      </c>
      <c r="O3169" t="n">
        <v>0</v>
      </c>
      <c r="P3169" t="n">
        <v>0</v>
      </c>
      <c r="Q3169" t="n">
        <v>0</v>
      </c>
      <c r="R3169" s="2" t="inlineStr"/>
    </row>
    <row r="3170" ht="15" customHeight="1">
      <c r="A3170" t="inlineStr">
        <is>
          <t>A 44422-2020</t>
        </is>
      </c>
      <c r="B3170" s="1" t="n">
        <v>44084</v>
      </c>
      <c r="C3170" s="1" t="n">
        <v>45182</v>
      </c>
      <c r="D3170" t="inlineStr">
        <is>
          <t>JÄMTLANDS LÄN</t>
        </is>
      </c>
      <c r="E3170" t="inlineStr">
        <is>
          <t>BERG</t>
        </is>
      </c>
      <c r="G3170" t="n">
        <v>6.9</v>
      </c>
      <c r="H3170" t="n">
        <v>0</v>
      </c>
      <c r="I3170" t="n">
        <v>0</v>
      </c>
      <c r="J3170" t="n">
        <v>0</v>
      </c>
      <c r="K3170" t="n">
        <v>0</v>
      </c>
      <c r="L3170" t="n">
        <v>0</v>
      </c>
      <c r="M3170" t="n">
        <v>0</v>
      </c>
      <c r="N3170" t="n">
        <v>0</v>
      </c>
      <c r="O3170" t="n">
        <v>0</v>
      </c>
      <c r="P3170" t="n">
        <v>0</v>
      </c>
      <c r="Q3170" t="n">
        <v>0</v>
      </c>
      <c r="R3170" s="2" t="inlineStr"/>
    </row>
    <row r="3171" ht="15" customHeight="1">
      <c r="A3171" t="inlineStr">
        <is>
          <t>A 44498-2020</t>
        </is>
      </c>
      <c r="B3171" s="1" t="n">
        <v>44084</v>
      </c>
      <c r="C3171" s="1" t="n">
        <v>45182</v>
      </c>
      <c r="D3171" t="inlineStr">
        <is>
          <t>JÄMTLANDS LÄN</t>
        </is>
      </c>
      <c r="E3171" t="inlineStr">
        <is>
          <t>RAGUNDA</t>
        </is>
      </c>
      <c r="F3171" t="inlineStr">
        <is>
          <t>SCA</t>
        </is>
      </c>
      <c r="G3171" t="n">
        <v>2.4</v>
      </c>
      <c r="H3171" t="n">
        <v>0</v>
      </c>
      <c r="I3171" t="n">
        <v>0</v>
      </c>
      <c r="J3171" t="n">
        <v>0</v>
      </c>
      <c r="K3171" t="n">
        <v>0</v>
      </c>
      <c r="L3171" t="n">
        <v>0</v>
      </c>
      <c r="M3171" t="n">
        <v>0</v>
      </c>
      <c r="N3171" t="n">
        <v>0</v>
      </c>
      <c r="O3171" t="n">
        <v>0</v>
      </c>
      <c r="P3171" t="n">
        <v>0</v>
      </c>
      <c r="Q3171" t="n">
        <v>0</v>
      </c>
      <c r="R3171" s="2" t="inlineStr"/>
    </row>
    <row r="3172" ht="15" customHeight="1">
      <c r="A3172" t="inlineStr">
        <is>
          <t>A 45272-2020</t>
        </is>
      </c>
      <c r="B3172" s="1" t="n">
        <v>44084</v>
      </c>
      <c r="C3172" s="1" t="n">
        <v>45182</v>
      </c>
      <c r="D3172" t="inlineStr">
        <is>
          <t>JÄMTLANDS LÄN</t>
        </is>
      </c>
      <c r="E3172" t="inlineStr">
        <is>
          <t>RAGUNDA</t>
        </is>
      </c>
      <c r="G3172" t="n">
        <v>4.7</v>
      </c>
      <c r="H3172" t="n">
        <v>0</v>
      </c>
      <c r="I3172" t="n">
        <v>0</v>
      </c>
      <c r="J3172" t="n">
        <v>0</v>
      </c>
      <c r="K3172" t="n">
        <v>0</v>
      </c>
      <c r="L3172" t="n">
        <v>0</v>
      </c>
      <c r="M3172" t="n">
        <v>0</v>
      </c>
      <c r="N3172" t="n">
        <v>0</v>
      </c>
      <c r="O3172" t="n">
        <v>0</v>
      </c>
      <c r="P3172" t="n">
        <v>0</v>
      </c>
      <c r="Q3172" t="n">
        <v>0</v>
      </c>
      <c r="R3172" s="2" t="inlineStr"/>
    </row>
    <row r="3173" ht="15" customHeight="1">
      <c r="A3173" t="inlineStr">
        <is>
          <t>A 44381-2020</t>
        </is>
      </c>
      <c r="B3173" s="1" t="n">
        <v>44084</v>
      </c>
      <c r="C3173" s="1" t="n">
        <v>45182</v>
      </c>
      <c r="D3173" t="inlineStr">
        <is>
          <t>JÄMTLANDS LÄN</t>
        </is>
      </c>
      <c r="E3173" t="inlineStr">
        <is>
          <t>HÄRJEDALEN</t>
        </is>
      </c>
      <c r="F3173" t="inlineStr">
        <is>
          <t>Holmen skog AB</t>
        </is>
      </c>
      <c r="G3173" t="n">
        <v>2.3</v>
      </c>
      <c r="H3173" t="n">
        <v>0</v>
      </c>
      <c r="I3173" t="n">
        <v>0</v>
      </c>
      <c r="J3173" t="n">
        <v>0</v>
      </c>
      <c r="K3173" t="n">
        <v>0</v>
      </c>
      <c r="L3173" t="n">
        <v>0</v>
      </c>
      <c r="M3173" t="n">
        <v>0</v>
      </c>
      <c r="N3173" t="n">
        <v>0</v>
      </c>
      <c r="O3173" t="n">
        <v>0</v>
      </c>
      <c r="P3173" t="n">
        <v>0</v>
      </c>
      <c r="Q3173" t="n">
        <v>0</v>
      </c>
      <c r="R3173" s="2" t="inlineStr"/>
    </row>
    <row r="3174" ht="15" customHeight="1">
      <c r="A3174" t="inlineStr">
        <is>
          <t>A 44511-2020</t>
        </is>
      </c>
      <c r="B3174" s="1" t="n">
        <v>44084</v>
      </c>
      <c r="C3174" s="1" t="n">
        <v>45182</v>
      </c>
      <c r="D3174" t="inlineStr">
        <is>
          <t>JÄMTLANDS LÄN</t>
        </is>
      </c>
      <c r="E3174" t="inlineStr">
        <is>
          <t>RAGUNDA</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44908-2020</t>
        </is>
      </c>
      <c r="B3175" s="1" t="n">
        <v>44088</v>
      </c>
      <c r="C3175" s="1" t="n">
        <v>45182</v>
      </c>
      <c r="D3175" t="inlineStr">
        <is>
          <t>JÄMTLANDS LÄN</t>
        </is>
      </c>
      <c r="E3175" t="inlineStr">
        <is>
          <t>BRÄCKE</t>
        </is>
      </c>
      <c r="G3175" t="n">
        <v>6.1</v>
      </c>
      <c r="H3175" t="n">
        <v>0</v>
      </c>
      <c r="I3175" t="n">
        <v>0</v>
      </c>
      <c r="J3175" t="n">
        <v>0</v>
      </c>
      <c r="K3175" t="n">
        <v>0</v>
      </c>
      <c r="L3175" t="n">
        <v>0</v>
      </c>
      <c r="M3175" t="n">
        <v>0</v>
      </c>
      <c r="N3175" t="n">
        <v>0</v>
      </c>
      <c r="O3175" t="n">
        <v>0</v>
      </c>
      <c r="P3175" t="n">
        <v>0</v>
      </c>
      <c r="Q3175" t="n">
        <v>0</v>
      </c>
      <c r="R3175" s="2" t="inlineStr"/>
    </row>
    <row r="3176" ht="15" customHeight="1">
      <c r="A3176" t="inlineStr">
        <is>
          <t>A 45426-2020</t>
        </is>
      </c>
      <c r="B3176" s="1" t="n">
        <v>44088</v>
      </c>
      <c r="C3176" s="1" t="n">
        <v>45182</v>
      </c>
      <c r="D3176" t="inlineStr">
        <is>
          <t>JÄMTLANDS LÄN</t>
        </is>
      </c>
      <c r="E3176" t="inlineStr">
        <is>
          <t>HÄRJEDALEN</t>
        </is>
      </c>
      <c r="G3176" t="n">
        <v>6.1</v>
      </c>
      <c r="H3176" t="n">
        <v>0</v>
      </c>
      <c r="I3176" t="n">
        <v>0</v>
      </c>
      <c r="J3176" t="n">
        <v>0</v>
      </c>
      <c r="K3176" t="n">
        <v>0</v>
      </c>
      <c r="L3176" t="n">
        <v>0</v>
      </c>
      <c r="M3176" t="n">
        <v>0</v>
      </c>
      <c r="N3176" t="n">
        <v>0</v>
      </c>
      <c r="O3176" t="n">
        <v>0</v>
      </c>
      <c r="P3176" t="n">
        <v>0</v>
      </c>
      <c r="Q3176" t="n">
        <v>0</v>
      </c>
      <c r="R3176" s="2" t="inlineStr"/>
    </row>
    <row r="3177" ht="15" customHeight="1">
      <c r="A3177" t="inlineStr">
        <is>
          <t>A 46920-2020</t>
        </is>
      </c>
      <c r="B3177" s="1" t="n">
        <v>44090</v>
      </c>
      <c r="C3177" s="1" t="n">
        <v>45182</v>
      </c>
      <c r="D3177" t="inlineStr">
        <is>
          <t>JÄMTLANDS LÄN</t>
        </is>
      </c>
      <c r="E3177" t="inlineStr">
        <is>
          <t>RAGUNDA</t>
        </is>
      </c>
      <c r="G3177" t="n">
        <v>4</v>
      </c>
      <c r="H3177" t="n">
        <v>0</v>
      </c>
      <c r="I3177" t="n">
        <v>0</v>
      </c>
      <c r="J3177" t="n">
        <v>0</v>
      </c>
      <c r="K3177" t="n">
        <v>0</v>
      </c>
      <c r="L3177" t="n">
        <v>0</v>
      </c>
      <c r="M3177" t="n">
        <v>0</v>
      </c>
      <c r="N3177" t="n">
        <v>0</v>
      </c>
      <c r="O3177" t="n">
        <v>0</v>
      </c>
      <c r="P3177" t="n">
        <v>0</v>
      </c>
      <c r="Q3177" t="n">
        <v>0</v>
      </c>
      <c r="R3177" s="2" t="inlineStr"/>
    </row>
    <row r="3178" ht="15" customHeight="1">
      <c r="A3178" t="inlineStr">
        <is>
          <t>A 45602-2020</t>
        </is>
      </c>
      <c r="B3178" s="1" t="n">
        <v>44090</v>
      </c>
      <c r="C3178" s="1" t="n">
        <v>45182</v>
      </c>
      <c r="D3178" t="inlineStr">
        <is>
          <t>JÄMTLANDS LÄN</t>
        </is>
      </c>
      <c r="E3178" t="inlineStr">
        <is>
          <t>KROKOM</t>
        </is>
      </c>
      <c r="F3178" t="inlineStr">
        <is>
          <t>Övriga Aktiebolag</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45832-2020</t>
        </is>
      </c>
      <c r="B3179" s="1" t="n">
        <v>44090</v>
      </c>
      <c r="C3179" s="1" t="n">
        <v>45182</v>
      </c>
      <c r="D3179" t="inlineStr">
        <is>
          <t>JÄMTLANDS LÄN</t>
        </is>
      </c>
      <c r="E3179" t="inlineStr">
        <is>
          <t>BRÄCKE</t>
        </is>
      </c>
      <c r="F3179" t="inlineStr">
        <is>
          <t>SCA</t>
        </is>
      </c>
      <c r="G3179" t="n">
        <v>4.9</v>
      </c>
      <c r="H3179" t="n">
        <v>0</v>
      </c>
      <c r="I3179" t="n">
        <v>0</v>
      </c>
      <c r="J3179" t="n">
        <v>0</v>
      </c>
      <c r="K3179" t="n">
        <v>0</v>
      </c>
      <c r="L3179" t="n">
        <v>0</v>
      </c>
      <c r="M3179" t="n">
        <v>0</v>
      </c>
      <c r="N3179" t="n">
        <v>0</v>
      </c>
      <c r="O3179" t="n">
        <v>0</v>
      </c>
      <c r="P3179" t="n">
        <v>0</v>
      </c>
      <c r="Q3179" t="n">
        <v>0</v>
      </c>
      <c r="R3179" s="2" t="inlineStr"/>
    </row>
    <row r="3180" ht="15" customHeight="1">
      <c r="A3180" t="inlineStr">
        <is>
          <t>A 45820-2020</t>
        </is>
      </c>
      <c r="B3180" s="1" t="n">
        <v>44090</v>
      </c>
      <c r="C3180" s="1" t="n">
        <v>45182</v>
      </c>
      <c r="D3180" t="inlineStr">
        <is>
          <t>JÄMTLANDS LÄN</t>
        </is>
      </c>
      <c r="E3180" t="inlineStr">
        <is>
          <t>ÖSTERSUND</t>
        </is>
      </c>
      <c r="F3180" t="inlineStr">
        <is>
          <t>SCA</t>
        </is>
      </c>
      <c r="G3180" t="n">
        <v>2.3</v>
      </c>
      <c r="H3180" t="n">
        <v>0</v>
      </c>
      <c r="I3180" t="n">
        <v>0</v>
      </c>
      <c r="J3180" t="n">
        <v>0</v>
      </c>
      <c r="K3180" t="n">
        <v>0</v>
      </c>
      <c r="L3180" t="n">
        <v>0</v>
      </c>
      <c r="M3180" t="n">
        <v>0</v>
      </c>
      <c r="N3180" t="n">
        <v>0</v>
      </c>
      <c r="O3180" t="n">
        <v>0</v>
      </c>
      <c r="P3180" t="n">
        <v>0</v>
      </c>
      <c r="Q3180" t="n">
        <v>0</v>
      </c>
      <c r="R3180" s="2" t="inlineStr"/>
    </row>
    <row r="3181" ht="15" customHeight="1">
      <c r="A3181" t="inlineStr">
        <is>
          <t>A 46103-2020</t>
        </is>
      </c>
      <c r="B3181" s="1" t="n">
        <v>44091</v>
      </c>
      <c r="C3181" s="1" t="n">
        <v>45182</v>
      </c>
      <c r="D3181" t="inlineStr">
        <is>
          <t>JÄMTLANDS LÄN</t>
        </is>
      </c>
      <c r="E3181" t="inlineStr">
        <is>
          <t>HÄRJEDALEN</t>
        </is>
      </c>
      <c r="G3181" t="n">
        <v>2.8</v>
      </c>
      <c r="H3181" t="n">
        <v>0</v>
      </c>
      <c r="I3181" t="n">
        <v>0</v>
      </c>
      <c r="J3181" t="n">
        <v>0</v>
      </c>
      <c r="K3181" t="n">
        <v>0</v>
      </c>
      <c r="L3181" t="n">
        <v>0</v>
      </c>
      <c r="M3181" t="n">
        <v>0</v>
      </c>
      <c r="N3181" t="n">
        <v>0</v>
      </c>
      <c r="O3181" t="n">
        <v>0</v>
      </c>
      <c r="P3181" t="n">
        <v>0</v>
      </c>
      <c r="Q3181" t="n">
        <v>0</v>
      </c>
      <c r="R3181" s="2" t="inlineStr"/>
    </row>
    <row r="3182" ht="15" customHeight="1">
      <c r="A3182" t="inlineStr">
        <is>
          <t>A 45866-2020</t>
        </is>
      </c>
      <c r="B3182" s="1" t="n">
        <v>44091</v>
      </c>
      <c r="C3182" s="1" t="n">
        <v>45182</v>
      </c>
      <c r="D3182" t="inlineStr">
        <is>
          <t>JÄMTLANDS LÄN</t>
        </is>
      </c>
      <c r="E3182" t="inlineStr">
        <is>
          <t>HÄRJEDALEN</t>
        </is>
      </c>
      <c r="G3182" t="n">
        <v>0.2</v>
      </c>
      <c r="H3182" t="n">
        <v>0</v>
      </c>
      <c r="I3182" t="n">
        <v>0</v>
      </c>
      <c r="J3182" t="n">
        <v>0</v>
      </c>
      <c r="K3182" t="n">
        <v>0</v>
      </c>
      <c r="L3182" t="n">
        <v>0</v>
      </c>
      <c r="M3182" t="n">
        <v>0</v>
      </c>
      <c r="N3182" t="n">
        <v>0</v>
      </c>
      <c r="O3182" t="n">
        <v>0</v>
      </c>
      <c r="P3182" t="n">
        <v>0</v>
      </c>
      <c r="Q3182" t="n">
        <v>0</v>
      </c>
      <c r="R3182" s="2" t="inlineStr"/>
    </row>
    <row r="3183" ht="15" customHeight="1">
      <c r="A3183" t="inlineStr">
        <is>
          <t>A 46310-2020</t>
        </is>
      </c>
      <c r="B3183" s="1" t="n">
        <v>44092</v>
      </c>
      <c r="C3183" s="1" t="n">
        <v>45182</v>
      </c>
      <c r="D3183" t="inlineStr">
        <is>
          <t>JÄMTLANDS LÄN</t>
        </is>
      </c>
      <c r="E3183" t="inlineStr">
        <is>
          <t>HÄRJEDALEN</t>
        </is>
      </c>
      <c r="F3183" t="inlineStr">
        <is>
          <t>Bergvik skog väst AB</t>
        </is>
      </c>
      <c r="G3183" t="n">
        <v>26.6</v>
      </c>
      <c r="H3183" t="n">
        <v>0</v>
      </c>
      <c r="I3183" t="n">
        <v>0</v>
      </c>
      <c r="J3183" t="n">
        <v>0</v>
      </c>
      <c r="K3183" t="n">
        <v>0</v>
      </c>
      <c r="L3183" t="n">
        <v>0</v>
      </c>
      <c r="M3183" t="n">
        <v>0</v>
      </c>
      <c r="N3183" t="n">
        <v>0</v>
      </c>
      <c r="O3183" t="n">
        <v>0</v>
      </c>
      <c r="P3183" t="n">
        <v>0</v>
      </c>
      <c r="Q3183" t="n">
        <v>0</v>
      </c>
      <c r="R3183" s="2" t="inlineStr"/>
    </row>
    <row r="3184" ht="15" customHeight="1">
      <c r="A3184" t="inlineStr">
        <is>
          <t>A 46657-2020</t>
        </is>
      </c>
      <c r="B3184" s="1" t="n">
        <v>44095</v>
      </c>
      <c r="C3184" s="1" t="n">
        <v>45182</v>
      </c>
      <c r="D3184" t="inlineStr">
        <is>
          <t>JÄMTLANDS LÄN</t>
        </is>
      </c>
      <c r="E3184" t="inlineStr">
        <is>
          <t>BERG</t>
        </is>
      </c>
      <c r="F3184" t="inlineStr">
        <is>
          <t>Kommuner</t>
        </is>
      </c>
      <c r="G3184" t="n">
        <v>3.8</v>
      </c>
      <c r="H3184" t="n">
        <v>0</v>
      </c>
      <c r="I3184" t="n">
        <v>0</v>
      </c>
      <c r="J3184" t="n">
        <v>0</v>
      </c>
      <c r="K3184" t="n">
        <v>0</v>
      </c>
      <c r="L3184" t="n">
        <v>0</v>
      </c>
      <c r="M3184" t="n">
        <v>0</v>
      </c>
      <c r="N3184" t="n">
        <v>0</v>
      </c>
      <c r="O3184" t="n">
        <v>0</v>
      </c>
      <c r="P3184" t="n">
        <v>0</v>
      </c>
      <c r="Q3184" t="n">
        <v>0</v>
      </c>
      <c r="R3184" s="2" t="inlineStr"/>
    </row>
    <row r="3185" ht="15" customHeight="1">
      <c r="A3185" t="inlineStr">
        <is>
          <t>A 46496-2020</t>
        </is>
      </c>
      <c r="B3185" s="1" t="n">
        <v>44095</v>
      </c>
      <c r="C3185" s="1" t="n">
        <v>45182</v>
      </c>
      <c r="D3185" t="inlineStr">
        <is>
          <t>JÄMTLANDS LÄN</t>
        </is>
      </c>
      <c r="E3185" t="inlineStr">
        <is>
          <t>RAGUNDA</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46589-2020</t>
        </is>
      </c>
      <c r="B3186" s="1" t="n">
        <v>44095</v>
      </c>
      <c r="C3186" s="1" t="n">
        <v>45182</v>
      </c>
      <c r="D3186" t="inlineStr">
        <is>
          <t>JÄMTLANDS LÄN</t>
        </is>
      </c>
      <c r="E3186" t="inlineStr">
        <is>
          <t>KROKOM</t>
        </is>
      </c>
      <c r="G3186" t="n">
        <v>8.5</v>
      </c>
      <c r="H3186" t="n">
        <v>0</v>
      </c>
      <c r="I3186" t="n">
        <v>0</v>
      </c>
      <c r="J3186" t="n">
        <v>0</v>
      </c>
      <c r="K3186" t="n">
        <v>0</v>
      </c>
      <c r="L3186" t="n">
        <v>0</v>
      </c>
      <c r="M3186" t="n">
        <v>0</v>
      </c>
      <c r="N3186" t="n">
        <v>0</v>
      </c>
      <c r="O3186" t="n">
        <v>0</v>
      </c>
      <c r="P3186" t="n">
        <v>0</v>
      </c>
      <c r="Q3186" t="n">
        <v>0</v>
      </c>
      <c r="R3186" s="2" t="inlineStr"/>
    </row>
    <row r="3187" ht="15" customHeight="1">
      <c r="A3187" t="inlineStr">
        <is>
          <t>A 46616-2020</t>
        </is>
      </c>
      <c r="B3187" s="1" t="n">
        <v>44095</v>
      </c>
      <c r="C3187" s="1" t="n">
        <v>45182</v>
      </c>
      <c r="D3187" t="inlineStr">
        <is>
          <t>JÄMTLANDS LÄN</t>
        </is>
      </c>
      <c r="E3187" t="inlineStr">
        <is>
          <t>BERG</t>
        </is>
      </c>
      <c r="F3187" t="inlineStr">
        <is>
          <t>Kommuner</t>
        </is>
      </c>
      <c r="G3187" t="n">
        <v>42.8</v>
      </c>
      <c r="H3187" t="n">
        <v>0</v>
      </c>
      <c r="I3187" t="n">
        <v>0</v>
      </c>
      <c r="J3187" t="n">
        <v>0</v>
      </c>
      <c r="K3187" t="n">
        <v>0</v>
      </c>
      <c r="L3187" t="n">
        <v>0</v>
      </c>
      <c r="M3187" t="n">
        <v>0</v>
      </c>
      <c r="N3187" t="n">
        <v>0</v>
      </c>
      <c r="O3187" t="n">
        <v>0</v>
      </c>
      <c r="P3187" t="n">
        <v>0</v>
      </c>
      <c r="Q3187" t="n">
        <v>0</v>
      </c>
      <c r="R3187" s="2" t="inlineStr"/>
    </row>
    <row r="3188" ht="15" customHeight="1">
      <c r="A3188" t="inlineStr">
        <is>
          <t>A 46635-2020</t>
        </is>
      </c>
      <c r="B3188" s="1" t="n">
        <v>44095</v>
      </c>
      <c r="C3188" s="1" t="n">
        <v>45182</v>
      </c>
      <c r="D3188" t="inlineStr">
        <is>
          <t>JÄMTLANDS LÄN</t>
        </is>
      </c>
      <c r="E3188" t="inlineStr">
        <is>
          <t>BERG</t>
        </is>
      </c>
      <c r="F3188" t="inlineStr">
        <is>
          <t>Kommuner</t>
        </is>
      </c>
      <c r="G3188" t="n">
        <v>14.5</v>
      </c>
      <c r="H3188" t="n">
        <v>0</v>
      </c>
      <c r="I3188" t="n">
        <v>0</v>
      </c>
      <c r="J3188" t="n">
        <v>0</v>
      </c>
      <c r="K3188" t="n">
        <v>0</v>
      </c>
      <c r="L3188" t="n">
        <v>0</v>
      </c>
      <c r="M3188" t="n">
        <v>0</v>
      </c>
      <c r="N3188" t="n">
        <v>0</v>
      </c>
      <c r="O3188" t="n">
        <v>0</v>
      </c>
      <c r="P3188" t="n">
        <v>0</v>
      </c>
      <c r="Q3188" t="n">
        <v>0</v>
      </c>
      <c r="R3188" s="2" t="inlineStr"/>
    </row>
    <row r="3189" ht="15" customHeight="1">
      <c r="A3189" t="inlineStr">
        <is>
          <t>A 46425-2020</t>
        </is>
      </c>
      <c r="B3189" s="1" t="n">
        <v>44095</v>
      </c>
      <c r="C3189" s="1" t="n">
        <v>45182</v>
      </c>
      <c r="D3189" t="inlineStr">
        <is>
          <t>JÄMTLANDS LÄN</t>
        </is>
      </c>
      <c r="E3189" t="inlineStr">
        <is>
          <t>STRÖMSUND</t>
        </is>
      </c>
      <c r="F3189" t="inlineStr">
        <is>
          <t>Sveaskog</t>
        </is>
      </c>
      <c r="G3189" t="n">
        <v>4.4</v>
      </c>
      <c r="H3189" t="n">
        <v>0</v>
      </c>
      <c r="I3189" t="n">
        <v>0</v>
      </c>
      <c r="J3189" t="n">
        <v>0</v>
      </c>
      <c r="K3189" t="n">
        <v>0</v>
      </c>
      <c r="L3189" t="n">
        <v>0</v>
      </c>
      <c r="M3189" t="n">
        <v>0</v>
      </c>
      <c r="N3189" t="n">
        <v>0</v>
      </c>
      <c r="O3189" t="n">
        <v>0</v>
      </c>
      <c r="P3189" t="n">
        <v>0</v>
      </c>
      <c r="Q3189" t="n">
        <v>0</v>
      </c>
      <c r="R3189" s="2" t="inlineStr"/>
    </row>
    <row r="3190" ht="15" customHeight="1">
      <c r="A3190" t="inlineStr">
        <is>
          <t>A 46540-2020</t>
        </is>
      </c>
      <c r="B3190" s="1" t="n">
        <v>44095</v>
      </c>
      <c r="C3190" s="1" t="n">
        <v>45182</v>
      </c>
      <c r="D3190" t="inlineStr">
        <is>
          <t>JÄMTLANDS LÄN</t>
        </is>
      </c>
      <c r="E3190" t="inlineStr">
        <is>
          <t>STRÖMSUND</t>
        </is>
      </c>
      <c r="F3190" t="inlineStr">
        <is>
          <t>Holmen skog AB</t>
        </is>
      </c>
      <c r="G3190" t="n">
        <v>10.8</v>
      </c>
      <c r="H3190" t="n">
        <v>0</v>
      </c>
      <c r="I3190" t="n">
        <v>0</v>
      </c>
      <c r="J3190" t="n">
        <v>0</v>
      </c>
      <c r="K3190" t="n">
        <v>0</v>
      </c>
      <c r="L3190" t="n">
        <v>0</v>
      </c>
      <c r="M3190" t="n">
        <v>0</v>
      </c>
      <c r="N3190" t="n">
        <v>0</v>
      </c>
      <c r="O3190" t="n">
        <v>0</v>
      </c>
      <c r="P3190" t="n">
        <v>0</v>
      </c>
      <c r="Q3190" t="n">
        <v>0</v>
      </c>
      <c r="R3190" s="2" t="inlineStr"/>
    </row>
    <row r="3191" ht="15" customHeight="1">
      <c r="A3191" t="inlineStr">
        <is>
          <t>A 46597-2020</t>
        </is>
      </c>
      <c r="B3191" s="1" t="n">
        <v>44095</v>
      </c>
      <c r="C3191" s="1" t="n">
        <v>45182</v>
      </c>
      <c r="D3191" t="inlineStr">
        <is>
          <t>JÄMTLANDS LÄN</t>
        </is>
      </c>
      <c r="E3191" t="inlineStr">
        <is>
          <t>KROKOM</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46426-2020</t>
        </is>
      </c>
      <c r="B3192" s="1" t="n">
        <v>44095</v>
      </c>
      <c r="C3192" s="1" t="n">
        <v>45182</v>
      </c>
      <c r="D3192" t="inlineStr">
        <is>
          <t>JÄMTLANDS LÄN</t>
        </is>
      </c>
      <c r="E3192" t="inlineStr">
        <is>
          <t>STRÖMSUND</t>
        </is>
      </c>
      <c r="F3192" t="inlineStr">
        <is>
          <t>Sveaskog</t>
        </is>
      </c>
      <c r="G3192" t="n">
        <v>7.9</v>
      </c>
      <c r="H3192" t="n">
        <v>0</v>
      </c>
      <c r="I3192" t="n">
        <v>0</v>
      </c>
      <c r="J3192" t="n">
        <v>0</v>
      </c>
      <c r="K3192" t="n">
        <v>0</v>
      </c>
      <c r="L3192" t="n">
        <v>0</v>
      </c>
      <c r="M3192" t="n">
        <v>0</v>
      </c>
      <c r="N3192" t="n">
        <v>0</v>
      </c>
      <c r="O3192" t="n">
        <v>0</v>
      </c>
      <c r="P3192" t="n">
        <v>0</v>
      </c>
      <c r="Q3192" t="n">
        <v>0</v>
      </c>
      <c r="R3192" s="2" t="inlineStr"/>
    </row>
    <row r="3193" ht="15" customHeight="1">
      <c r="A3193" t="inlineStr">
        <is>
          <t>A 46982-2020</t>
        </is>
      </c>
      <c r="B3193" s="1" t="n">
        <v>44096</v>
      </c>
      <c r="C3193" s="1" t="n">
        <v>45182</v>
      </c>
      <c r="D3193" t="inlineStr">
        <is>
          <t>JÄMTLANDS LÄN</t>
        </is>
      </c>
      <c r="E3193" t="inlineStr">
        <is>
          <t>ÅRE</t>
        </is>
      </c>
      <c r="G3193" t="n">
        <v>2</v>
      </c>
      <c r="H3193" t="n">
        <v>0</v>
      </c>
      <c r="I3193" t="n">
        <v>0</v>
      </c>
      <c r="J3193" t="n">
        <v>0</v>
      </c>
      <c r="K3193" t="n">
        <v>0</v>
      </c>
      <c r="L3193" t="n">
        <v>0</v>
      </c>
      <c r="M3193" t="n">
        <v>0</v>
      </c>
      <c r="N3193" t="n">
        <v>0</v>
      </c>
      <c r="O3193" t="n">
        <v>0</v>
      </c>
      <c r="P3193" t="n">
        <v>0</v>
      </c>
      <c r="Q3193" t="n">
        <v>0</v>
      </c>
      <c r="R3193" s="2" t="inlineStr"/>
    </row>
    <row r="3194" ht="15" customHeight="1">
      <c r="A3194" t="inlineStr">
        <is>
          <t>A 47122-2020</t>
        </is>
      </c>
      <c r="B3194" s="1" t="n">
        <v>44096</v>
      </c>
      <c r="C3194" s="1" t="n">
        <v>45182</v>
      </c>
      <c r="D3194" t="inlineStr">
        <is>
          <t>JÄMTLANDS LÄN</t>
        </is>
      </c>
      <c r="E3194" t="inlineStr">
        <is>
          <t>RAGUNDA</t>
        </is>
      </c>
      <c r="F3194" t="inlineStr">
        <is>
          <t>SCA</t>
        </is>
      </c>
      <c r="G3194" t="n">
        <v>4.4</v>
      </c>
      <c r="H3194" t="n">
        <v>0</v>
      </c>
      <c r="I3194" t="n">
        <v>0</v>
      </c>
      <c r="J3194" t="n">
        <v>0</v>
      </c>
      <c r="K3194" t="n">
        <v>0</v>
      </c>
      <c r="L3194" t="n">
        <v>0</v>
      </c>
      <c r="M3194" t="n">
        <v>0</v>
      </c>
      <c r="N3194" t="n">
        <v>0</v>
      </c>
      <c r="O3194" t="n">
        <v>0</v>
      </c>
      <c r="P3194" t="n">
        <v>0</v>
      </c>
      <c r="Q3194" t="n">
        <v>0</v>
      </c>
      <c r="R3194" s="2" t="inlineStr"/>
    </row>
    <row r="3195" ht="15" customHeight="1">
      <c r="A3195" t="inlineStr">
        <is>
          <t>A 47131-2020</t>
        </is>
      </c>
      <c r="B3195" s="1" t="n">
        <v>44096</v>
      </c>
      <c r="C3195" s="1" t="n">
        <v>45182</v>
      </c>
      <c r="D3195" t="inlineStr">
        <is>
          <t>JÄMTLANDS LÄN</t>
        </is>
      </c>
      <c r="E3195" t="inlineStr">
        <is>
          <t>RAGUNDA</t>
        </is>
      </c>
      <c r="F3195" t="inlineStr">
        <is>
          <t>SCA</t>
        </is>
      </c>
      <c r="G3195" t="n">
        <v>1.7</v>
      </c>
      <c r="H3195" t="n">
        <v>0</v>
      </c>
      <c r="I3195" t="n">
        <v>0</v>
      </c>
      <c r="J3195" t="n">
        <v>0</v>
      </c>
      <c r="K3195" t="n">
        <v>0</v>
      </c>
      <c r="L3195" t="n">
        <v>0</v>
      </c>
      <c r="M3195" t="n">
        <v>0</v>
      </c>
      <c r="N3195" t="n">
        <v>0</v>
      </c>
      <c r="O3195" t="n">
        <v>0</v>
      </c>
      <c r="P3195" t="n">
        <v>0</v>
      </c>
      <c r="Q3195" t="n">
        <v>0</v>
      </c>
      <c r="R3195" s="2" t="inlineStr"/>
    </row>
    <row r="3196" ht="15" customHeight="1">
      <c r="A3196" t="inlineStr">
        <is>
          <t>A 47685-2020</t>
        </is>
      </c>
      <c r="B3196" s="1" t="n">
        <v>44096</v>
      </c>
      <c r="C3196" s="1" t="n">
        <v>45182</v>
      </c>
      <c r="D3196" t="inlineStr">
        <is>
          <t>JÄMTLANDS LÄN</t>
        </is>
      </c>
      <c r="E3196" t="inlineStr">
        <is>
          <t>HÄRJEDALEN</t>
        </is>
      </c>
      <c r="F3196" t="inlineStr">
        <is>
          <t>Sveaskog</t>
        </is>
      </c>
      <c r="G3196" t="n">
        <v>2.3</v>
      </c>
      <c r="H3196" t="n">
        <v>0</v>
      </c>
      <c r="I3196" t="n">
        <v>0</v>
      </c>
      <c r="J3196" t="n">
        <v>0</v>
      </c>
      <c r="K3196" t="n">
        <v>0</v>
      </c>
      <c r="L3196" t="n">
        <v>0</v>
      </c>
      <c r="M3196" t="n">
        <v>0</v>
      </c>
      <c r="N3196" t="n">
        <v>0</v>
      </c>
      <c r="O3196" t="n">
        <v>0</v>
      </c>
      <c r="P3196" t="n">
        <v>0</v>
      </c>
      <c r="Q3196" t="n">
        <v>0</v>
      </c>
      <c r="R3196" s="2" t="inlineStr"/>
    </row>
    <row r="3197" ht="15" customHeight="1">
      <c r="A3197" t="inlineStr">
        <is>
          <t>A 47125-2020</t>
        </is>
      </c>
      <c r="B3197" s="1" t="n">
        <v>44096</v>
      </c>
      <c r="C3197" s="1" t="n">
        <v>45182</v>
      </c>
      <c r="D3197" t="inlineStr">
        <is>
          <t>JÄMTLANDS LÄN</t>
        </is>
      </c>
      <c r="E3197" t="inlineStr">
        <is>
          <t>STRÖMSUND</t>
        </is>
      </c>
      <c r="F3197" t="inlineStr">
        <is>
          <t>SCA</t>
        </is>
      </c>
      <c r="G3197" t="n">
        <v>11.1</v>
      </c>
      <c r="H3197" t="n">
        <v>0</v>
      </c>
      <c r="I3197" t="n">
        <v>0</v>
      </c>
      <c r="J3197" t="n">
        <v>0</v>
      </c>
      <c r="K3197" t="n">
        <v>0</v>
      </c>
      <c r="L3197" t="n">
        <v>0</v>
      </c>
      <c r="M3197" t="n">
        <v>0</v>
      </c>
      <c r="N3197" t="n">
        <v>0</v>
      </c>
      <c r="O3197" t="n">
        <v>0</v>
      </c>
      <c r="P3197" t="n">
        <v>0</v>
      </c>
      <c r="Q3197" t="n">
        <v>0</v>
      </c>
      <c r="R3197" s="2" t="inlineStr"/>
    </row>
    <row r="3198" ht="15" customHeight="1">
      <c r="A3198" t="inlineStr">
        <is>
          <t>A 47126-2020</t>
        </is>
      </c>
      <c r="B3198" s="1" t="n">
        <v>44096</v>
      </c>
      <c r="C3198" s="1" t="n">
        <v>45182</v>
      </c>
      <c r="D3198" t="inlineStr">
        <is>
          <t>JÄMTLANDS LÄN</t>
        </is>
      </c>
      <c r="E3198" t="inlineStr">
        <is>
          <t>STRÖMSUND</t>
        </is>
      </c>
      <c r="F3198" t="inlineStr">
        <is>
          <t>SCA</t>
        </is>
      </c>
      <c r="G3198" t="n">
        <v>8.1</v>
      </c>
      <c r="H3198" t="n">
        <v>0</v>
      </c>
      <c r="I3198" t="n">
        <v>0</v>
      </c>
      <c r="J3198" t="n">
        <v>0</v>
      </c>
      <c r="K3198" t="n">
        <v>0</v>
      </c>
      <c r="L3198" t="n">
        <v>0</v>
      </c>
      <c r="M3198" t="n">
        <v>0</v>
      </c>
      <c r="N3198" t="n">
        <v>0</v>
      </c>
      <c r="O3198" t="n">
        <v>0</v>
      </c>
      <c r="P3198" t="n">
        <v>0</v>
      </c>
      <c r="Q3198" t="n">
        <v>0</v>
      </c>
      <c r="R3198" s="2" t="inlineStr"/>
    </row>
    <row r="3199" ht="15" customHeight="1">
      <c r="A3199" t="inlineStr">
        <is>
          <t>A 47825-2020</t>
        </is>
      </c>
      <c r="B3199" s="1" t="n">
        <v>44098</v>
      </c>
      <c r="C3199" s="1" t="n">
        <v>45182</v>
      </c>
      <c r="D3199" t="inlineStr">
        <is>
          <t>JÄMTLANDS LÄN</t>
        </is>
      </c>
      <c r="E3199" t="inlineStr">
        <is>
          <t>RAGUNDA</t>
        </is>
      </c>
      <c r="G3199" t="n">
        <v>1.1</v>
      </c>
      <c r="H3199" t="n">
        <v>0</v>
      </c>
      <c r="I3199" t="n">
        <v>0</v>
      </c>
      <c r="J3199" t="n">
        <v>0</v>
      </c>
      <c r="K3199" t="n">
        <v>0</v>
      </c>
      <c r="L3199" t="n">
        <v>0</v>
      </c>
      <c r="M3199" t="n">
        <v>0</v>
      </c>
      <c r="N3199" t="n">
        <v>0</v>
      </c>
      <c r="O3199" t="n">
        <v>0</v>
      </c>
      <c r="P3199" t="n">
        <v>0</v>
      </c>
      <c r="Q3199" t="n">
        <v>0</v>
      </c>
      <c r="R3199" s="2" t="inlineStr"/>
    </row>
    <row r="3200" ht="15" customHeight="1">
      <c r="A3200" t="inlineStr">
        <is>
          <t>A 47864-2020</t>
        </is>
      </c>
      <c r="B3200" s="1" t="n">
        <v>44098</v>
      </c>
      <c r="C3200" s="1" t="n">
        <v>45182</v>
      </c>
      <c r="D3200" t="inlineStr">
        <is>
          <t>JÄMTLANDS LÄN</t>
        </is>
      </c>
      <c r="E3200" t="inlineStr">
        <is>
          <t>BRÄCKE</t>
        </is>
      </c>
      <c r="F3200" t="inlineStr">
        <is>
          <t>SCA</t>
        </is>
      </c>
      <c r="G3200" t="n">
        <v>1.9</v>
      </c>
      <c r="H3200" t="n">
        <v>0</v>
      </c>
      <c r="I3200" t="n">
        <v>0</v>
      </c>
      <c r="J3200" t="n">
        <v>0</v>
      </c>
      <c r="K3200" t="n">
        <v>0</v>
      </c>
      <c r="L3200" t="n">
        <v>0</v>
      </c>
      <c r="M3200" t="n">
        <v>0</v>
      </c>
      <c r="N3200" t="n">
        <v>0</v>
      </c>
      <c r="O3200" t="n">
        <v>0</v>
      </c>
      <c r="P3200" t="n">
        <v>0</v>
      </c>
      <c r="Q3200" t="n">
        <v>0</v>
      </c>
      <c r="R3200" s="2" t="inlineStr"/>
    </row>
    <row r="3201" ht="15" customHeight="1">
      <c r="A3201" t="inlineStr">
        <is>
          <t>A 47504-2020</t>
        </is>
      </c>
      <c r="B3201" s="1" t="n">
        <v>44098</v>
      </c>
      <c r="C3201" s="1" t="n">
        <v>45182</v>
      </c>
      <c r="D3201" t="inlineStr">
        <is>
          <t>JÄMTLANDS LÄN</t>
        </is>
      </c>
      <c r="E3201" t="inlineStr">
        <is>
          <t>STRÖMSUND</t>
        </is>
      </c>
      <c r="F3201" t="inlineStr">
        <is>
          <t>Holmen skog AB</t>
        </is>
      </c>
      <c r="G3201" t="n">
        <v>6.6</v>
      </c>
      <c r="H3201" t="n">
        <v>0</v>
      </c>
      <c r="I3201" t="n">
        <v>0</v>
      </c>
      <c r="J3201" t="n">
        <v>0</v>
      </c>
      <c r="K3201" t="n">
        <v>0</v>
      </c>
      <c r="L3201" t="n">
        <v>0</v>
      </c>
      <c r="M3201" t="n">
        <v>0</v>
      </c>
      <c r="N3201" t="n">
        <v>0</v>
      </c>
      <c r="O3201" t="n">
        <v>0</v>
      </c>
      <c r="P3201" t="n">
        <v>0</v>
      </c>
      <c r="Q3201" t="n">
        <v>0</v>
      </c>
      <c r="R3201" s="2" t="inlineStr"/>
    </row>
    <row r="3202" ht="15" customHeight="1">
      <c r="A3202" t="inlineStr">
        <is>
          <t>A 47838-2020</t>
        </is>
      </c>
      <c r="B3202" s="1" t="n">
        <v>44098</v>
      </c>
      <c r="C3202" s="1" t="n">
        <v>45182</v>
      </c>
      <c r="D3202" t="inlineStr">
        <is>
          <t>JÄMTLANDS LÄN</t>
        </is>
      </c>
      <c r="E3202" t="inlineStr">
        <is>
          <t>BRÄCKE</t>
        </is>
      </c>
      <c r="F3202" t="inlineStr">
        <is>
          <t>SCA</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48667-2020</t>
        </is>
      </c>
      <c r="B3203" s="1" t="n">
        <v>44098</v>
      </c>
      <c r="C3203" s="1" t="n">
        <v>45182</v>
      </c>
      <c r="D3203" t="inlineStr">
        <is>
          <t>JÄMTLANDS LÄN</t>
        </is>
      </c>
      <c r="E3203" t="inlineStr">
        <is>
          <t>BRÄCKE</t>
        </is>
      </c>
      <c r="F3203" t="inlineStr">
        <is>
          <t>SCA</t>
        </is>
      </c>
      <c r="G3203" t="n">
        <v>8.199999999999999</v>
      </c>
      <c r="H3203" t="n">
        <v>0</v>
      </c>
      <c r="I3203" t="n">
        <v>0</v>
      </c>
      <c r="J3203" t="n">
        <v>0</v>
      </c>
      <c r="K3203" t="n">
        <v>0</v>
      </c>
      <c r="L3203" t="n">
        <v>0</v>
      </c>
      <c r="M3203" t="n">
        <v>0</v>
      </c>
      <c r="N3203" t="n">
        <v>0</v>
      </c>
      <c r="O3203" t="n">
        <v>0</v>
      </c>
      <c r="P3203" t="n">
        <v>0</v>
      </c>
      <c r="Q3203" t="n">
        <v>0</v>
      </c>
      <c r="R3203" s="2" t="inlineStr"/>
    </row>
    <row r="3204" ht="15" customHeight="1">
      <c r="A3204" t="inlineStr">
        <is>
          <t>A 48056-2020</t>
        </is>
      </c>
      <c r="B3204" s="1" t="n">
        <v>44099</v>
      </c>
      <c r="C3204" s="1" t="n">
        <v>45182</v>
      </c>
      <c r="D3204" t="inlineStr">
        <is>
          <t>JÄMTLANDS LÄN</t>
        </is>
      </c>
      <c r="E3204" t="inlineStr">
        <is>
          <t>RAGUNDA</t>
        </is>
      </c>
      <c r="F3204" t="inlineStr">
        <is>
          <t>SCA</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49212-2020</t>
        </is>
      </c>
      <c r="B3205" s="1" t="n">
        <v>44099</v>
      </c>
      <c r="C3205" s="1" t="n">
        <v>45182</v>
      </c>
      <c r="D3205" t="inlineStr">
        <is>
          <t>JÄMTLANDS LÄN</t>
        </is>
      </c>
      <c r="E3205" t="inlineStr">
        <is>
          <t>BRÄCKE</t>
        </is>
      </c>
      <c r="G3205" t="n">
        <v>2.8</v>
      </c>
      <c r="H3205" t="n">
        <v>0</v>
      </c>
      <c r="I3205" t="n">
        <v>0</v>
      </c>
      <c r="J3205" t="n">
        <v>0</v>
      </c>
      <c r="K3205" t="n">
        <v>0</v>
      </c>
      <c r="L3205" t="n">
        <v>0</v>
      </c>
      <c r="M3205" t="n">
        <v>0</v>
      </c>
      <c r="N3205" t="n">
        <v>0</v>
      </c>
      <c r="O3205" t="n">
        <v>0</v>
      </c>
      <c r="P3205" t="n">
        <v>0</v>
      </c>
      <c r="Q3205" t="n">
        <v>0</v>
      </c>
      <c r="R3205" s="2" t="inlineStr"/>
    </row>
    <row r="3206" ht="15" customHeight="1">
      <c r="A3206" t="inlineStr">
        <is>
          <t>A 49447-2020</t>
        </is>
      </c>
      <c r="B3206" s="1" t="n">
        <v>44102</v>
      </c>
      <c r="C3206" s="1" t="n">
        <v>45182</v>
      </c>
      <c r="D3206" t="inlineStr">
        <is>
          <t>JÄMTLANDS LÄN</t>
        </is>
      </c>
      <c r="E3206" t="inlineStr">
        <is>
          <t>HÄRJEDALEN</t>
        </is>
      </c>
      <c r="F3206" t="inlineStr">
        <is>
          <t>Bergvik skog väst AB</t>
        </is>
      </c>
      <c r="G3206" t="n">
        <v>8.4</v>
      </c>
      <c r="H3206" t="n">
        <v>0</v>
      </c>
      <c r="I3206" t="n">
        <v>0</v>
      </c>
      <c r="J3206" t="n">
        <v>0</v>
      </c>
      <c r="K3206" t="n">
        <v>0</v>
      </c>
      <c r="L3206" t="n">
        <v>0</v>
      </c>
      <c r="M3206" t="n">
        <v>0</v>
      </c>
      <c r="N3206" t="n">
        <v>0</v>
      </c>
      <c r="O3206" t="n">
        <v>0</v>
      </c>
      <c r="P3206" t="n">
        <v>0</v>
      </c>
      <c r="Q3206" t="n">
        <v>0</v>
      </c>
      <c r="R3206" s="2" t="inlineStr"/>
    </row>
    <row r="3207" ht="15" customHeight="1">
      <c r="A3207" t="inlineStr">
        <is>
          <t>A 48224-2020</t>
        </is>
      </c>
      <c r="B3207" s="1" t="n">
        <v>44102</v>
      </c>
      <c r="C3207" s="1" t="n">
        <v>45182</v>
      </c>
      <c r="D3207" t="inlineStr">
        <is>
          <t>JÄMTLANDS LÄN</t>
        </is>
      </c>
      <c r="E3207" t="inlineStr">
        <is>
          <t>STRÖMSUND</t>
        </is>
      </c>
      <c r="F3207" t="inlineStr">
        <is>
          <t>Holmen skog AB</t>
        </is>
      </c>
      <c r="G3207" t="n">
        <v>8.800000000000001</v>
      </c>
      <c r="H3207" t="n">
        <v>0</v>
      </c>
      <c r="I3207" t="n">
        <v>0</v>
      </c>
      <c r="J3207" t="n">
        <v>0</v>
      </c>
      <c r="K3207" t="n">
        <v>0</v>
      </c>
      <c r="L3207" t="n">
        <v>0</v>
      </c>
      <c r="M3207" t="n">
        <v>0</v>
      </c>
      <c r="N3207" t="n">
        <v>0</v>
      </c>
      <c r="O3207" t="n">
        <v>0</v>
      </c>
      <c r="P3207" t="n">
        <v>0</v>
      </c>
      <c r="Q3207" t="n">
        <v>0</v>
      </c>
      <c r="R3207" s="2" t="inlineStr"/>
    </row>
    <row r="3208" ht="15" customHeight="1">
      <c r="A3208" t="inlineStr">
        <is>
          <t>A 49430-2020</t>
        </is>
      </c>
      <c r="B3208" s="1" t="n">
        <v>44102</v>
      </c>
      <c r="C3208" s="1" t="n">
        <v>45182</v>
      </c>
      <c r="D3208" t="inlineStr">
        <is>
          <t>JÄMTLANDS LÄN</t>
        </is>
      </c>
      <c r="E3208" t="inlineStr">
        <is>
          <t>HÄRJEDALEN</t>
        </is>
      </c>
      <c r="G3208" t="n">
        <v>8</v>
      </c>
      <c r="H3208" t="n">
        <v>0</v>
      </c>
      <c r="I3208" t="n">
        <v>0</v>
      </c>
      <c r="J3208" t="n">
        <v>0</v>
      </c>
      <c r="K3208" t="n">
        <v>0</v>
      </c>
      <c r="L3208" t="n">
        <v>0</v>
      </c>
      <c r="M3208" t="n">
        <v>0</v>
      </c>
      <c r="N3208" t="n">
        <v>0</v>
      </c>
      <c r="O3208" t="n">
        <v>0</v>
      </c>
      <c r="P3208" t="n">
        <v>0</v>
      </c>
      <c r="Q3208" t="n">
        <v>0</v>
      </c>
      <c r="R3208" s="2" t="inlineStr"/>
    </row>
    <row r="3209" ht="15" customHeight="1">
      <c r="A3209" t="inlineStr">
        <is>
          <t>A 49037-2020</t>
        </is>
      </c>
      <c r="B3209" s="1" t="n">
        <v>44102</v>
      </c>
      <c r="C3209" s="1" t="n">
        <v>45182</v>
      </c>
      <c r="D3209" t="inlineStr">
        <is>
          <t>JÄMTLANDS LÄN</t>
        </is>
      </c>
      <c r="E3209" t="inlineStr">
        <is>
          <t>KROKOM</t>
        </is>
      </c>
      <c r="G3209" t="n">
        <v>1.5</v>
      </c>
      <c r="H3209" t="n">
        <v>0</v>
      </c>
      <c r="I3209" t="n">
        <v>0</v>
      </c>
      <c r="J3209" t="n">
        <v>0</v>
      </c>
      <c r="K3209" t="n">
        <v>0</v>
      </c>
      <c r="L3209" t="n">
        <v>0</v>
      </c>
      <c r="M3209" t="n">
        <v>0</v>
      </c>
      <c r="N3209" t="n">
        <v>0</v>
      </c>
      <c r="O3209" t="n">
        <v>0</v>
      </c>
      <c r="P3209" t="n">
        <v>0</v>
      </c>
      <c r="Q3209" t="n">
        <v>0</v>
      </c>
      <c r="R3209" s="2" t="inlineStr"/>
    </row>
    <row r="3210" ht="15" customHeight="1">
      <c r="A3210" t="inlineStr">
        <is>
          <t>A 48177-2020</t>
        </is>
      </c>
      <c r="B3210" s="1" t="n">
        <v>44102</v>
      </c>
      <c r="C3210" s="1" t="n">
        <v>45182</v>
      </c>
      <c r="D3210" t="inlineStr">
        <is>
          <t>JÄMTLANDS LÄN</t>
        </is>
      </c>
      <c r="E3210" t="inlineStr">
        <is>
          <t>ÅRE</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48227-2020</t>
        </is>
      </c>
      <c r="B3211" s="1" t="n">
        <v>44102</v>
      </c>
      <c r="C3211" s="1" t="n">
        <v>45182</v>
      </c>
      <c r="D3211" t="inlineStr">
        <is>
          <t>JÄMTLANDS LÄN</t>
        </is>
      </c>
      <c r="E3211" t="inlineStr">
        <is>
          <t>STRÖMSUND</t>
        </is>
      </c>
      <c r="F3211" t="inlineStr">
        <is>
          <t>Holmen skog AB</t>
        </is>
      </c>
      <c r="G3211" t="n">
        <v>2.4</v>
      </c>
      <c r="H3211" t="n">
        <v>0</v>
      </c>
      <c r="I3211" t="n">
        <v>0</v>
      </c>
      <c r="J3211" t="n">
        <v>0</v>
      </c>
      <c r="K3211" t="n">
        <v>0</v>
      </c>
      <c r="L3211" t="n">
        <v>0</v>
      </c>
      <c r="M3211" t="n">
        <v>0</v>
      </c>
      <c r="N3211" t="n">
        <v>0</v>
      </c>
      <c r="O3211" t="n">
        <v>0</v>
      </c>
      <c r="P3211" t="n">
        <v>0</v>
      </c>
      <c r="Q3211" t="n">
        <v>0</v>
      </c>
      <c r="R3211" s="2" t="inlineStr"/>
    </row>
    <row r="3212" ht="15" customHeight="1">
      <c r="A3212" t="inlineStr">
        <is>
          <t>A 48740-2020</t>
        </is>
      </c>
      <c r="B3212" s="1" t="n">
        <v>44103</v>
      </c>
      <c r="C3212" s="1" t="n">
        <v>45182</v>
      </c>
      <c r="D3212" t="inlineStr">
        <is>
          <t>JÄMTLANDS LÄN</t>
        </is>
      </c>
      <c r="E3212" t="inlineStr">
        <is>
          <t>STRÖMSUND</t>
        </is>
      </c>
      <c r="G3212" t="n">
        <v>10.6</v>
      </c>
      <c r="H3212" t="n">
        <v>0</v>
      </c>
      <c r="I3212" t="n">
        <v>0</v>
      </c>
      <c r="J3212" t="n">
        <v>0</v>
      </c>
      <c r="K3212" t="n">
        <v>0</v>
      </c>
      <c r="L3212" t="n">
        <v>0</v>
      </c>
      <c r="M3212" t="n">
        <v>0</v>
      </c>
      <c r="N3212" t="n">
        <v>0</v>
      </c>
      <c r="O3212" t="n">
        <v>0</v>
      </c>
      <c r="P3212" t="n">
        <v>0</v>
      </c>
      <c r="Q3212" t="n">
        <v>0</v>
      </c>
      <c r="R3212" s="2" t="inlineStr"/>
    </row>
    <row r="3213" ht="15" customHeight="1">
      <c r="A3213" t="inlineStr">
        <is>
          <t>A 48610-2020</t>
        </is>
      </c>
      <c r="B3213" s="1" t="n">
        <v>44103</v>
      </c>
      <c r="C3213" s="1" t="n">
        <v>45182</v>
      </c>
      <c r="D3213" t="inlineStr">
        <is>
          <t>JÄMTLANDS LÄN</t>
        </is>
      </c>
      <c r="E3213" t="inlineStr">
        <is>
          <t>KROKOM</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48806-2020</t>
        </is>
      </c>
      <c r="B3214" s="1" t="n">
        <v>44103</v>
      </c>
      <c r="C3214" s="1" t="n">
        <v>45182</v>
      </c>
      <c r="D3214" t="inlineStr">
        <is>
          <t>JÄMTLANDS LÄN</t>
        </is>
      </c>
      <c r="E3214" t="inlineStr">
        <is>
          <t>RAGUNDA</t>
        </is>
      </c>
      <c r="F3214" t="inlineStr">
        <is>
          <t>Naturvårdsverket</t>
        </is>
      </c>
      <c r="G3214" t="n">
        <v>3</v>
      </c>
      <c r="H3214" t="n">
        <v>0</v>
      </c>
      <c r="I3214" t="n">
        <v>0</v>
      </c>
      <c r="J3214" t="n">
        <v>0</v>
      </c>
      <c r="K3214" t="n">
        <v>0</v>
      </c>
      <c r="L3214" t="n">
        <v>0</v>
      </c>
      <c r="M3214" t="n">
        <v>0</v>
      </c>
      <c r="N3214" t="n">
        <v>0</v>
      </c>
      <c r="O3214" t="n">
        <v>0</v>
      </c>
      <c r="P3214" t="n">
        <v>0</v>
      </c>
      <c r="Q3214" t="n">
        <v>0</v>
      </c>
      <c r="R3214" s="2" t="inlineStr"/>
    </row>
    <row r="3215" ht="15" customHeight="1">
      <c r="A3215" t="inlineStr">
        <is>
          <t>A 48799-2020</t>
        </is>
      </c>
      <c r="B3215" s="1" t="n">
        <v>44103</v>
      </c>
      <c r="C3215" s="1" t="n">
        <v>45182</v>
      </c>
      <c r="D3215" t="inlineStr">
        <is>
          <t>JÄMTLANDS LÄN</t>
        </is>
      </c>
      <c r="E3215" t="inlineStr">
        <is>
          <t>BRÄCKE</t>
        </is>
      </c>
      <c r="F3215" t="inlineStr">
        <is>
          <t>SCA</t>
        </is>
      </c>
      <c r="G3215" t="n">
        <v>5.7</v>
      </c>
      <c r="H3215" t="n">
        <v>0</v>
      </c>
      <c r="I3215" t="n">
        <v>0</v>
      </c>
      <c r="J3215" t="n">
        <v>0</v>
      </c>
      <c r="K3215" t="n">
        <v>0</v>
      </c>
      <c r="L3215" t="n">
        <v>0</v>
      </c>
      <c r="M3215" t="n">
        <v>0</v>
      </c>
      <c r="N3215" t="n">
        <v>0</v>
      </c>
      <c r="O3215" t="n">
        <v>0</v>
      </c>
      <c r="P3215" t="n">
        <v>0</v>
      </c>
      <c r="Q3215" t="n">
        <v>0</v>
      </c>
      <c r="R3215" s="2" t="inlineStr"/>
    </row>
    <row r="3216" ht="15" customHeight="1">
      <c r="A3216" t="inlineStr">
        <is>
          <t>A 49772-2020</t>
        </is>
      </c>
      <c r="B3216" s="1" t="n">
        <v>44103</v>
      </c>
      <c r="C3216" s="1" t="n">
        <v>45182</v>
      </c>
      <c r="D3216" t="inlineStr">
        <is>
          <t>JÄMTLANDS LÄN</t>
        </is>
      </c>
      <c r="E3216" t="inlineStr">
        <is>
          <t>STRÖMSUND</t>
        </is>
      </c>
      <c r="G3216" t="n">
        <v>7.6</v>
      </c>
      <c r="H3216" t="n">
        <v>0</v>
      </c>
      <c r="I3216" t="n">
        <v>0</v>
      </c>
      <c r="J3216" t="n">
        <v>0</v>
      </c>
      <c r="K3216" t="n">
        <v>0</v>
      </c>
      <c r="L3216" t="n">
        <v>0</v>
      </c>
      <c r="M3216" t="n">
        <v>0</v>
      </c>
      <c r="N3216" t="n">
        <v>0</v>
      </c>
      <c r="O3216" t="n">
        <v>0</v>
      </c>
      <c r="P3216" t="n">
        <v>0</v>
      </c>
      <c r="Q3216" t="n">
        <v>0</v>
      </c>
      <c r="R3216" s="2" t="inlineStr"/>
    </row>
    <row r="3217" ht="15" customHeight="1">
      <c r="A3217" t="inlineStr">
        <is>
          <t>A 48801-2020</t>
        </is>
      </c>
      <c r="B3217" s="1" t="n">
        <v>44103</v>
      </c>
      <c r="C3217" s="1" t="n">
        <v>45182</v>
      </c>
      <c r="D3217" t="inlineStr">
        <is>
          <t>JÄMTLANDS LÄN</t>
        </is>
      </c>
      <c r="E3217" t="inlineStr">
        <is>
          <t>BERG</t>
        </is>
      </c>
      <c r="F3217" t="inlineStr">
        <is>
          <t>SCA</t>
        </is>
      </c>
      <c r="G3217" t="n">
        <v>1.3</v>
      </c>
      <c r="H3217" t="n">
        <v>0</v>
      </c>
      <c r="I3217" t="n">
        <v>0</v>
      </c>
      <c r="J3217" t="n">
        <v>0</v>
      </c>
      <c r="K3217" t="n">
        <v>0</v>
      </c>
      <c r="L3217" t="n">
        <v>0</v>
      </c>
      <c r="M3217" t="n">
        <v>0</v>
      </c>
      <c r="N3217" t="n">
        <v>0</v>
      </c>
      <c r="O3217" t="n">
        <v>0</v>
      </c>
      <c r="P3217" t="n">
        <v>0</v>
      </c>
      <c r="Q3217" t="n">
        <v>0</v>
      </c>
      <c r="R3217" s="2" t="inlineStr"/>
    </row>
    <row r="3218" ht="15" customHeight="1">
      <c r="A3218" t="inlineStr">
        <is>
          <t>A 49156-2020</t>
        </is>
      </c>
      <c r="B3218" s="1" t="n">
        <v>44104</v>
      </c>
      <c r="C3218" s="1" t="n">
        <v>45182</v>
      </c>
      <c r="D3218" t="inlineStr">
        <is>
          <t>JÄMTLANDS LÄN</t>
        </is>
      </c>
      <c r="E3218" t="inlineStr">
        <is>
          <t>STRÖMSUND</t>
        </is>
      </c>
      <c r="F3218" t="inlineStr">
        <is>
          <t>SCA</t>
        </is>
      </c>
      <c r="G3218" t="n">
        <v>7</v>
      </c>
      <c r="H3218" t="n">
        <v>0</v>
      </c>
      <c r="I3218" t="n">
        <v>0</v>
      </c>
      <c r="J3218" t="n">
        <v>0</v>
      </c>
      <c r="K3218" t="n">
        <v>0</v>
      </c>
      <c r="L3218" t="n">
        <v>0</v>
      </c>
      <c r="M3218" t="n">
        <v>0</v>
      </c>
      <c r="N3218" t="n">
        <v>0</v>
      </c>
      <c r="O3218" t="n">
        <v>0</v>
      </c>
      <c r="P3218" t="n">
        <v>0</v>
      </c>
      <c r="Q3218" t="n">
        <v>0</v>
      </c>
      <c r="R3218" s="2" t="inlineStr"/>
    </row>
    <row r="3219" ht="15" customHeight="1">
      <c r="A3219" t="inlineStr">
        <is>
          <t>A 49167-2020</t>
        </is>
      </c>
      <c r="B3219" s="1" t="n">
        <v>44104</v>
      </c>
      <c r="C3219" s="1" t="n">
        <v>45182</v>
      </c>
      <c r="D3219" t="inlineStr">
        <is>
          <t>JÄMTLANDS LÄN</t>
        </is>
      </c>
      <c r="E3219" t="inlineStr">
        <is>
          <t>STRÖMSUND</t>
        </is>
      </c>
      <c r="F3219" t="inlineStr">
        <is>
          <t>SCA</t>
        </is>
      </c>
      <c r="G3219" t="n">
        <v>1.6</v>
      </c>
      <c r="H3219" t="n">
        <v>0</v>
      </c>
      <c r="I3219" t="n">
        <v>0</v>
      </c>
      <c r="J3219" t="n">
        <v>0</v>
      </c>
      <c r="K3219" t="n">
        <v>0</v>
      </c>
      <c r="L3219" t="n">
        <v>0</v>
      </c>
      <c r="M3219" t="n">
        <v>0</v>
      </c>
      <c r="N3219" t="n">
        <v>0</v>
      </c>
      <c r="O3219" t="n">
        <v>0</v>
      </c>
      <c r="P3219" t="n">
        <v>0</v>
      </c>
      <c r="Q3219" t="n">
        <v>0</v>
      </c>
      <c r="R3219" s="2" t="inlineStr"/>
    </row>
    <row r="3220" ht="15" customHeight="1">
      <c r="A3220" t="inlineStr">
        <is>
          <t>A 49152-2020</t>
        </is>
      </c>
      <c r="B3220" s="1" t="n">
        <v>44104</v>
      </c>
      <c r="C3220" s="1" t="n">
        <v>45182</v>
      </c>
      <c r="D3220" t="inlineStr">
        <is>
          <t>JÄMTLANDS LÄN</t>
        </is>
      </c>
      <c r="E3220" t="inlineStr">
        <is>
          <t>STRÖMSUND</t>
        </is>
      </c>
      <c r="F3220" t="inlineStr">
        <is>
          <t>SCA</t>
        </is>
      </c>
      <c r="G3220" t="n">
        <v>2.6</v>
      </c>
      <c r="H3220" t="n">
        <v>0</v>
      </c>
      <c r="I3220" t="n">
        <v>0</v>
      </c>
      <c r="J3220" t="n">
        <v>0</v>
      </c>
      <c r="K3220" t="n">
        <v>0</v>
      </c>
      <c r="L3220" t="n">
        <v>0</v>
      </c>
      <c r="M3220" t="n">
        <v>0</v>
      </c>
      <c r="N3220" t="n">
        <v>0</v>
      </c>
      <c r="O3220" t="n">
        <v>0</v>
      </c>
      <c r="P3220" t="n">
        <v>0</v>
      </c>
      <c r="Q3220" t="n">
        <v>0</v>
      </c>
      <c r="R3220" s="2" t="inlineStr"/>
    </row>
    <row r="3221" ht="15" customHeight="1">
      <c r="A3221" t="inlineStr">
        <is>
          <t>A 49164-2020</t>
        </is>
      </c>
      <c r="B3221" s="1" t="n">
        <v>44104</v>
      </c>
      <c r="C3221" s="1" t="n">
        <v>45182</v>
      </c>
      <c r="D3221" t="inlineStr">
        <is>
          <t>JÄMTLANDS LÄN</t>
        </is>
      </c>
      <c r="E3221" t="inlineStr">
        <is>
          <t>BRÄCKE</t>
        </is>
      </c>
      <c r="F3221" t="inlineStr">
        <is>
          <t>SCA</t>
        </is>
      </c>
      <c r="G3221" t="n">
        <v>2.7</v>
      </c>
      <c r="H3221" t="n">
        <v>0</v>
      </c>
      <c r="I3221" t="n">
        <v>0</v>
      </c>
      <c r="J3221" t="n">
        <v>0</v>
      </c>
      <c r="K3221" t="n">
        <v>0</v>
      </c>
      <c r="L3221" t="n">
        <v>0</v>
      </c>
      <c r="M3221" t="n">
        <v>0</v>
      </c>
      <c r="N3221" t="n">
        <v>0</v>
      </c>
      <c r="O3221" t="n">
        <v>0</v>
      </c>
      <c r="P3221" t="n">
        <v>0</v>
      </c>
      <c r="Q3221" t="n">
        <v>0</v>
      </c>
      <c r="R3221" s="2" t="inlineStr"/>
    </row>
    <row r="3222" ht="15" customHeight="1">
      <c r="A3222" t="inlineStr">
        <is>
          <t>A 49161-2020</t>
        </is>
      </c>
      <c r="B3222" s="1" t="n">
        <v>44104</v>
      </c>
      <c r="C3222" s="1" t="n">
        <v>45182</v>
      </c>
      <c r="D3222" t="inlineStr">
        <is>
          <t>JÄMTLANDS LÄN</t>
        </is>
      </c>
      <c r="E3222" t="inlineStr">
        <is>
          <t>STRÖMSUND</t>
        </is>
      </c>
      <c r="F3222" t="inlineStr">
        <is>
          <t>SCA</t>
        </is>
      </c>
      <c r="G3222" t="n">
        <v>1.6</v>
      </c>
      <c r="H3222" t="n">
        <v>0</v>
      </c>
      <c r="I3222" t="n">
        <v>0</v>
      </c>
      <c r="J3222" t="n">
        <v>0</v>
      </c>
      <c r="K3222" t="n">
        <v>0</v>
      </c>
      <c r="L3222" t="n">
        <v>0</v>
      </c>
      <c r="M3222" t="n">
        <v>0</v>
      </c>
      <c r="N3222" t="n">
        <v>0</v>
      </c>
      <c r="O3222" t="n">
        <v>0</v>
      </c>
      <c r="P3222" t="n">
        <v>0</v>
      </c>
      <c r="Q3222" t="n">
        <v>0</v>
      </c>
      <c r="R3222" s="2" t="inlineStr"/>
    </row>
    <row r="3223" ht="15" customHeight="1">
      <c r="A3223" t="inlineStr">
        <is>
          <t>A 49174-2020</t>
        </is>
      </c>
      <c r="B3223" s="1" t="n">
        <v>44104</v>
      </c>
      <c r="C3223" s="1" t="n">
        <v>45182</v>
      </c>
      <c r="D3223" t="inlineStr">
        <is>
          <t>JÄMTLANDS LÄN</t>
        </is>
      </c>
      <c r="E3223" t="inlineStr">
        <is>
          <t>BERG</t>
        </is>
      </c>
      <c r="F3223" t="inlineStr">
        <is>
          <t>SCA</t>
        </is>
      </c>
      <c r="G3223" t="n">
        <v>1.8</v>
      </c>
      <c r="H3223" t="n">
        <v>0</v>
      </c>
      <c r="I3223" t="n">
        <v>0</v>
      </c>
      <c r="J3223" t="n">
        <v>0</v>
      </c>
      <c r="K3223" t="n">
        <v>0</v>
      </c>
      <c r="L3223" t="n">
        <v>0</v>
      </c>
      <c r="M3223" t="n">
        <v>0</v>
      </c>
      <c r="N3223" t="n">
        <v>0</v>
      </c>
      <c r="O3223" t="n">
        <v>0</v>
      </c>
      <c r="P3223" t="n">
        <v>0</v>
      </c>
      <c r="Q3223" t="n">
        <v>0</v>
      </c>
      <c r="R3223" s="2" t="inlineStr"/>
    </row>
    <row r="3224" ht="15" customHeight="1">
      <c r="A3224" t="inlineStr">
        <is>
          <t>A 49246-2020</t>
        </is>
      </c>
      <c r="B3224" s="1" t="n">
        <v>44105</v>
      </c>
      <c r="C3224" s="1" t="n">
        <v>45182</v>
      </c>
      <c r="D3224" t="inlineStr">
        <is>
          <t>JÄMTLANDS LÄN</t>
        </is>
      </c>
      <c r="E3224" t="inlineStr">
        <is>
          <t>HÄRJEDALEN</t>
        </is>
      </c>
      <c r="G3224" t="n">
        <v>3.7</v>
      </c>
      <c r="H3224" t="n">
        <v>0</v>
      </c>
      <c r="I3224" t="n">
        <v>0</v>
      </c>
      <c r="J3224" t="n">
        <v>0</v>
      </c>
      <c r="K3224" t="n">
        <v>0</v>
      </c>
      <c r="L3224" t="n">
        <v>0</v>
      </c>
      <c r="M3224" t="n">
        <v>0</v>
      </c>
      <c r="N3224" t="n">
        <v>0</v>
      </c>
      <c r="O3224" t="n">
        <v>0</v>
      </c>
      <c r="P3224" t="n">
        <v>0</v>
      </c>
      <c r="Q3224" t="n">
        <v>0</v>
      </c>
      <c r="R3224" s="2" t="inlineStr"/>
    </row>
    <row r="3225" ht="15" customHeight="1">
      <c r="A3225" t="inlineStr">
        <is>
          <t>A 49510-2020</t>
        </is>
      </c>
      <c r="B3225" s="1" t="n">
        <v>44105</v>
      </c>
      <c r="C3225" s="1" t="n">
        <v>45182</v>
      </c>
      <c r="D3225" t="inlineStr">
        <is>
          <t>JÄMTLANDS LÄN</t>
        </is>
      </c>
      <c r="E3225" t="inlineStr">
        <is>
          <t>STRÖMSUND</t>
        </is>
      </c>
      <c r="F3225" t="inlineStr">
        <is>
          <t>SCA</t>
        </is>
      </c>
      <c r="G3225" t="n">
        <v>2.3</v>
      </c>
      <c r="H3225" t="n">
        <v>0</v>
      </c>
      <c r="I3225" t="n">
        <v>0</v>
      </c>
      <c r="J3225" t="n">
        <v>0</v>
      </c>
      <c r="K3225" t="n">
        <v>0</v>
      </c>
      <c r="L3225" t="n">
        <v>0</v>
      </c>
      <c r="M3225" t="n">
        <v>0</v>
      </c>
      <c r="N3225" t="n">
        <v>0</v>
      </c>
      <c r="O3225" t="n">
        <v>0</v>
      </c>
      <c r="P3225" t="n">
        <v>0</v>
      </c>
      <c r="Q3225" t="n">
        <v>0</v>
      </c>
      <c r="R3225" s="2" t="inlineStr"/>
    </row>
    <row r="3226" ht="15" customHeight="1">
      <c r="A3226" t="inlineStr">
        <is>
          <t>A 49661-2020</t>
        </is>
      </c>
      <c r="B3226" s="1" t="n">
        <v>44105</v>
      </c>
      <c r="C3226" s="1" t="n">
        <v>45182</v>
      </c>
      <c r="D3226" t="inlineStr">
        <is>
          <t>JÄMTLANDS LÄN</t>
        </is>
      </c>
      <c r="E3226" t="inlineStr">
        <is>
          <t>ÅRE</t>
        </is>
      </c>
      <c r="F3226" t="inlineStr">
        <is>
          <t>Övriga Aktiebolag</t>
        </is>
      </c>
      <c r="G3226" t="n">
        <v>24.4</v>
      </c>
      <c r="H3226" t="n">
        <v>0</v>
      </c>
      <c r="I3226" t="n">
        <v>0</v>
      </c>
      <c r="J3226" t="n">
        <v>0</v>
      </c>
      <c r="K3226" t="n">
        <v>0</v>
      </c>
      <c r="L3226" t="n">
        <v>0</v>
      </c>
      <c r="M3226" t="n">
        <v>0</v>
      </c>
      <c r="N3226" t="n">
        <v>0</v>
      </c>
      <c r="O3226" t="n">
        <v>0</v>
      </c>
      <c r="P3226" t="n">
        <v>0</v>
      </c>
      <c r="Q3226" t="n">
        <v>0</v>
      </c>
      <c r="R3226" s="2" t="inlineStr"/>
    </row>
    <row r="3227" ht="15" customHeight="1">
      <c r="A3227" t="inlineStr">
        <is>
          <t>A 49248-2020</t>
        </is>
      </c>
      <c r="B3227" s="1" t="n">
        <v>44105</v>
      </c>
      <c r="C3227" s="1" t="n">
        <v>45182</v>
      </c>
      <c r="D3227" t="inlineStr">
        <is>
          <t>JÄMTLANDS LÄN</t>
        </is>
      </c>
      <c r="E3227" t="inlineStr">
        <is>
          <t>HÄRJEDALEN</t>
        </is>
      </c>
      <c r="G3227" t="n">
        <v>3.5</v>
      </c>
      <c r="H3227" t="n">
        <v>0</v>
      </c>
      <c r="I3227" t="n">
        <v>0</v>
      </c>
      <c r="J3227" t="n">
        <v>0</v>
      </c>
      <c r="K3227" t="n">
        <v>0</v>
      </c>
      <c r="L3227" t="n">
        <v>0</v>
      </c>
      <c r="M3227" t="n">
        <v>0</v>
      </c>
      <c r="N3227" t="n">
        <v>0</v>
      </c>
      <c r="O3227" t="n">
        <v>0</v>
      </c>
      <c r="P3227" t="n">
        <v>0</v>
      </c>
      <c r="Q3227" t="n">
        <v>0</v>
      </c>
      <c r="R3227" s="2" t="inlineStr"/>
    </row>
    <row r="3228" ht="15" customHeight="1">
      <c r="A3228" t="inlineStr">
        <is>
          <t>A 49511-2020</t>
        </is>
      </c>
      <c r="B3228" s="1" t="n">
        <v>44105</v>
      </c>
      <c r="C3228" s="1" t="n">
        <v>45182</v>
      </c>
      <c r="D3228" t="inlineStr">
        <is>
          <t>JÄMTLANDS LÄN</t>
        </is>
      </c>
      <c r="E3228" t="inlineStr">
        <is>
          <t>STRÖMSUND</t>
        </is>
      </c>
      <c r="F3228" t="inlineStr">
        <is>
          <t>SCA</t>
        </is>
      </c>
      <c r="G3228" t="n">
        <v>13.6</v>
      </c>
      <c r="H3228" t="n">
        <v>0</v>
      </c>
      <c r="I3228" t="n">
        <v>0</v>
      </c>
      <c r="J3228" t="n">
        <v>0</v>
      </c>
      <c r="K3228" t="n">
        <v>0</v>
      </c>
      <c r="L3228" t="n">
        <v>0</v>
      </c>
      <c r="M3228" t="n">
        <v>0</v>
      </c>
      <c r="N3228" t="n">
        <v>0</v>
      </c>
      <c r="O3228" t="n">
        <v>0</v>
      </c>
      <c r="P3228" t="n">
        <v>0</v>
      </c>
      <c r="Q3228" t="n">
        <v>0</v>
      </c>
      <c r="R3228" s="2" t="inlineStr"/>
    </row>
    <row r="3229" ht="15" customHeight="1">
      <c r="A3229" t="inlineStr">
        <is>
          <t>A 49744-2020</t>
        </is>
      </c>
      <c r="B3229" s="1" t="n">
        <v>44106</v>
      </c>
      <c r="C3229" s="1" t="n">
        <v>45182</v>
      </c>
      <c r="D3229" t="inlineStr">
        <is>
          <t>JÄMTLANDS LÄN</t>
        </is>
      </c>
      <c r="E3229" t="inlineStr">
        <is>
          <t>ÅRE</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49747-2020</t>
        </is>
      </c>
      <c r="B3230" s="1" t="n">
        <v>44106</v>
      </c>
      <c r="C3230" s="1" t="n">
        <v>45182</v>
      </c>
      <c r="D3230" t="inlineStr">
        <is>
          <t>JÄMTLANDS LÄN</t>
        </is>
      </c>
      <c r="E3230" t="inlineStr">
        <is>
          <t>ÅRE</t>
        </is>
      </c>
      <c r="G3230" t="n">
        <v>9.4</v>
      </c>
      <c r="H3230" t="n">
        <v>0</v>
      </c>
      <c r="I3230" t="n">
        <v>0</v>
      </c>
      <c r="J3230" t="n">
        <v>0</v>
      </c>
      <c r="K3230" t="n">
        <v>0</v>
      </c>
      <c r="L3230" t="n">
        <v>0</v>
      </c>
      <c r="M3230" t="n">
        <v>0</v>
      </c>
      <c r="N3230" t="n">
        <v>0</v>
      </c>
      <c r="O3230" t="n">
        <v>0</v>
      </c>
      <c r="P3230" t="n">
        <v>0</v>
      </c>
      <c r="Q3230" t="n">
        <v>0</v>
      </c>
      <c r="R3230" s="2" t="inlineStr"/>
    </row>
    <row r="3231" ht="15" customHeight="1">
      <c r="A3231" t="inlineStr">
        <is>
          <t>A 50121-2020</t>
        </is>
      </c>
      <c r="B3231" s="1" t="n">
        <v>44106</v>
      </c>
      <c r="C3231" s="1" t="n">
        <v>45182</v>
      </c>
      <c r="D3231" t="inlineStr">
        <is>
          <t>JÄMTLANDS LÄN</t>
        </is>
      </c>
      <c r="E3231" t="inlineStr">
        <is>
          <t>ÖSTERSUND</t>
        </is>
      </c>
      <c r="F3231" t="inlineStr">
        <is>
          <t>Övriga statliga verk och myndigheter</t>
        </is>
      </c>
      <c r="G3231" t="n">
        <v>5.2</v>
      </c>
      <c r="H3231" t="n">
        <v>0</v>
      </c>
      <c r="I3231" t="n">
        <v>0</v>
      </c>
      <c r="J3231" t="n">
        <v>0</v>
      </c>
      <c r="K3231" t="n">
        <v>0</v>
      </c>
      <c r="L3231" t="n">
        <v>0</v>
      </c>
      <c r="M3231" t="n">
        <v>0</v>
      </c>
      <c r="N3231" t="n">
        <v>0</v>
      </c>
      <c r="O3231" t="n">
        <v>0</v>
      </c>
      <c r="P3231" t="n">
        <v>0</v>
      </c>
      <c r="Q3231" t="n">
        <v>0</v>
      </c>
      <c r="R3231" s="2" t="inlineStr"/>
    </row>
    <row r="3232" ht="15" customHeight="1">
      <c r="A3232" t="inlineStr">
        <is>
          <t>A 49697-2020</t>
        </is>
      </c>
      <c r="B3232" s="1" t="n">
        <v>44106</v>
      </c>
      <c r="C3232" s="1" t="n">
        <v>45182</v>
      </c>
      <c r="D3232" t="inlineStr">
        <is>
          <t>JÄMTLANDS LÄN</t>
        </is>
      </c>
      <c r="E3232" t="inlineStr">
        <is>
          <t>KROKOM</t>
        </is>
      </c>
      <c r="F3232" t="inlineStr">
        <is>
          <t>Kyrkan</t>
        </is>
      </c>
      <c r="G3232" t="n">
        <v>1.4</v>
      </c>
      <c r="H3232" t="n">
        <v>0</v>
      </c>
      <c r="I3232" t="n">
        <v>0</v>
      </c>
      <c r="J3232" t="n">
        <v>0</v>
      </c>
      <c r="K3232" t="n">
        <v>0</v>
      </c>
      <c r="L3232" t="n">
        <v>0</v>
      </c>
      <c r="M3232" t="n">
        <v>0</v>
      </c>
      <c r="N3232" t="n">
        <v>0</v>
      </c>
      <c r="O3232" t="n">
        <v>0</v>
      </c>
      <c r="P3232" t="n">
        <v>0</v>
      </c>
      <c r="Q3232" t="n">
        <v>0</v>
      </c>
      <c r="R3232" s="2" t="inlineStr"/>
    </row>
    <row r="3233" ht="15" customHeight="1">
      <c r="A3233" t="inlineStr">
        <is>
          <t>A 50153-2020</t>
        </is>
      </c>
      <c r="B3233" s="1" t="n">
        <v>44106</v>
      </c>
      <c r="C3233" s="1" t="n">
        <v>45182</v>
      </c>
      <c r="D3233" t="inlineStr">
        <is>
          <t>JÄMTLANDS LÄN</t>
        </is>
      </c>
      <c r="E3233" t="inlineStr">
        <is>
          <t>ÖSTERSUND</t>
        </is>
      </c>
      <c r="F3233" t="inlineStr">
        <is>
          <t>Övriga statliga verk och myndigheter</t>
        </is>
      </c>
      <c r="G3233" t="n">
        <v>4.6</v>
      </c>
      <c r="H3233" t="n">
        <v>0</v>
      </c>
      <c r="I3233" t="n">
        <v>0</v>
      </c>
      <c r="J3233" t="n">
        <v>0</v>
      </c>
      <c r="K3233" t="n">
        <v>0</v>
      </c>
      <c r="L3233" t="n">
        <v>0</v>
      </c>
      <c r="M3233" t="n">
        <v>0</v>
      </c>
      <c r="N3233" t="n">
        <v>0</v>
      </c>
      <c r="O3233" t="n">
        <v>0</v>
      </c>
      <c r="P3233" t="n">
        <v>0</v>
      </c>
      <c r="Q3233" t="n">
        <v>0</v>
      </c>
      <c r="R3233" s="2" t="inlineStr"/>
    </row>
    <row r="3234" ht="15" customHeight="1">
      <c r="A3234" t="inlineStr">
        <is>
          <t>A 51481-2020</t>
        </is>
      </c>
      <c r="B3234" s="1" t="n">
        <v>44106</v>
      </c>
      <c r="C3234" s="1" t="n">
        <v>45182</v>
      </c>
      <c r="D3234" t="inlineStr">
        <is>
          <t>JÄMTLANDS LÄN</t>
        </is>
      </c>
      <c r="E3234" t="inlineStr">
        <is>
          <t>RAGUNDA</t>
        </is>
      </c>
      <c r="G3234" t="n">
        <v>4</v>
      </c>
      <c r="H3234" t="n">
        <v>0</v>
      </c>
      <c r="I3234" t="n">
        <v>0</v>
      </c>
      <c r="J3234" t="n">
        <v>0</v>
      </c>
      <c r="K3234" t="n">
        <v>0</v>
      </c>
      <c r="L3234" t="n">
        <v>0</v>
      </c>
      <c r="M3234" t="n">
        <v>0</v>
      </c>
      <c r="N3234" t="n">
        <v>0</v>
      </c>
      <c r="O3234" t="n">
        <v>0</v>
      </c>
      <c r="P3234" t="n">
        <v>0</v>
      </c>
      <c r="Q3234" t="n">
        <v>0</v>
      </c>
      <c r="R3234" s="2" t="inlineStr"/>
    </row>
    <row r="3235" ht="15" customHeight="1">
      <c r="A3235" t="inlineStr">
        <is>
          <t>A 49748-2020</t>
        </is>
      </c>
      <c r="B3235" s="1" t="n">
        <v>44106</v>
      </c>
      <c r="C3235" s="1" t="n">
        <v>45182</v>
      </c>
      <c r="D3235" t="inlineStr">
        <is>
          <t>JÄMTLANDS LÄN</t>
        </is>
      </c>
      <c r="E3235" t="inlineStr">
        <is>
          <t>ÅRE</t>
        </is>
      </c>
      <c r="G3235" t="n">
        <v>13.4</v>
      </c>
      <c r="H3235" t="n">
        <v>0</v>
      </c>
      <c r="I3235" t="n">
        <v>0</v>
      </c>
      <c r="J3235" t="n">
        <v>0</v>
      </c>
      <c r="K3235" t="n">
        <v>0</v>
      </c>
      <c r="L3235" t="n">
        <v>0</v>
      </c>
      <c r="M3235" t="n">
        <v>0</v>
      </c>
      <c r="N3235" t="n">
        <v>0</v>
      </c>
      <c r="O3235" t="n">
        <v>0</v>
      </c>
      <c r="P3235" t="n">
        <v>0</v>
      </c>
      <c r="Q3235" t="n">
        <v>0</v>
      </c>
      <c r="R3235" s="2" t="inlineStr"/>
    </row>
    <row r="3236" ht="15" customHeight="1">
      <c r="A3236" t="inlineStr">
        <is>
          <t>A 50144-2020</t>
        </is>
      </c>
      <c r="B3236" s="1" t="n">
        <v>44106</v>
      </c>
      <c r="C3236" s="1" t="n">
        <v>45182</v>
      </c>
      <c r="D3236" t="inlineStr">
        <is>
          <t>JÄMTLANDS LÄN</t>
        </is>
      </c>
      <c r="E3236" t="inlineStr">
        <is>
          <t>ÖSTERSUND</t>
        </is>
      </c>
      <c r="F3236" t="inlineStr">
        <is>
          <t>Övriga statliga verk och myndigheter</t>
        </is>
      </c>
      <c r="G3236" t="n">
        <v>2.2</v>
      </c>
      <c r="H3236" t="n">
        <v>0</v>
      </c>
      <c r="I3236" t="n">
        <v>0</v>
      </c>
      <c r="J3236" t="n">
        <v>0</v>
      </c>
      <c r="K3236" t="n">
        <v>0</v>
      </c>
      <c r="L3236" t="n">
        <v>0</v>
      </c>
      <c r="M3236" t="n">
        <v>0</v>
      </c>
      <c r="N3236" t="n">
        <v>0</v>
      </c>
      <c r="O3236" t="n">
        <v>0</v>
      </c>
      <c r="P3236" t="n">
        <v>0</v>
      </c>
      <c r="Q3236" t="n">
        <v>0</v>
      </c>
      <c r="R3236" s="2" t="inlineStr"/>
    </row>
    <row r="3237" ht="15" customHeight="1">
      <c r="A3237" t="inlineStr">
        <is>
          <t>A 49863-2020</t>
        </is>
      </c>
      <c r="B3237" s="1" t="n">
        <v>44107</v>
      </c>
      <c r="C3237" s="1" t="n">
        <v>45182</v>
      </c>
      <c r="D3237" t="inlineStr">
        <is>
          <t>JÄMTLANDS LÄN</t>
        </is>
      </c>
      <c r="E3237" t="inlineStr">
        <is>
          <t>HÄRJEDALEN</t>
        </is>
      </c>
      <c r="F3237" t="inlineStr">
        <is>
          <t>Bergvik skog väst AB</t>
        </is>
      </c>
      <c r="G3237" t="n">
        <v>12.8</v>
      </c>
      <c r="H3237" t="n">
        <v>0</v>
      </c>
      <c r="I3237" t="n">
        <v>0</v>
      </c>
      <c r="J3237" t="n">
        <v>0</v>
      </c>
      <c r="K3237" t="n">
        <v>0</v>
      </c>
      <c r="L3237" t="n">
        <v>0</v>
      </c>
      <c r="M3237" t="n">
        <v>0</v>
      </c>
      <c r="N3237" t="n">
        <v>0</v>
      </c>
      <c r="O3237" t="n">
        <v>0</v>
      </c>
      <c r="P3237" t="n">
        <v>0</v>
      </c>
      <c r="Q3237" t="n">
        <v>0</v>
      </c>
      <c r="R3237" s="2" t="inlineStr"/>
    </row>
    <row r="3238" ht="15" customHeight="1">
      <c r="A3238" t="inlineStr">
        <is>
          <t>A 49903-2020</t>
        </is>
      </c>
      <c r="B3238" s="1" t="n">
        <v>44108</v>
      </c>
      <c r="C3238" s="1" t="n">
        <v>45182</v>
      </c>
      <c r="D3238" t="inlineStr">
        <is>
          <t>JÄMTLANDS LÄN</t>
        </is>
      </c>
      <c r="E3238" t="inlineStr">
        <is>
          <t>HÄRJEDALEN</t>
        </is>
      </c>
      <c r="G3238" t="n">
        <v>1.9</v>
      </c>
      <c r="H3238" t="n">
        <v>0</v>
      </c>
      <c r="I3238" t="n">
        <v>0</v>
      </c>
      <c r="J3238" t="n">
        <v>0</v>
      </c>
      <c r="K3238" t="n">
        <v>0</v>
      </c>
      <c r="L3238" t="n">
        <v>0</v>
      </c>
      <c r="M3238" t="n">
        <v>0</v>
      </c>
      <c r="N3238" t="n">
        <v>0</v>
      </c>
      <c r="O3238" t="n">
        <v>0</v>
      </c>
      <c r="P3238" t="n">
        <v>0</v>
      </c>
      <c r="Q3238" t="n">
        <v>0</v>
      </c>
      <c r="R3238" s="2" t="inlineStr"/>
    </row>
    <row r="3239" ht="15" customHeight="1">
      <c r="A3239" t="inlineStr">
        <is>
          <t>A 50018-2020</t>
        </is>
      </c>
      <c r="B3239" s="1" t="n">
        <v>44109</v>
      </c>
      <c r="C3239" s="1" t="n">
        <v>45182</v>
      </c>
      <c r="D3239" t="inlineStr">
        <is>
          <t>JÄMTLANDS LÄN</t>
        </is>
      </c>
      <c r="E3239" t="inlineStr">
        <is>
          <t>HÄRJEDALEN</t>
        </is>
      </c>
      <c r="F3239" t="inlineStr">
        <is>
          <t>Bergvik skog väst AB</t>
        </is>
      </c>
      <c r="G3239" t="n">
        <v>7.1</v>
      </c>
      <c r="H3239" t="n">
        <v>0</v>
      </c>
      <c r="I3239" t="n">
        <v>0</v>
      </c>
      <c r="J3239" t="n">
        <v>0</v>
      </c>
      <c r="K3239" t="n">
        <v>0</v>
      </c>
      <c r="L3239" t="n">
        <v>0</v>
      </c>
      <c r="M3239" t="n">
        <v>0</v>
      </c>
      <c r="N3239" t="n">
        <v>0</v>
      </c>
      <c r="O3239" t="n">
        <v>0</v>
      </c>
      <c r="P3239" t="n">
        <v>0</v>
      </c>
      <c r="Q3239" t="n">
        <v>0</v>
      </c>
      <c r="R3239" s="2" t="inlineStr"/>
    </row>
    <row r="3240" ht="15" customHeight="1">
      <c r="A3240" t="inlineStr">
        <is>
          <t>A 49997-2020</t>
        </is>
      </c>
      <c r="B3240" s="1" t="n">
        <v>44109</v>
      </c>
      <c r="C3240" s="1" t="n">
        <v>45182</v>
      </c>
      <c r="D3240" t="inlineStr">
        <is>
          <t>JÄMTLANDS LÄN</t>
        </is>
      </c>
      <c r="E3240" t="inlineStr">
        <is>
          <t>STRÖMSUND</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50632-2020</t>
        </is>
      </c>
      <c r="B3241" s="1" t="n">
        <v>44110</v>
      </c>
      <c r="C3241" s="1" t="n">
        <v>45182</v>
      </c>
      <c r="D3241" t="inlineStr">
        <is>
          <t>JÄMTLANDS LÄN</t>
        </is>
      </c>
      <c r="E3241" t="inlineStr">
        <is>
          <t>ÖSTERSUND</t>
        </is>
      </c>
      <c r="F3241" t="inlineStr">
        <is>
          <t>SCA</t>
        </is>
      </c>
      <c r="G3241" t="n">
        <v>2.7</v>
      </c>
      <c r="H3241" t="n">
        <v>0</v>
      </c>
      <c r="I3241" t="n">
        <v>0</v>
      </c>
      <c r="J3241" t="n">
        <v>0</v>
      </c>
      <c r="K3241" t="n">
        <v>0</v>
      </c>
      <c r="L3241" t="n">
        <v>0</v>
      </c>
      <c r="M3241" t="n">
        <v>0</v>
      </c>
      <c r="N3241" t="n">
        <v>0</v>
      </c>
      <c r="O3241" t="n">
        <v>0</v>
      </c>
      <c r="P3241" t="n">
        <v>0</v>
      </c>
      <c r="Q3241" t="n">
        <v>0</v>
      </c>
      <c r="R3241" s="2" t="inlineStr"/>
    </row>
    <row r="3242" ht="15" customHeight="1">
      <c r="A3242" t="inlineStr">
        <is>
          <t>A 50645-2020</t>
        </is>
      </c>
      <c r="B3242" s="1" t="n">
        <v>44110</v>
      </c>
      <c r="C3242" s="1" t="n">
        <v>45182</v>
      </c>
      <c r="D3242" t="inlineStr">
        <is>
          <t>JÄMTLANDS LÄN</t>
        </is>
      </c>
      <c r="E3242" t="inlineStr">
        <is>
          <t>STRÖMSUND</t>
        </is>
      </c>
      <c r="F3242" t="inlineStr">
        <is>
          <t>SCA</t>
        </is>
      </c>
      <c r="G3242" t="n">
        <v>8.4</v>
      </c>
      <c r="H3242" t="n">
        <v>0</v>
      </c>
      <c r="I3242" t="n">
        <v>0</v>
      </c>
      <c r="J3242" t="n">
        <v>0</v>
      </c>
      <c r="K3242" t="n">
        <v>0</v>
      </c>
      <c r="L3242" t="n">
        <v>0</v>
      </c>
      <c r="M3242" t="n">
        <v>0</v>
      </c>
      <c r="N3242" t="n">
        <v>0</v>
      </c>
      <c r="O3242" t="n">
        <v>0</v>
      </c>
      <c r="P3242" t="n">
        <v>0</v>
      </c>
      <c r="Q3242" t="n">
        <v>0</v>
      </c>
      <c r="R3242" s="2" t="inlineStr"/>
    </row>
    <row r="3243" ht="15" customHeight="1">
      <c r="A3243" t="inlineStr">
        <is>
          <t>A 51016-2020</t>
        </is>
      </c>
      <c r="B3243" s="1" t="n">
        <v>44111</v>
      </c>
      <c r="C3243" s="1" t="n">
        <v>45182</v>
      </c>
      <c r="D3243" t="inlineStr">
        <is>
          <t>JÄMTLANDS LÄN</t>
        </is>
      </c>
      <c r="E3243" t="inlineStr">
        <is>
          <t>RAGUNDA</t>
        </is>
      </c>
      <c r="G3243" t="n">
        <v>1</v>
      </c>
      <c r="H3243" t="n">
        <v>0</v>
      </c>
      <c r="I3243" t="n">
        <v>0</v>
      </c>
      <c r="J3243" t="n">
        <v>0</v>
      </c>
      <c r="K3243" t="n">
        <v>0</v>
      </c>
      <c r="L3243" t="n">
        <v>0</v>
      </c>
      <c r="M3243" t="n">
        <v>0</v>
      </c>
      <c r="N3243" t="n">
        <v>0</v>
      </c>
      <c r="O3243" t="n">
        <v>0</v>
      </c>
      <c r="P3243" t="n">
        <v>0</v>
      </c>
      <c r="Q3243" t="n">
        <v>0</v>
      </c>
      <c r="R3243" s="2" t="inlineStr"/>
    </row>
    <row r="3244" ht="15" customHeight="1">
      <c r="A3244" t="inlineStr">
        <is>
          <t>A 50981-2020</t>
        </is>
      </c>
      <c r="B3244" s="1" t="n">
        <v>44111</v>
      </c>
      <c r="C3244" s="1" t="n">
        <v>45182</v>
      </c>
      <c r="D3244" t="inlineStr">
        <is>
          <t>JÄMTLANDS LÄN</t>
        </is>
      </c>
      <c r="E3244" t="inlineStr">
        <is>
          <t>BRÄCKE</t>
        </is>
      </c>
      <c r="F3244" t="inlineStr">
        <is>
          <t>SCA</t>
        </is>
      </c>
      <c r="G3244" t="n">
        <v>1.5</v>
      </c>
      <c r="H3244" t="n">
        <v>0</v>
      </c>
      <c r="I3244" t="n">
        <v>0</v>
      </c>
      <c r="J3244" t="n">
        <v>0</v>
      </c>
      <c r="K3244" t="n">
        <v>0</v>
      </c>
      <c r="L3244" t="n">
        <v>0</v>
      </c>
      <c r="M3244" t="n">
        <v>0</v>
      </c>
      <c r="N3244" t="n">
        <v>0</v>
      </c>
      <c r="O3244" t="n">
        <v>0</v>
      </c>
      <c r="P3244" t="n">
        <v>0</v>
      </c>
      <c r="Q3244" t="n">
        <v>0</v>
      </c>
      <c r="R3244" s="2" t="inlineStr"/>
    </row>
    <row r="3245" ht="15" customHeight="1">
      <c r="A3245" t="inlineStr">
        <is>
          <t>A 51004-2020</t>
        </is>
      </c>
      <c r="B3245" s="1" t="n">
        <v>44111</v>
      </c>
      <c r="C3245" s="1" t="n">
        <v>45182</v>
      </c>
      <c r="D3245" t="inlineStr">
        <is>
          <t>JÄMTLANDS LÄN</t>
        </is>
      </c>
      <c r="E3245" t="inlineStr">
        <is>
          <t>RAGUNDA</t>
        </is>
      </c>
      <c r="G3245" t="n">
        <v>2.8</v>
      </c>
      <c r="H3245" t="n">
        <v>0</v>
      </c>
      <c r="I3245" t="n">
        <v>0</v>
      </c>
      <c r="J3245" t="n">
        <v>0</v>
      </c>
      <c r="K3245" t="n">
        <v>0</v>
      </c>
      <c r="L3245" t="n">
        <v>0</v>
      </c>
      <c r="M3245" t="n">
        <v>0</v>
      </c>
      <c r="N3245" t="n">
        <v>0</v>
      </c>
      <c r="O3245" t="n">
        <v>0</v>
      </c>
      <c r="P3245" t="n">
        <v>0</v>
      </c>
      <c r="Q3245" t="n">
        <v>0</v>
      </c>
      <c r="R3245" s="2" t="inlineStr"/>
    </row>
    <row r="3246" ht="15" customHeight="1">
      <c r="A3246" t="inlineStr">
        <is>
          <t>A 50983-2020</t>
        </is>
      </c>
      <c r="B3246" s="1" t="n">
        <v>44111</v>
      </c>
      <c r="C3246" s="1" t="n">
        <v>45182</v>
      </c>
      <c r="D3246" t="inlineStr">
        <is>
          <t>JÄMTLANDS LÄN</t>
        </is>
      </c>
      <c r="E3246" t="inlineStr">
        <is>
          <t>BRÄCKE</t>
        </is>
      </c>
      <c r="F3246" t="inlineStr">
        <is>
          <t>SCA</t>
        </is>
      </c>
      <c r="G3246" t="n">
        <v>3.9</v>
      </c>
      <c r="H3246" t="n">
        <v>0</v>
      </c>
      <c r="I3246" t="n">
        <v>0</v>
      </c>
      <c r="J3246" t="n">
        <v>0</v>
      </c>
      <c r="K3246" t="n">
        <v>0</v>
      </c>
      <c r="L3246" t="n">
        <v>0</v>
      </c>
      <c r="M3246" t="n">
        <v>0</v>
      </c>
      <c r="N3246" t="n">
        <v>0</v>
      </c>
      <c r="O3246" t="n">
        <v>0</v>
      </c>
      <c r="P3246" t="n">
        <v>0</v>
      </c>
      <c r="Q3246" t="n">
        <v>0</v>
      </c>
      <c r="R3246" s="2" t="inlineStr"/>
    </row>
    <row r="3247" ht="15" customHeight="1">
      <c r="A3247" t="inlineStr">
        <is>
          <t>A 50988-2020</t>
        </is>
      </c>
      <c r="B3247" s="1" t="n">
        <v>44111</v>
      </c>
      <c r="C3247" s="1" t="n">
        <v>45182</v>
      </c>
      <c r="D3247" t="inlineStr">
        <is>
          <t>JÄMTLANDS LÄN</t>
        </is>
      </c>
      <c r="E3247" t="inlineStr">
        <is>
          <t>RAGUNDA</t>
        </is>
      </c>
      <c r="G3247" t="n">
        <v>2.6</v>
      </c>
      <c r="H3247" t="n">
        <v>0</v>
      </c>
      <c r="I3247" t="n">
        <v>0</v>
      </c>
      <c r="J3247" t="n">
        <v>0</v>
      </c>
      <c r="K3247" t="n">
        <v>0</v>
      </c>
      <c r="L3247" t="n">
        <v>0</v>
      </c>
      <c r="M3247" t="n">
        <v>0</v>
      </c>
      <c r="N3247" t="n">
        <v>0</v>
      </c>
      <c r="O3247" t="n">
        <v>0</v>
      </c>
      <c r="P3247" t="n">
        <v>0</v>
      </c>
      <c r="Q3247" t="n">
        <v>0</v>
      </c>
      <c r="R3247" s="2" t="inlineStr"/>
    </row>
    <row r="3248" ht="15" customHeight="1">
      <c r="A3248" t="inlineStr">
        <is>
          <t>A 51042-2020</t>
        </is>
      </c>
      <c r="B3248" s="1" t="n">
        <v>44112</v>
      </c>
      <c r="C3248" s="1" t="n">
        <v>45182</v>
      </c>
      <c r="D3248" t="inlineStr">
        <is>
          <t>JÄMTLANDS LÄN</t>
        </is>
      </c>
      <c r="E3248" t="inlineStr">
        <is>
          <t>STRÖMSUND</t>
        </is>
      </c>
      <c r="F3248" t="inlineStr">
        <is>
          <t>Sveaskog</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51670-2020</t>
        </is>
      </c>
      <c r="B3249" s="1" t="n">
        <v>44113</v>
      </c>
      <c r="C3249" s="1" t="n">
        <v>45182</v>
      </c>
      <c r="D3249" t="inlineStr">
        <is>
          <t>JÄMTLANDS LÄN</t>
        </is>
      </c>
      <c r="E3249" t="inlineStr">
        <is>
          <t>STRÖMSUND</t>
        </is>
      </c>
      <c r="G3249" t="n">
        <v>2.9</v>
      </c>
      <c r="H3249" t="n">
        <v>0</v>
      </c>
      <c r="I3249" t="n">
        <v>0</v>
      </c>
      <c r="J3249" t="n">
        <v>0</v>
      </c>
      <c r="K3249" t="n">
        <v>0</v>
      </c>
      <c r="L3249" t="n">
        <v>0</v>
      </c>
      <c r="M3249" t="n">
        <v>0</v>
      </c>
      <c r="N3249" t="n">
        <v>0</v>
      </c>
      <c r="O3249" t="n">
        <v>0</v>
      </c>
      <c r="P3249" t="n">
        <v>0</v>
      </c>
      <c r="Q3249" t="n">
        <v>0</v>
      </c>
      <c r="R3249" s="2" t="inlineStr"/>
    </row>
    <row r="3250" ht="15" customHeight="1">
      <c r="A3250" t="inlineStr">
        <is>
          <t>A 52491-2020</t>
        </is>
      </c>
      <c r="B3250" s="1" t="n">
        <v>44113</v>
      </c>
      <c r="C3250" s="1" t="n">
        <v>45182</v>
      </c>
      <c r="D3250" t="inlineStr">
        <is>
          <t>JÄMTLANDS LÄN</t>
        </is>
      </c>
      <c r="E3250" t="inlineStr">
        <is>
          <t>KROKOM</t>
        </is>
      </c>
      <c r="G3250" t="n">
        <v>2.7</v>
      </c>
      <c r="H3250" t="n">
        <v>0</v>
      </c>
      <c r="I3250" t="n">
        <v>0</v>
      </c>
      <c r="J3250" t="n">
        <v>0</v>
      </c>
      <c r="K3250" t="n">
        <v>0</v>
      </c>
      <c r="L3250" t="n">
        <v>0</v>
      </c>
      <c r="M3250" t="n">
        <v>0</v>
      </c>
      <c r="N3250" t="n">
        <v>0</v>
      </c>
      <c r="O3250" t="n">
        <v>0</v>
      </c>
      <c r="P3250" t="n">
        <v>0</v>
      </c>
      <c r="Q3250" t="n">
        <v>0</v>
      </c>
      <c r="R3250" s="2" t="inlineStr"/>
    </row>
    <row r="3251" ht="15" customHeight="1">
      <c r="A3251" t="inlineStr">
        <is>
          <t>A 51685-2020</t>
        </is>
      </c>
      <c r="B3251" s="1" t="n">
        <v>44113</v>
      </c>
      <c r="C3251" s="1" t="n">
        <v>45182</v>
      </c>
      <c r="D3251" t="inlineStr">
        <is>
          <t>JÄMTLANDS LÄN</t>
        </is>
      </c>
      <c r="E3251" t="inlineStr">
        <is>
          <t>RAGUNDA</t>
        </is>
      </c>
      <c r="F3251" t="inlineStr">
        <is>
          <t>SCA</t>
        </is>
      </c>
      <c r="G3251" t="n">
        <v>4.1</v>
      </c>
      <c r="H3251" t="n">
        <v>0</v>
      </c>
      <c r="I3251" t="n">
        <v>0</v>
      </c>
      <c r="J3251" t="n">
        <v>0</v>
      </c>
      <c r="K3251" t="n">
        <v>0</v>
      </c>
      <c r="L3251" t="n">
        <v>0</v>
      </c>
      <c r="M3251" t="n">
        <v>0</v>
      </c>
      <c r="N3251" t="n">
        <v>0</v>
      </c>
      <c r="O3251" t="n">
        <v>0</v>
      </c>
      <c r="P3251" t="n">
        <v>0</v>
      </c>
      <c r="Q3251" t="n">
        <v>0</v>
      </c>
      <c r="R3251" s="2" t="inlineStr"/>
    </row>
    <row r="3252" ht="15" customHeight="1">
      <c r="A3252" t="inlineStr">
        <is>
          <t>A 52478-2020</t>
        </is>
      </c>
      <c r="B3252" s="1" t="n">
        <v>44113</v>
      </c>
      <c r="C3252" s="1" t="n">
        <v>45182</v>
      </c>
      <c r="D3252" t="inlineStr">
        <is>
          <t>JÄMTLANDS LÄN</t>
        </is>
      </c>
      <c r="E3252" t="inlineStr">
        <is>
          <t>ÖSTERSUND</t>
        </is>
      </c>
      <c r="G3252" t="n">
        <v>1.7</v>
      </c>
      <c r="H3252" t="n">
        <v>0</v>
      </c>
      <c r="I3252" t="n">
        <v>0</v>
      </c>
      <c r="J3252" t="n">
        <v>0</v>
      </c>
      <c r="K3252" t="n">
        <v>0</v>
      </c>
      <c r="L3252" t="n">
        <v>0</v>
      </c>
      <c r="M3252" t="n">
        <v>0</v>
      </c>
      <c r="N3252" t="n">
        <v>0</v>
      </c>
      <c r="O3252" t="n">
        <v>0</v>
      </c>
      <c r="P3252" t="n">
        <v>0</v>
      </c>
      <c r="Q3252" t="n">
        <v>0</v>
      </c>
      <c r="R3252" s="2" t="inlineStr"/>
    </row>
    <row r="3253" ht="15" customHeight="1">
      <c r="A3253" t="inlineStr">
        <is>
          <t>A 51689-2020</t>
        </is>
      </c>
      <c r="B3253" s="1" t="n">
        <v>44113</v>
      </c>
      <c r="C3253" s="1" t="n">
        <v>45182</v>
      </c>
      <c r="D3253" t="inlineStr">
        <is>
          <t>JÄMTLANDS LÄN</t>
        </is>
      </c>
      <c r="E3253" t="inlineStr">
        <is>
          <t>STRÖMSUND</t>
        </is>
      </c>
      <c r="F3253" t="inlineStr">
        <is>
          <t>SCA</t>
        </is>
      </c>
      <c r="G3253" t="n">
        <v>4.9</v>
      </c>
      <c r="H3253" t="n">
        <v>0</v>
      </c>
      <c r="I3253" t="n">
        <v>0</v>
      </c>
      <c r="J3253" t="n">
        <v>0</v>
      </c>
      <c r="K3253" t="n">
        <v>0</v>
      </c>
      <c r="L3253" t="n">
        <v>0</v>
      </c>
      <c r="M3253" t="n">
        <v>0</v>
      </c>
      <c r="N3253" t="n">
        <v>0</v>
      </c>
      <c r="O3253" t="n">
        <v>0</v>
      </c>
      <c r="P3253" t="n">
        <v>0</v>
      </c>
      <c r="Q3253" t="n">
        <v>0</v>
      </c>
      <c r="R3253" s="2" t="inlineStr"/>
    </row>
    <row r="3254" ht="15" customHeight="1">
      <c r="A3254" t="inlineStr">
        <is>
          <t>A 51719-2020</t>
        </is>
      </c>
      <c r="B3254" s="1" t="n">
        <v>44113</v>
      </c>
      <c r="C3254" s="1" t="n">
        <v>45182</v>
      </c>
      <c r="D3254" t="inlineStr">
        <is>
          <t>JÄMTLANDS LÄN</t>
        </is>
      </c>
      <c r="E3254" t="inlineStr">
        <is>
          <t>KROKOM</t>
        </is>
      </c>
      <c r="F3254" t="inlineStr">
        <is>
          <t>SCA</t>
        </is>
      </c>
      <c r="G3254" t="n">
        <v>9</v>
      </c>
      <c r="H3254" t="n">
        <v>0</v>
      </c>
      <c r="I3254" t="n">
        <v>0</v>
      </c>
      <c r="J3254" t="n">
        <v>0</v>
      </c>
      <c r="K3254" t="n">
        <v>0</v>
      </c>
      <c r="L3254" t="n">
        <v>0</v>
      </c>
      <c r="M3254" t="n">
        <v>0</v>
      </c>
      <c r="N3254" t="n">
        <v>0</v>
      </c>
      <c r="O3254" t="n">
        <v>0</v>
      </c>
      <c r="P3254" t="n">
        <v>0</v>
      </c>
      <c r="Q3254" t="n">
        <v>0</v>
      </c>
      <c r="R3254" s="2" t="inlineStr"/>
    </row>
    <row r="3255" ht="15" customHeight="1">
      <c r="A3255" t="inlineStr">
        <is>
          <t>A 52487-2020</t>
        </is>
      </c>
      <c r="B3255" s="1" t="n">
        <v>44113</v>
      </c>
      <c r="C3255" s="1" t="n">
        <v>45182</v>
      </c>
      <c r="D3255" t="inlineStr">
        <is>
          <t>JÄMTLANDS LÄN</t>
        </is>
      </c>
      <c r="E3255" t="inlineStr">
        <is>
          <t>KROKOM</t>
        </is>
      </c>
      <c r="F3255" t="inlineStr">
        <is>
          <t>SCA</t>
        </is>
      </c>
      <c r="G3255" t="n">
        <v>9.699999999999999</v>
      </c>
      <c r="H3255" t="n">
        <v>0</v>
      </c>
      <c r="I3255" t="n">
        <v>0</v>
      </c>
      <c r="J3255" t="n">
        <v>0</v>
      </c>
      <c r="K3255" t="n">
        <v>0</v>
      </c>
      <c r="L3255" t="n">
        <v>0</v>
      </c>
      <c r="M3255" t="n">
        <v>0</v>
      </c>
      <c r="N3255" t="n">
        <v>0</v>
      </c>
      <c r="O3255" t="n">
        <v>0</v>
      </c>
      <c r="P3255" t="n">
        <v>0</v>
      </c>
      <c r="Q3255" t="n">
        <v>0</v>
      </c>
      <c r="R3255" s="2" t="inlineStr"/>
    </row>
    <row r="3256" ht="15" customHeight="1">
      <c r="A3256" t="inlineStr">
        <is>
          <t>A 51717-2020</t>
        </is>
      </c>
      <c r="B3256" s="1" t="n">
        <v>44113</v>
      </c>
      <c r="C3256" s="1" t="n">
        <v>45182</v>
      </c>
      <c r="D3256" t="inlineStr">
        <is>
          <t>JÄMTLANDS LÄN</t>
        </is>
      </c>
      <c r="E3256" t="inlineStr">
        <is>
          <t>KROKOM</t>
        </is>
      </c>
      <c r="F3256" t="inlineStr">
        <is>
          <t>SCA</t>
        </is>
      </c>
      <c r="G3256" t="n">
        <v>2.6</v>
      </c>
      <c r="H3256" t="n">
        <v>0</v>
      </c>
      <c r="I3256" t="n">
        <v>0</v>
      </c>
      <c r="J3256" t="n">
        <v>0</v>
      </c>
      <c r="K3256" t="n">
        <v>0</v>
      </c>
      <c r="L3256" t="n">
        <v>0</v>
      </c>
      <c r="M3256" t="n">
        <v>0</v>
      </c>
      <c r="N3256" t="n">
        <v>0</v>
      </c>
      <c r="O3256" t="n">
        <v>0</v>
      </c>
      <c r="P3256" t="n">
        <v>0</v>
      </c>
      <c r="Q3256" t="n">
        <v>0</v>
      </c>
      <c r="R3256" s="2" t="inlineStr"/>
    </row>
    <row r="3257" ht="15" customHeight="1">
      <c r="A3257" t="inlineStr">
        <is>
          <t>A 52030-2020</t>
        </is>
      </c>
      <c r="B3257" s="1" t="n">
        <v>44116</v>
      </c>
      <c r="C3257" s="1" t="n">
        <v>45182</v>
      </c>
      <c r="D3257" t="inlineStr">
        <is>
          <t>JÄMTLANDS LÄN</t>
        </is>
      </c>
      <c r="E3257" t="inlineStr">
        <is>
          <t>STRÖMSUND</t>
        </is>
      </c>
      <c r="F3257" t="inlineStr">
        <is>
          <t>SCA</t>
        </is>
      </c>
      <c r="G3257" t="n">
        <v>1.5</v>
      </c>
      <c r="H3257" t="n">
        <v>0</v>
      </c>
      <c r="I3257" t="n">
        <v>0</v>
      </c>
      <c r="J3257" t="n">
        <v>0</v>
      </c>
      <c r="K3257" t="n">
        <v>0</v>
      </c>
      <c r="L3257" t="n">
        <v>0</v>
      </c>
      <c r="M3257" t="n">
        <v>0</v>
      </c>
      <c r="N3257" t="n">
        <v>0</v>
      </c>
      <c r="O3257" t="n">
        <v>0</v>
      </c>
      <c r="P3257" t="n">
        <v>0</v>
      </c>
      <c r="Q3257" t="n">
        <v>0</v>
      </c>
      <c r="R3257" s="2" t="inlineStr"/>
    </row>
    <row r="3258" ht="15" customHeight="1">
      <c r="A3258" t="inlineStr">
        <is>
          <t>A 52548-2020</t>
        </is>
      </c>
      <c r="B3258" s="1" t="n">
        <v>44116</v>
      </c>
      <c r="C3258" s="1" t="n">
        <v>45182</v>
      </c>
      <c r="D3258" t="inlineStr">
        <is>
          <t>JÄMTLANDS LÄN</t>
        </is>
      </c>
      <c r="E3258" t="inlineStr">
        <is>
          <t>ÅRE</t>
        </is>
      </c>
      <c r="G3258" t="n">
        <v>7.5</v>
      </c>
      <c r="H3258" t="n">
        <v>0</v>
      </c>
      <c r="I3258" t="n">
        <v>0</v>
      </c>
      <c r="J3258" t="n">
        <v>0</v>
      </c>
      <c r="K3258" t="n">
        <v>0</v>
      </c>
      <c r="L3258" t="n">
        <v>0</v>
      </c>
      <c r="M3258" t="n">
        <v>0</v>
      </c>
      <c r="N3258" t="n">
        <v>0</v>
      </c>
      <c r="O3258" t="n">
        <v>0</v>
      </c>
      <c r="P3258" t="n">
        <v>0</v>
      </c>
      <c r="Q3258" t="n">
        <v>0</v>
      </c>
      <c r="R3258" s="2" t="inlineStr"/>
    </row>
    <row r="3259" ht="15" customHeight="1">
      <c r="A3259" t="inlineStr">
        <is>
          <t>A 52535-2020</t>
        </is>
      </c>
      <c r="B3259" s="1" t="n">
        <v>44118</v>
      </c>
      <c r="C3259" s="1" t="n">
        <v>45182</v>
      </c>
      <c r="D3259" t="inlineStr">
        <is>
          <t>JÄMTLANDS LÄN</t>
        </is>
      </c>
      <c r="E3259" t="inlineStr">
        <is>
          <t>ÖSTERSUND</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52777-2020</t>
        </is>
      </c>
      <c r="B3260" s="1" t="n">
        <v>44118</v>
      </c>
      <c r="C3260" s="1" t="n">
        <v>45182</v>
      </c>
      <c r="D3260" t="inlineStr">
        <is>
          <t>JÄMTLANDS LÄN</t>
        </is>
      </c>
      <c r="E3260" t="inlineStr">
        <is>
          <t>ÖSTERSUND</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52622-2020</t>
        </is>
      </c>
      <c r="B3261" s="1" t="n">
        <v>44118</v>
      </c>
      <c r="C3261" s="1" t="n">
        <v>45182</v>
      </c>
      <c r="D3261" t="inlineStr">
        <is>
          <t>JÄMTLANDS LÄN</t>
        </is>
      </c>
      <c r="E3261" t="inlineStr">
        <is>
          <t>STRÖMSUND</t>
        </is>
      </c>
      <c r="F3261" t="inlineStr">
        <is>
          <t>SCA</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52791-2020</t>
        </is>
      </c>
      <c r="B3262" s="1" t="n">
        <v>44118</v>
      </c>
      <c r="C3262" s="1" t="n">
        <v>45182</v>
      </c>
      <c r="D3262" t="inlineStr">
        <is>
          <t>JÄMTLANDS LÄN</t>
        </is>
      </c>
      <c r="E3262" t="inlineStr">
        <is>
          <t>ÖSTERSUND</t>
        </is>
      </c>
      <c r="G3262" t="n">
        <v>0.4</v>
      </c>
      <c r="H3262" t="n">
        <v>0</v>
      </c>
      <c r="I3262" t="n">
        <v>0</v>
      </c>
      <c r="J3262" t="n">
        <v>0</v>
      </c>
      <c r="K3262" t="n">
        <v>0</v>
      </c>
      <c r="L3262" t="n">
        <v>0</v>
      </c>
      <c r="M3262" t="n">
        <v>0</v>
      </c>
      <c r="N3262" t="n">
        <v>0</v>
      </c>
      <c r="O3262" t="n">
        <v>0</v>
      </c>
      <c r="P3262" t="n">
        <v>0</v>
      </c>
      <c r="Q3262" t="n">
        <v>0</v>
      </c>
      <c r="R3262" s="2" t="inlineStr"/>
    </row>
    <row r="3263" ht="15" customHeight="1">
      <c r="A3263" t="inlineStr">
        <is>
          <t>A 53042-2020</t>
        </is>
      </c>
      <c r="B3263" s="1" t="n">
        <v>44120</v>
      </c>
      <c r="C3263" s="1" t="n">
        <v>45182</v>
      </c>
      <c r="D3263" t="inlineStr">
        <is>
          <t>JÄMTLANDS LÄN</t>
        </is>
      </c>
      <c r="E3263" t="inlineStr">
        <is>
          <t>ÅRE</t>
        </is>
      </c>
      <c r="G3263" t="n">
        <v>17.1</v>
      </c>
      <c r="H3263" t="n">
        <v>0</v>
      </c>
      <c r="I3263" t="n">
        <v>0</v>
      </c>
      <c r="J3263" t="n">
        <v>0</v>
      </c>
      <c r="K3263" t="n">
        <v>0</v>
      </c>
      <c r="L3263" t="n">
        <v>0</v>
      </c>
      <c r="M3263" t="n">
        <v>0</v>
      </c>
      <c r="N3263" t="n">
        <v>0</v>
      </c>
      <c r="O3263" t="n">
        <v>0</v>
      </c>
      <c r="P3263" t="n">
        <v>0</v>
      </c>
      <c r="Q3263" t="n">
        <v>0</v>
      </c>
      <c r="R3263" s="2" t="inlineStr"/>
    </row>
    <row r="3264" ht="15" customHeight="1">
      <c r="A3264" t="inlineStr">
        <is>
          <t>A 53035-2020</t>
        </is>
      </c>
      <c r="B3264" s="1" t="n">
        <v>44120</v>
      </c>
      <c r="C3264" s="1" t="n">
        <v>45182</v>
      </c>
      <c r="D3264" t="inlineStr">
        <is>
          <t>JÄMTLANDS LÄN</t>
        </is>
      </c>
      <c r="E3264" t="inlineStr">
        <is>
          <t>STRÖMSUND</t>
        </is>
      </c>
      <c r="F3264" t="inlineStr">
        <is>
          <t>Holmen skog AB</t>
        </is>
      </c>
      <c r="G3264" t="n">
        <v>4.1</v>
      </c>
      <c r="H3264" t="n">
        <v>0</v>
      </c>
      <c r="I3264" t="n">
        <v>0</v>
      </c>
      <c r="J3264" t="n">
        <v>0</v>
      </c>
      <c r="K3264" t="n">
        <v>0</v>
      </c>
      <c r="L3264" t="n">
        <v>0</v>
      </c>
      <c r="M3264" t="n">
        <v>0</v>
      </c>
      <c r="N3264" t="n">
        <v>0</v>
      </c>
      <c r="O3264" t="n">
        <v>0</v>
      </c>
      <c r="P3264" t="n">
        <v>0</v>
      </c>
      <c r="Q3264" t="n">
        <v>0</v>
      </c>
      <c r="R3264" s="2" t="inlineStr"/>
    </row>
    <row r="3265" ht="15" customHeight="1">
      <c r="A3265" t="inlineStr">
        <is>
          <t>A 53072-2020</t>
        </is>
      </c>
      <c r="B3265" s="1" t="n">
        <v>44120</v>
      </c>
      <c r="C3265" s="1" t="n">
        <v>45182</v>
      </c>
      <c r="D3265" t="inlineStr">
        <is>
          <t>JÄMTLANDS LÄN</t>
        </is>
      </c>
      <c r="E3265" t="inlineStr">
        <is>
          <t>STRÖMSUND</t>
        </is>
      </c>
      <c r="F3265" t="inlineStr">
        <is>
          <t>Holmen skog AB</t>
        </is>
      </c>
      <c r="G3265" t="n">
        <v>2.4</v>
      </c>
      <c r="H3265" t="n">
        <v>0</v>
      </c>
      <c r="I3265" t="n">
        <v>0</v>
      </c>
      <c r="J3265" t="n">
        <v>0</v>
      </c>
      <c r="K3265" t="n">
        <v>0</v>
      </c>
      <c r="L3265" t="n">
        <v>0</v>
      </c>
      <c r="M3265" t="n">
        <v>0</v>
      </c>
      <c r="N3265" t="n">
        <v>0</v>
      </c>
      <c r="O3265" t="n">
        <v>0</v>
      </c>
      <c r="P3265" t="n">
        <v>0</v>
      </c>
      <c r="Q3265" t="n">
        <v>0</v>
      </c>
      <c r="R3265" s="2" t="inlineStr"/>
    </row>
    <row r="3266" ht="15" customHeight="1">
      <c r="A3266" t="inlineStr">
        <is>
          <t>A 53176-2020</t>
        </is>
      </c>
      <c r="B3266" s="1" t="n">
        <v>44120</v>
      </c>
      <c r="C3266" s="1" t="n">
        <v>45182</v>
      </c>
      <c r="D3266" t="inlineStr">
        <is>
          <t>JÄMTLANDS LÄN</t>
        </is>
      </c>
      <c r="E3266" t="inlineStr">
        <is>
          <t>BRÄCKE</t>
        </is>
      </c>
      <c r="F3266" t="inlineStr">
        <is>
          <t>SCA</t>
        </is>
      </c>
      <c r="G3266" t="n">
        <v>9.800000000000001</v>
      </c>
      <c r="H3266" t="n">
        <v>0</v>
      </c>
      <c r="I3266" t="n">
        <v>0</v>
      </c>
      <c r="J3266" t="n">
        <v>0</v>
      </c>
      <c r="K3266" t="n">
        <v>0</v>
      </c>
      <c r="L3266" t="n">
        <v>0</v>
      </c>
      <c r="M3266" t="n">
        <v>0</v>
      </c>
      <c r="N3266" t="n">
        <v>0</v>
      </c>
      <c r="O3266" t="n">
        <v>0</v>
      </c>
      <c r="P3266" t="n">
        <v>0</v>
      </c>
      <c r="Q3266" t="n">
        <v>0</v>
      </c>
      <c r="R3266" s="2" t="inlineStr"/>
    </row>
    <row r="3267" ht="15" customHeight="1">
      <c r="A3267" t="inlineStr">
        <is>
          <t>A 53241-2020</t>
        </is>
      </c>
      <c r="B3267" s="1" t="n">
        <v>44123</v>
      </c>
      <c r="C3267" s="1" t="n">
        <v>45182</v>
      </c>
      <c r="D3267" t="inlineStr">
        <is>
          <t>JÄMTLANDS LÄN</t>
        </is>
      </c>
      <c r="E3267" t="inlineStr">
        <is>
          <t>KROKOM</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53293-2020</t>
        </is>
      </c>
      <c r="B3268" s="1" t="n">
        <v>44123</v>
      </c>
      <c r="C3268" s="1" t="n">
        <v>45182</v>
      </c>
      <c r="D3268" t="inlineStr">
        <is>
          <t>JÄMTLANDS LÄN</t>
        </is>
      </c>
      <c r="E3268" t="inlineStr">
        <is>
          <t>STRÖMSUND</t>
        </is>
      </c>
      <c r="F3268" t="inlineStr">
        <is>
          <t>Holmen skog AB</t>
        </is>
      </c>
      <c r="G3268" t="n">
        <v>4.2</v>
      </c>
      <c r="H3268" t="n">
        <v>0</v>
      </c>
      <c r="I3268" t="n">
        <v>0</v>
      </c>
      <c r="J3268" t="n">
        <v>0</v>
      </c>
      <c r="K3268" t="n">
        <v>0</v>
      </c>
      <c r="L3268" t="n">
        <v>0</v>
      </c>
      <c r="M3268" t="n">
        <v>0</v>
      </c>
      <c r="N3268" t="n">
        <v>0</v>
      </c>
      <c r="O3268" t="n">
        <v>0</v>
      </c>
      <c r="P3268" t="n">
        <v>0</v>
      </c>
      <c r="Q3268" t="n">
        <v>0</v>
      </c>
      <c r="R3268" s="2" t="inlineStr"/>
    </row>
    <row r="3269" ht="15" customHeight="1">
      <c r="A3269" t="inlineStr">
        <is>
          <t>A 53902-2020</t>
        </is>
      </c>
      <c r="B3269" s="1" t="n">
        <v>44123</v>
      </c>
      <c r="C3269" s="1" t="n">
        <v>45182</v>
      </c>
      <c r="D3269" t="inlineStr">
        <is>
          <t>JÄMTLANDS LÄN</t>
        </is>
      </c>
      <c r="E3269" t="inlineStr">
        <is>
          <t>BERG</t>
        </is>
      </c>
      <c r="G3269" t="n">
        <v>22.5</v>
      </c>
      <c r="H3269" t="n">
        <v>0</v>
      </c>
      <c r="I3269" t="n">
        <v>0</v>
      </c>
      <c r="J3269" t="n">
        <v>0</v>
      </c>
      <c r="K3269" t="n">
        <v>0</v>
      </c>
      <c r="L3269" t="n">
        <v>0</v>
      </c>
      <c r="M3269" t="n">
        <v>0</v>
      </c>
      <c r="N3269" t="n">
        <v>0</v>
      </c>
      <c r="O3269" t="n">
        <v>0</v>
      </c>
      <c r="P3269" t="n">
        <v>0</v>
      </c>
      <c r="Q3269" t="n">
        <v>0</v>
      </c>
      <c r="R3269" s="2" t="inlineStr"/>
    </row>
    <row r="3270" ht="15" customHeight="1">
      <c r="A3270" t="inlineStr">
        <is>
          <t>A 53323-2020</t>
        </is>
      </c>
      <c r="B3270" s="1" t="n">
        <v>44123</v>
      </c>
      <c r="C3270" s="1" t="n">
        <v>45182</v>
      </c>
      <c r="D3270" t="inlineStr">
        <is>
          <t>JÄMTLANDS LÄN</t>
        </is>
      </c>
      <c r="E3270" t="inlineStr">
        <is>
          <t>ÖSTERSUND</t>
        </is>
      </c>
      <c r="F3270" t="inlineStr">
        <is>
          <t>Övriga Aktiebolag</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53501-2020</t>
        </is>
      </c>
      <c r="B3271" s="1" t="n">
        <v>44123</v>
      </c>
      <c r="C3271" s="1" t="n">
        <v>45182</v>
      </c>
      <c r="D3271" t="inlineStr">
        <is>
          <t>JÄMTLANDS LÄN</t>
        </is>
      </c>
      <c r="E3271" t="inlineStr">
        <is>
          <t>KROKOM</t>
        </is>
      </c>
      <c r="F3271" t="inlineStr">
        <is>
          <t>SCA</t>
        </is>
      </c>
      <c r="G3271" t="n">
        <v>4.2</v>
      </c>
      <c r="H3271" t="n">
        <v>0</v>
      </c>
      <c r="I3271" t="n">
        <v>0</v>
      </c>
      <c r="J3271" t="n">
        <v>0</v>
      </c>
      <c r="K3271" t="n">
        <v>0</v>
      </c>
      <c r="L3271" t="n">
        <v>0</v>
      </c>
      <c r="M3271" t="n">
        <v>0</v>
      </c>
      <c r="N3271" t="n">
        <v>0</v>
      </c>
      <c r="O3271" t="n">
        <v>0</v>
      </c>
      <c r="P3271" t="n">
        <v>0</v>
      </c>
      <c r="Q3271" t="n">
        <v>0</v>
      </c>
      <c r="R3271" s="2" t="inlineStr"/>
    </row>
    <row r="3272" ht="15" customHeight="1">
      <c r="A3272" t="inlineStr">
        <is>
          <t>A 53886-2020</t>
        </is>
      </c>
      <c r="B3272" s="1" t="n">
        <v>44123</v>
      </c>
      <c r="C3272" s="1" t="n">
        <v>45182</v>
      </c>
      <c r="D3272" t="inlineStr">
        <is>
          <t>JÄMTLANDS LÄN</t>
        </is>
      </c>
      <c r="E3272" t="inlineStr">
        <is>
          <t>BERG</t>
        </is>
      </c>
      <c r="G3272" t="n">
        <v>8.800000000000001</v>
      </c>
      <c r="H3272" t="n">
        <v>0</v>
      </c>
      <c r="I3272" t="n">
        <v>0</v>
      </c>
      <c r="J3272" t="n">
        <v>0</v>
      </c>
      <c r="K3272" t="n">
        <v>0</v>
      </c>
      <c r="L3272" t="n">
        <v>0</v>
      </c>
      <c r="M3272" t="n">
        <v>0</v>
      </c>
      <c r="N3272" t="n">
        <v>0</v>
      </c>
      <c r="O3272" t="n">
        <v>0</v>
      </c>
      <c r="P3272" t="n">
        <v>0</v>
      </c>
      <c r="Q3272" t="n">
        <v>0</v>
      </c>
      <c r="R3272" s="2" t="inlineStr"/>
    </row>
    <row r="3273" ht="15" customHeight="1">
      <c r="A3273" t="inlineStr">
        <is>
          <t>A 53500-2020</t>
        </is>
      </c>
      <c r="B3273" s="1" t="n">
        <v>44123</v>
      </c>
      <c r="C3273" s="1" t="n">
        <v>45182</v>
      </c>
      <c r="D3273" t="inlineStr">
        <is>
          <t>JÄMTLANDS LÄN</t>
        </is>
      </c>
      <c r="E3273" t="inlineStr">
        <is>
          <t>KROKOM</t>
        </is>
      </c>
      <c r="F3273" t="inlineStr">
        <is>
          <t>SCA</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53877-2020</t>
        </is>
      </c>
      <c r="B3274" s="1" t="n">
        <v>44123</v>
      </c>
      <c r="C3274" s="1" t="n">
        <v>45182</v>
      </c>
      <c r="D3274" t="inlineStr">
        <is>
          <t>JÄMTLANDS LÄN</t>
        </is>
      </c>
      <c r="E3274" t="inlineStr">
        <is>
          <t>BERG</t>
        </is>
      </c>
      <c r="G3274" t="n">
        <v>32.8</v>
      </c>
      <c r="H3274" t="n">
        <v>0</v>
      </c>
      <c r="I3274" t="n">
        <v>0</v>
      </c>
      <c r="J3274" t="n">
        <v>0</v>
      </c>
      <c r="K3274" t="n">
        <v>0</v>
      </c>
      <c r="L3274" t="n">
        <v>0</v>
      </c>
      <c r="M3274" t="n">
        <v>0</v>
      </c>
      <c r="N3274" t="n">
        <v>0</v>
      </c>
      <c r="O3274" t="n">
        <v>0</v>
      </c>
      <c r="P3274" t="n">
        <v>0</v>
      </c>
      <c r="Q3274" t="n">
        <v>0</v>
      </c>
      <c r="R3274" s="2" t="inlineStr"/>
    </row>
    <row r="3275" ht="15" customHeight="1">
      <c r="A3275" t="inlineStr">
        <is>
          <t>A 53958-2020</t>
        </is>
      </c>
      <c r="B3275" s="1" t="n">
        <v>44123</v>
      </c>
      <c r="C3275" s="1" t="n">
        <v>45182</v>
      </c>
      <c r="D3275" t="inlineStr">
        <is>
          <t>JÄMTLANDS LÄN</t>
        </is>
      </c>
      <c r="E3275" t="inlineStr">
        <is>
          <t>BERG</t>
        </is>
      </c>
      <c r="G3275" t="n">
        <v>27.9</v>
      </c>
      <c r="H3275" t="n">
        <v>0</v>
      </c>
      <c r="I3275" t="n">
        <v>0</v>
      </c>
      <c r="J3275" t="n">
        <v>0</v>
      </c>
      <c r="K3275" t="n">
        <v>0</v>
      </c>
      <c r="L3275" t="n">
        <v>0</v>
      </c>
      <c r="M3275" t="n">
        <v>0</v>
      </c>
      <c r="N3275" t="n">
        <v>0</v>
      </c>
      <c r="O3275" t="n">
        <v>0</v>
      </c>
      <c r="P3275" t="n">
        <v>0</v>
      </c>
      <c r="Q3275" t="n">
        <v>0</v>
      </c>
      <c r="R3275" s="2" t="inlineStr"/>
    </row>
    <row r="3276" ht="15" customHeight="1">
      <c r="A3276" t="inlineStr">
        <is>
          <t>A 53499-2020</t>
        </is>
      </c>
      <c r="B3276" s="1" t="n">
        <v>44123</v>
      </c>
      <c r="C3276" s="1" t="n">
        <v>45182</v>
      </c>
      <c r="D3276" t="inlineStr">
        <is>
          <t>JÄMTLANDS LÄN</t>
        </is>
      </c>
      <c r="E3276" t="inlineStr">
        <is>
          <t>KROKOM</t>
        </is>
      </c>
      <c r="F3276" t="inlineStr">
        <is>
          <t>SCA</t>
        </is>
      </c>
      <c r="G3276" t="n">
        <v>2.8</v>
      </c>
      <c r="H3276" t="n">
        <v>0</v>
      </c>
      <c r="I3276" t="n">
        <v>0</v>
      </c>
      <c r="J3276" t="n">
        <v>0</v>
      </c>
      <c r="K3276" t="n">
        <v>0</v>
      </c>
      <c r="L3276" t="n">
        <v>0</v>
      </c>
      <c r="M3276" t="n">
        <v>0</v>
      </c>
      <c r="N3276" t="n">
        <v>0</v>
      </c>
      <c r="O3276" t="n">
        <v>0</v>
      </c>
      <c r="P3276" t="n">
        <v>0</v>
      </c>
      <c r="Q3276" t="n">
        <v>0</v>
      </c>
      <c r="R3276" s="2" t="inlineStr"/>
    </row>
    <row r="3277" ht="15" customHeight="1">
      <c r="A3277" t="inlineStr">
        <is>
          <t>A 53950-2020</t>
        </is>
      </c>
      <c r="B3277" s="1" t="n">
        <v>44123</v>
      </c>
      <c r="C3277" s="1" t="n">
        <v>45182</v>
      </c>
      <c r="D3277" t="inlineStr">
        <is>
          <t>JÄMTLANDS LÄN</t>
        </is>
      </c>
      <c r="E3277" t="inlineStr">
        <is>
          <t>BERG</t>
        </is>
      </c>
      <c r="G3277" t="n">
        <v>11.8</v>
      </c>
      <c r="H3277" t="n">
        <v>0</v>
      </c>
      <c r="I3277" t="n">
        <v>0</v>
      </c>
      <c r="J3277" t="n">
        <v>0</v>
      </c>
      <c r="K3277" t="n">
        <v>0</v>
      </c>
      <c r="L3277" t="n">
        <v>0</v>
      </c>
      <c r="M3277" t="n">
        <v>0</v>
      </c>
      <c r="N3277" t="n">
        <v>0</v>
      </c>
      <c r="O3277" t="n">
        <v>0</v>
      </c>
      <c r="P3277" t="n">
        <v>0</v>
      </c>
      <c r="Q3277" t="n">
        <v>0</v>
      </c>
      <c r="R3277" s="2" t="inlineStr"/>
    </row>
    <row r="3278" ht="15" customHeight="1">
      <c r="A3278" t="inlineStr">
        <is>
          <t>A 53522-2020</t>
        </is>
      </c>
      <c r="B3278" s="1" t="n">
        <v>44124</v>
      </c>
      <c r="C3278" s="1" t="n">
        <v>45182</v>
      </c>
      <c r="D3278" t="inlineStr">
        <is>
          <t>JÄMTLANDS LÄN</t>
        </is>
      </c>
      <c r="E3278" t="inlineStr">
        <is>
          <t>RAGUNDA</t>
        </is>
      </c>
      <c r="G3278" t="n">
        <v>1.3</v>
      </c>
      <c r="H3278" t="n">
        <v>0</v>
      </c>
      <c r="I3278" t="n">
        <v>0</v>
      </c>
      <c r="J3278" t="n">
        <v>0</v>
      </c>
      <c r="K3278" t="n">
        <v>0</v>
      </c>
      <c r="L3278" t="n">
        <v>0</v>
      </c>
      <c r="M3278" t="n">
        <v>0</v>
      </c>
      <c r="N3278" t="n">
        <v>0</v>
      </c>
      <c r="O3278" t="n">
        <v>0</v>
      </c>
      <c r="P3278" t="n">
        <v>0</v>
      </c>
      <c r="Q3278" t="n">
        <v>0</v>
      </c>
      <c r="R3278" s="2" t="inlineStr"/>
    </row>
    <row r="3279" ht="15" customHeight="1">
      <c r="A3279" t="inlineStr">
        <is>
          <t>A 53826-2020</t>
        </is>
      </c>
      <c r="B3279" s="1" t="n">
        <v>44124</v>
      </c>
      <c r="C3279" s="1" t="n">
        <v>45182</v>
      </c>
      <c r="D3279" t="inlineStr">
        <is>
          <t>JÄMTLANDS LÄN</t>
        </is>
      </c>
      <c r="E3279" t="inlineStr">
        <is>
          <t>BRÄCKE</t>
        </is>
      </c>
      <c r="F3279" t="inlineStr">
        <is>
          <t>SCA</t>
        </is>
      </c>
      <c r="G3279" t="n">
        <v>3.2</v>
      </c>
      <c r="H3279" t="n">
        <v>0</v>
      </c>
      <c r="I3279" t="n">
        <v>0</v>
      </c>
      <c r="J3279" t="n">
        <v>0</v>
      </c>
      <c r="K3279" t="n">
        <v>0</v>
      </c>
      <c r="L3279" t="n">
        <v>0</v>
      </c>
      <c r="M3279" t="n">
        <v>0</v>
      </c>
      <c r="N3279" t="n">
        <v>0</v>
      </c>
      <c r="O3279" t="n">
        <v>0</v>
      </c>
      <c r="P3279" t="n">
        <v>0</v>
      </c>
      <c r="Q3279" t="n">
        <v>0</v>
      </c>
      <c r="R3279" s="2" t="inlineStr"/>
    </row>
    <row r="3280" ht="15" customHeight="1">
      <c r="A3280" t="inlineStr">
        <is>
          <t>A 53839-2020</t>
        </is>
      </c>
      <c r="B3280" s="1" t="n">
        <v>44124</v>
      </c>
      <c r="C3280" s="1" t="n">
        <v>45182</v>
      </c>
      <c r="D3280" t="inlineStr">
        <is>
          <t>JÄMTLANDS LÄN</t>
        </is>
      </c>
      <c r="E3280" t="inlineStr">
        <is>
          <t>BRÄCKE</t>
        </is>
      </c>
      <c r="F3280" t="inlineStr">
        <is>
          <t>SCA</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53967-2020</t>
        </is>
      </c>
      <c r="B3281" s="1" t="n">
        <v>44125</v>
      </c>
      <c r="C3281" s="1" t="n">
        <v>45182</v>
      </c>
      <c r="D3281" t="inlineStr">
        <is>
          <t>JÄMTLANDS LÄN</t>
        </is>
      </c>
      <c r="E3281" t="inlineStr">
        <is>
          <t>ÖSTERSUND</t>
        </is>
      </c>
      <c r="G3281" t="n">
        <v>25.8</v>
      </c>
      <c r="H3281" t="n">
        <v>0</v>
      </c>
      <c r="I3281" t="n">
        <v>0</v>
      </c>
      <c r="J3281" t="n">
        <v>0</v>
      </c>
      <c r="K3281" t="n">
        <v>0</v>
      </c>
      <c r="L3281" t="n">
        <v>0</v>
      </c>
      <c r="M3281" t="n">
        <v>0</v>
      </c>
      <c r="N3281" t="n">
        <v>0</v>
      </c>
      <c r="O3281" t="n">
        <v>0</v>
      </c>
      <c r="P3281" t="n">
        <v>0</v>
      </c>
      <c r="Q3281" t="n">
        <v>0</v>
      </c>
      <c r="R3281" s="2" t="inlineStr"/>
    </row>
    <row r="3282" ht="15" customHeight="1">
      <c r="A3282" t="inlineStr">
        <is>
          <t>A 54015-2020</t>
        </is>
      </c>
      <c r="B3282" s="1" t="n">
        <v>44125</v>
      </c>
      <c r="C3282" s="1" t="n">
        <v>45182</v>
      </c>
      <c r="D3282" t="inlineStr">
        <is>
          <t>JÄMTLANDS LÄN</t>
        </is>
      </c>
      <c r="E3282" t="inlineStr">
        <is>
          <t>ÅRE</t>
        </is>
      </c>
      <c r="F3282" t="inlineStr">
        <is>
          <t>Övriga Aktiebolag</t>
        </is>
      </c>
      <c r="G3282" t="n">
        <v>3.6</v>
      </c>
      <c r="H3282" t="n">
        <v>0</v>
      </c>
      <c r="I3282" t="n">
        <v>0</v>
      </c>
      <c r="J3282" t="n">
        <v>0</v>
      </c>
      <c r="K3282" t="n">
        <v>0</v>
      </c>
      <c r="L3282" t="n">
        <v>0</v>
      </c>
      <c r="M3282" t="n">
        <v>0</v>
      </c>
      <c r="N3282" t="n">
        <v>0</v>
      </c>
      <c r="O3282" t="n">
        <v>0</v>
      </c>
      <c r="P3282" t="n">
        <v>0</v>
      </c>
      <c r="Q3282" t="n">
        <v>0</v>
      </c>
      <c r="R3282" s="2" t="inlineStr"/>
    </row>
    <row r="3283" ht="15" customHeight="1">
      <c r="A3283" t="inlineStr">
        <is>
          <t>A 54481-2020</t>
        </is>
      </c>
      <c r="B3283" s="1" t="n">
        <v>44126</v>
      </c>
      <c r="C3283" s="1" t="n">
        <v>45182</v>
      </c>
      <c r="D3283" t="inlineStr">
        <is>
          <t>JÄMTLANDS LÄN</t>
        </is>
      </c>
      <c r="E3283" t="inlineStr">
        <is>
          <t>HÄRJEDALEN</t>
        </is>
      </c>
      <c r="F3283" t="inlineStr">
        <is>
          <t>Sveaskog</t>
        </is>
      </c>
      <c r="G3283" t="n">
        <v>3.3</v>
      </c>
      <c r="H3283" t="n">
        <v>0</v>
      </c>
      <c r="I3283" t="n">
        <v>0</v>
      </c>
      <c r="J3283" t="n">
        <v>0</v>
      </c>
      <c r="K3283" t="n">
        <v>0</v>
      </c>
      <c r="L3283" t="n">
        <v>0</v>
      </c>
      <c r="M3283" t="n">
        <v>0</v>
      </c>
      <c r="N3283" t="n">
        <v>0</v>
      </c>
      <c r="O3283" t="n">
        <v>0</v>
      </c>
      <c r="P3283" t="n">
        <v>0</v>
      </c>
      <c r="Q3283" t="n">
        <v>0</v>
      </c>
      <c r="R3283" s="2" t="inlineStr"/>
    </row>
    <row r="3284" ht="15" customHeight="1">
      <c r="A3284" t="inlineStr">
        <is>
          <t>A 54539-2020</t>
        </is>
      </c>
      <c r="B3284" s="1" t="n">
        <v>44126</v>
      </c>
      <c r="C3284" s="1" t="n">
        <v>45182</v>
      </c>
      <c r="D3284" t="inlineStr">
        <is>
          <t>JÄMTLANDS LÄN</t>
        </is>
      </c>
      <c r="E3284" t="inlineStr">
        <is>
          <t>ÖSTERSUND</t>
        </is>
      </c>
      <c r="G3284" t="n">
        <v>4.2</v>
      </c>
      <c r="H3284" t="n">
        <v>0</v>
      </c>
      <c r="I3284" t="n">
        <v>0</v>
      </c>
      <c r="J3284" t="n">
        <v>0</v>
      </c>
      <c r="K3284" t="n">
        <v>0</v>
      </c>
      <c r="L3284" t="n">
        <v>0</v>
      </c>
      <c r="M3284" t="n">
        <v>0</v>
      </c>
      <c r="N3284" t="n">
        <v>0</v>
      </c>
      <c r="O3284" t="n">
        <v>0</v>
      </c>
      <c r="P3284" t="n">
        <v>0</v>
      </c>
      <c r="Q3284" t="n">
        <v>0</v>
      </c>
      <c r="R3284" s="2" t="inlineStr"/>
    </row>
    <row r="3285" ht="15" customHeight="1">
      <c r="A3285" t="inlineStr">
        <is>
          <t>A 54844-2020</t>
        </is>
      </c>
      <c r="B3285" s="1" t="n">
        <v>44126</v>
      </c>
      <c r="C3285" s="1" t="n">
        <v>45182</v>
      </c>
      <c r="D3285" t="inlineStr">
        <is>
          <t>JÄMTLANDS LÄN</t>
        </is>
      </c>
      <c r="E3285" t="inlineStr">
        <is>
          <t>ÖSTERSUND</t>
        </is>
      </c>
      <c r="G3285" t="n">
        <v>6.9</v>
      </c>
      <c r="H3285" t="n">
        <v>0</v>
      </c>
      <c r="I3285" t="n">
        <v>0</v>
      </c>
      <c r="J3285" t="n">
        <v>0</v>
      </c>
      <c r="K3285" t="n">
        <v>0</v>
      </c>
      <c r="L3285" t="n">
        <v>0</v>
      </c>
      <c r="M3285" t="n">
        <v>0</v>
      </c>
      <c r="N3285" t="n">
        <v>0</v>
      </c>
      <c r="O3285" t="n">
        <v>0</v>
      </c>
      <c r="P3285" t="n">
        <v>0</v>
      </c>
      <c r="Q3285" t="n">
        <v>0</v>
      </c>
      <c r="R3285" s="2" t="inlineStr"/>
    </row>
    <row r="3286" ht="15" customHeight="1">
      <c r="A3286" t="inlineStr">
        <is>
          <t>A 54580-2020</t>
        </is>
      </c>
      <c r="B3286" s="1" t="n">
        <v>44126</v>
      </c>
      <c r="C3286" s="1" t="n">
        <v>45182</v>
      </c>
      <c r="D3286" t="inlineStr">
        <is>
          <t>JÄMTLANDS LÄN</t>
        </is>
      </c>
      <c r="E3286" t="inlineStr">
        <is>
          <t>RAGUNDA</t>
        </is>
      </c>
      <c r="G3286" t="n">
        <v>2.8</v>
      </c>
      <c r="H3286" t="n">
        <v>0</v>
      </c>
      <c r="I3286" t="n">
        <v>0</v>
      </c>
      <c r="J3286" t="n">
        <v>0</v>
      </c>
      <c r="K3286" t="n">
        <v>0</v>
      </c>
      <c r="L3286" t="n">
        <v>0</v>
      </c>
      <c r="M3286" t="n">
        <v>0</v>
      </c>
      <c r="N3286" t="n">
        <v>0</v>
      </c>
      <c r="O3286" t="n">
        <v>0</v>
      </c>
      <c r="P3286" t="n">
        <v>0</v>
      </c>
      <c r="Q3286" t="n">
        <v>0</v>
      </c>
      <c r="R3286" s="2" t="inlineStr"/>
    </row>
    <row r="3287" ht="15" customHeight="1">
      <c r="A3287" t="inlineStr">
        <is>
          <t>A 54575-2020</t>
        </is>
      </c>
      <c r="B3287" s="1" t="n">
        <v>44126</v>
      </c>
      <c r="C3287" s="1" t="n">
        <v>45182</v>
      </c>
      <c r="D3287" t="inlineStr">
        <is>
          <t>JÄMTLANDS LÄN</t>
        </is>
      </c>
      <c r="E3287" t="inlineStr">
        <is>
          <t>KROKOM</t>
        </is>
      </c>
      <c r="G3287" t="n">
        <v>2.5</v>
      </c>
      <c r="H3287" t="n">
        <v>0</v>
      </c>
      <c r="I3287" t="n">
        <v>0</v>
      </c>
      <c r="J3287" t="n">
        <v>0</v>
      </c>
      <c r="K3287" t="n">
        <v>0</v>
      </c>
      <c r="L3287" t="n">
        <v>0</v>
      </c>
      <c r="M3287" t="n">
        <v>0</v>
      </c>
      <c r="N3287" t="n">
        <v>0</v>
      </c>
      <c r="O3287" t="n">
        <v>0</v>
      </c>
      <c r="P3287" t="n">
        <v>0</v>
      </c>
      <c r="Q3287" t="n">
        <v>0</v>
      </c>
      <c r="R3287" s="2" t="inlineStr"/>
    </row>
    <row r="3288" ht="15" customHeight="1">
      <c r="A3288" t="inlineStr">
        <is>
          <t>A 54593-2020</t>
        </is>
      </c>
      <c r="B3288" s="1" t="n">
        <v>44126</v>
      </c>
      <c r="C3288" s="1" t="n">
        <v>45182</v>
      </c>
      <c r="D3288" t="inlineStr">
        <is>
          <t>JÄMTLANDS LÄN</t>
        </is>
      </c>
      <c r="E3288" t="inlineStr">
        <is>
          <t>HÄRJEDALEN</t>
        </is>
      </c>
      <c r="G3288" t="n">
        <v>6.5</v>
      </c>
      <c r="H3288" t="n">
        <v>0</v>
      </c>
      <c r="I3288" t="n">
        <v>0</v>
      </c>
      <c r="J3288" t="n">
        <v>0</v>
      </c>
      <c r="K3288" t="n">
        <v>0</v>
      </c>
      <c r="L3288" t="n">
        <v>0</v>
      </c>
      <c r="M3288" t="n">
        <v>0</v>
      </c>
      <c r="N3288" t="n">
        <v>0</v>
      </c>
      <c r="O3288" t="n">
        <v>0</v>
      </c>
      <c r="P3288" t="n">
        <v>0</v>
      </c>
      <c r="Q3288" t="n">
        <v>0</v>
      </c>
      <c r="R3288" s="2" t="inlineStr"/>
    </row>
    <row r="3289" ht="15" customHeight="1">
      <c r="A3289" t="inlineStr">
        <is>
          <t>A 54511-2020</t>
        </is>
      </c>
      <c r="B3289" s="1" t="n">
        <v>44126</v>
      </c>
      <c r="C3289" s="1" t="n">
        <v>45182</v>
      </c>
      <c r="D3289" t="inlineStr">
        <is>
          <t>JÄMTLANDS LÄN</t>
        </is>
      </c>
      <c r="E3289" t="inlineStr">
        <is>
          <t>BERG</t>
        </is>
      </c>
      <c r="G3289" t="n">
        <v>0.8</v>
      </c>
      <c r="H3289" t="n">
        <v>0</v>
      </c>
      <c r="I3289" t="n">
        <v>0</v>
      </c>
      <c r="J3289" t="n">
        <v>0</v>
      </c>
      <c r="K3289" t="n">
        <v>0</v>
      </c>
      <c r="L3289" t="n">
        <v>0</v>
      </c>
      <c r="M3289" t="n">
        <v>0</v>
      </c>
      <c r="N3289" t="n">
        <v>0</v>
      </c>
      <c r="O3289" t="n">
        <v>0</v>
      </c>
      <c r="P3289" t="n">
        <v>0</v>
      </c>
      <c r="Q3289" t="n">
        <v>0</v>
      </c>
      <c r="R3289" s="2" t="inlineStr"/>
    </row>
    <row r="3290" ht="15" customHeight="1">
      <c r="A3290" t="inlineStr">
        <is>
          <t>A 54537-2020</t>
        </is>
      </c>
      <c r="B3290" s="1" t="n">
        <v>44126</v>
      </c>
      <c r="C3290" s="1" t="n">
        <v>45182</v>
      </c>
      <c r="D3290" t="inlineStr">
        <is>
          <t>JÄMTLANDS LÄN</t>
        </is>
      </c>
      <c r="E3290" t="inlineStr">
        <is>
          <t>HÄRJEDALEN</t>
        </is>
      </c>
      <c r="G3290" t="n">
        <v>1.1</v>
      </c>
      <c r="H3290" t="n">
        <v>0</v>
      </c>
      <c r="I3290" t="n">
        <v>0</v>
      </c>
      <c r="J3290" t="n">
        <v>0</v>
      </c>
      <c r="K3290" t="n">
        <v>0</v>
      </c>
      <c r="L3290" t="n">
        <v>0</v>
      </c>
      <c r="M3290" t="n">
        <v>0</v>
      </c>
      <c r="N3290" t="n">
        <v>0</v>
      </c>
      <c r="O3290" t="n">
        <v>0</v>
      </c>
      <c r="P3290" t="n">
        <v>0</v>
      </c>
      <c r="Q3290" t="n">
        <v>0</v>
      </c>
      <c r="R3290" s="2" t="inlineStr"/>
    </row>
    <row r="3291" ht="15" customHeight="1">
      <c r="A3291" t="inlineStr">
        <is>
          <t>A 54587-2020</t>
        </is>
      </c>
      <c r="B3291" s="1" t="n">
        <v>44126</v>
      </c>
      <c r="C3291" s="1" t="n">
        <v>45182</v>
      </c>
      <c r="D3291" t="inlineStr">
        <is>
          <t>JÄMTLANDS LÄN</t>
        </is>
      </c>
      <c r="E3291" t="inlineStr">
        <is>
          <t>BRÄCKE</t>
        </is>
      </c>
      <c r="F3291" t="inlineStr">
        <is>
          <t>SCA</t>
        </is>
      </c>
      <c r="G3291" t="n">
        <v>24.9</v>
      </c>
      <c r="H3291" t="n">
        <v>0</v>
      </c>
      <c r="I3291" t="n">
        <v>0</v>
      </c>
      <c r="J3291" t="n">
        <v>0</v>
      </c>
      <c r="K3291" t="n">
        <v>0</v>
      </c>
      <c r="L3291" t="n">
        <v>0</v>
      </c>
      <c r="M3291" t="n">
        <v>0</v>
      </c>
      <c r="N3291" t="n">
        <v>0</v>
      </c>
      <c r="O3291" t="n">
        <v>0</v>
      </c>
      <c r="P3291" t="n">
        <v>0</v>
      </c>
      <c r="Q3291" t="n">
        <v>0</v>
      </c>
      <c r="R3291" s="2" t="inlineStr"/>
    </row>
    <row r="3292" ht="15" customHeight="1">
      <c r="A3292" t="inlineStr">
        <is>
          <t>A 54716-2020</t>
        </is>
      </c>
      <c r="B3292" s="1" t="n">
        <v>44127</v>
      </c>
      <c r="C3292" s="1" t="n">
        <v>45182</v>
      </c>
      <c r="D3292" t="inlineStr">
        <is>
          <t>JÄMTLANDS LÄN</t>
        </is>
      </c>
      <c r="E3292" t="inlineStr">
        <is>
          <t>HÄRJEDALEN</t>
        </is>
      </c>
      <c r="F3292" t="inlineStr">
        <is>
          <t>Kyrkan</t>
        </is>
      </c>
      <c r="G3292" t="n">
        <v>21.3</v>
      </c>
      <c r="H3292" t="n">
        <v>0</v>
      </c>
      <c r="I3292" t="n">
        <v>0</v>
      </c>
      <c r="J3292" t="n">
        <v>0</v>
      </c>
      <c r="K3292" t="n">
        <v>0</v>
      </c>
      <c r="L3292" t="n">
        <v>0</v>
      </c>
      <c r="M3292" t="n">
        <v>0</v>
      </c>
      <c r="N3292" t="n">
        <v>0</v>
      </c>
      <c r="O3292" t="n">
        <v>0</v>
      </c>
      <c r="P3292" t="n">
        <v>0</v>
      </c>
      <c r="Q3292" t="n">
        <v>0</v>
      </c>
      <c r="R3292" s="2" t="inlineStr"/>
    </row>
    <row r="3293" ht="15" customHeight="1">
      <c r="A3293" t="inlineStr">
        <is>
          <t>A 54944-2020</t>
        </is>
      </c>
      <c r="B3293" s="1" t="n">
        <v>44129</v>
      </c>
      <c r="C3293" s="1" t="n">
        <v>45182</v>
      </c>
      <c r="D3293" t="inlineStr">
        <is>
          <t>JÄMTLANDS LÄN</t>
        </is>
      </c>
      <c r="E3293" t="inlineStr">
        <is>
          <t>ÅRE</t>
        </is>
      </c>
      <c r="G3293" t="n">
        <v>0.3</v>
      </c>
      <c r="H3293" t="n">
        <v>0</v>
      </c>
      <c r="I3293" t="n">
        <v>0</v>
      </c>
      <c r="J3293" t="n">
        <v>0</v>
      </c>
      <c r="K3293" t="n">
        <v>0</v>
      </c>
      <c r="L3293" t="n">
        <v>0</v>
      </c>
      <c r="M3293" t="n">
        <v>0</v>
      </c>
      <c r="N3293" t="n">
        <v>0</v>
      </c>
      <c r="O3293" t="n">
        <v>0</v>
      </c>
      <c r="P3293" t="n">
        <v>0</v>
      </c>
      <c r="Q3293" t="n">
        <v>0</v>
      </c>
      <c r="R3293" s="2" t="inlineStr"/>
    </row>
    <row r="3294" ht="15" customHeight="1">
      <c r="A3294" t="inlineStr">
        <is>
          <t>A 54945-2020</t>
        </is>
      </c>
      <c r="B3294" s="1" t="n">
        <v>44129</v>
      </c>
      <c r="C3294" s="1" t="n">
        <v>45182</v>
      </c>
      <c r="D3294" t="inlineStr">
        <is>
          <t>JÄMTLANDS LÄN</t>
        </is>
      </c>
      <c r="E3294" t="inlineStr">
        <is>
          <t>ÅRE</t>
        </is>
      </c>
      <c r="G3294" t="n">
        <v>0.7</v>
      </c>
      <c r="H3294" t="n">
        <v>0</v>
      </c>
      <c r="I3294" t="n">
        <v>0</v>
      </c>
      <c r="J3294" t="n">
        <v>0</v>
      </c>
      <c r="K3294" t="n">
        <v>0</v>
      </c>
      <c r="L3294" t="n">
        <v>0</v>
      </c>
      <c r="M3294" t="n">
        <v>0</v>
      </c>
      <c r="N3294" t="n">
        <v>0</v>
      </c>
      <c r="O3294" t="n">
        <v>0</v>
      </c>
      <c r="P3294" t="n">
        <v>0</v>
      </c>
      <c r="Q3294" t="n">
        <v>0</v>
      </c>
      <c r="R3294" s="2" t="inlineStr"/>
    </row>
    <row r="3295" ht="15" customHeight="1">
      <c r="A3295" t="inlineStr">
        <is>
          <t>A 55311-2020</t>
        </is>
      </c>
      <c r="B3295" s="1" t="n">
        <v>44130</v>
      </c>
      <c r="C3295" s="1" t="n">
        <v>45182</v>
      </c>
      <c r="D3295" t="inlineStr">
        <is>
          <t>JÄMTLANDS LÄN</t>
        </is>
      </c>
      <c r="E3295" t="inlineStr">
        <is>
          <t>BERG</t>
        </is>
      </c>
      <c r="F3295" t="inlineStr">
        <is>
          <t>SCA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55340-2020</t>
        </is>
      </c>
      <c r="B3296" s="1" t="n">
        <v>44130</v>
      </c>
      <c r="C3296" s="1" t="n">
        <v>45182</v>
      </c>
      <c r="D3296" t="inlineStr">
        <is>
          <t>JÄMTLANDS LÄN</t>
        </is>
      </c>
      <c r="E3296" t="inlineStr">
        <is>
          <t>BRÄCKE</t>
        </is>
      </c>
      <c r="F3296" t="inlineStr">
        <is>
          <t>SCA</t>
        </is>
      </c>
      <c r="G3296" t="n">
        <v>13.5</v>
      </c>
      <c r="H3296" t="n">
        <v>0</v>
      </c>
      <c r="I3296" t="n">
        <v>0</v>
      </c>
      <c r="J3296" t="n">
        <v>0</v>
      </c>
      <c r="K3296" t="n">
        <v>0</v>
      </c>
      <c r="L3296" t="n">
        <v>0</v>
      </c>
      <c r="M3296" t="n">
        <v>0</v>
      </c>
      <c r="N3296" t="n">
        <v>0</v>
      </c>
      <c r="O3296" t="n">
        <v>0</v>
      </c>
      <c r="P3296" t="n">
        <v>0</v>
      </c>
      <c r="Q3296" t="n">
        <v>0</v>
      </c>
      <c r="R3296" s="2" t="inlineStr"/>
    </row>
    <row r="3297" ht="15" customHeight="1">
      <c r="A3297" t="inlineStr">
        <is>
          <t>A 55342-2020</t>
        </is>
      </c>
      <c r="B3297" s="1" t="n">
        <v>44130</v>
      </c>
      <c r="C3297" s="1" t="n">
        <v>45182</v>
      </c>
      <c r="D3297" t="inlineStr">
        <is>
          <t>JÄMTLANDS LÄN</t>
        </is>
      </c>
      <c r="E3297" t="inlineStr">
        <is>
          <t>STRÖMSUND</t>
        </is>
      </c>
      <c r="G3297" t="n">
        <v>2.9</v>
      </c>
      <c r="H3297" t="n">
        <v>0</v>
      </c>
      <c r="I3297" t="n">
        <v>0</v>
      </c>
      <c r="J3297" t="n">
        <v>0</v>
      </c>
      <c r="K3297" t="n">
        <v>0</v>
      </c>
      <c r="L3297" t="n">
        <v>0</v>
      </c>
      <c r="M3297" t="n">
        <v>0</v>
      </c>
      <c r="N3297" t="n">
        <v>0</v>
      </c>
      <c r="O3297" t="n">
        <v>0</v>
      </c>
      <c r="P3297" t="n">
        <v>0</v>
      </c>
      <c r="Q3297" t="n">
        <v>0</v>
      </c>
      <c r="R3297" s="2" t="inlineStr"/>
    </row>
    <row r="3298" ht="15" customHeight="1">
      <c r="A3298" t="inlineStr">
        <is>
          <t>A 55655-2020</t>
        </is>
      </c>
      <c r="B3298" s="1" t="n">
        <v>44131</v>
      </c>
      <c r="C3298" s="1" t="n">
        <v>45182</v>
      </c>
      <c r="D3298" t="inlineStr">
        <is>
          <t>JÄMTLANDS LÄN</t>
        </is>
      </c>
      <c r="E3298" t="inlineStr">
        <is>
          <t>BRÄCKE</t>
        </is>
      </c>
      <c r="F3298" t="inlineStr">
        <is>
          <t>SCA</t>
        </is>
      </c>
      <c r="G3298" t="n">
        <v>2</v>
      </c>
      <c r="H3298" t="n">
        <v>0</v>
      </c>
      <c r="I3298" t="n">
        <v>0</v>
      </c>
      <c r="J3298" t="n">
        <v>0</v>
      </c>
      <c r="K3298" t="n">
        <v>0</v>
      </c>
      <c r="L3298" t="n">
        <v>0</v>
      </c>
      <c r="M3298" t="n">
        <v>0</v>
      </c>
      <c r="N3298" t="n">
        <v>0</v>
      </c>
      <c r="O3298" t="n">
        <v>0</v>
      </c>
      <c r="P3298" t="n">
        <v>0</v>
      </c>
      <c r="Q3298" t="n">
        <v>0</v>
      </c>
      <c r="R3298" s="2" t="inlineStr"/>
    </row>
    <row r="3299" ht="15" customHeight="1">
      <c r="A3299" t="inlineStr">
        <is>
          <t>A 55654-2020</t>
        </is>
      </c>
      <c r="B3299" s="1" t="n">
        <v>44131</v>
      </c>
      <c r="C3299" s="1" t="n">
        <v>45182</v>
      </c>
      <c r="D3299" t="inlineStr">
        <is>
          <t>JÄMTLANDS LÄN</t>
        </is>
      </c>
      <c r="E3299" t="inlineStr">
        <is>
          <t>BRÄCKE</t>
        </is>
      </c>
      <c r="F3299" t="inlineStr">
        <is>
          <t>SCA</t>
        </is>
      </c>
      <c r="G3299" t="n">
        <v>3.4</v>
      </c>
      <c r="H3299" t="n">
        <v>0</v>
      </c>
      <c r="I3299" t="n">
        <v>0</v>
      </c>
      <c r="J3299" t="n">
        <v>0</v>
      </c>
      <c r="K3299" t="n">
        <v>0</v>
      </c>
      <c r="L3299" t="n">
        <v>0</v>
      </c>
      <c r="M3299" t="n">
        <v>0</v>
      </c>
      <c r="N3299" t="n">
        <v>0</v>
      </c>
      <c r="O3299" t="n">
        <v>0</v>
      </c>
      <c r="P3299" t="n">
        <v>0</v>
      </c>
      <c r="Q3299" t="n">
        <v>0</v>
      </c>
      <c r="R3299" s="2" t="inlineStr"/>
    </row>
    <row r="3300" ht="15" customHeight="1">
      <c r="A3300" t="inlineStr">
        <is>
          <t>A 55708-2020</t>
        </is>
      </c>
      <c r="B3300" s="1" t="n">
        <v>44131</v>
      </c>
      <c r="C3300" s="1" t="n">
        <v>45182</v>
      </c>
      <c r="D3300" t="inlineStr">
        <is>
          <t>JÄMTLANDS LÄN</t>
        </is>
      </c>
      <c r="E3300" t="inlineStr">
        <is>
          <t>STRÖMSUND</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55658-2020</t>
        </is>
      </c>
      <c r="B3301" s="1" t="n">
        <v>44131</v>
      </c>
      <c r="C3301" s="1" t="n">
        <v>45182</v>
      </c>
      <c r="D3301" t="inlineStr">
        <is>
          <t>JÄMTLANDS LÄN</t>
        </is>
      </c>
      <c r="E3301" t="inlineStr">
        <is>
          <t>BRÄCKE</t>
        </is>
      </c>
      <c r="F3301" t="inlineStr">
        <is>
          <t>SCA</t>
        </is>
      </c>
      <c r="G3301" t="n">
        <v>2.5</v>
      </c>
      <c r="H3301" t="n">
        <v>0</v>
      </c>
      <c r="I3301" t="n">
        <v>0</v>
      </c>
      <c r="J3301" t="n">
        <v>0</v>
      </c>
      <c r="K3301" t="n">
        <v>0</v>
      </c>
      <c r="L3301" t="n">
        <v>0</v>
      </c>
      <c r="M3301" t="n">
        <v>0</v>
      </c>
      <c r="N3301" t="n">
        <v>0</v>
      </c>
      <c r="O3301" t="n">
        <v>0</v>
      </c>
      <c r="P3301" t="n">
        <v>0</v>
      </c>
      <c r="Q3301" t="n">
        <v>0</v>
      </c>
      <c r="R3301" s="2" t="inlineStr"/>
    </row>
    <row r="3302" ht="15" customHeight="1">
      <c r="A3302" t="inlineStr">
        <is>
          <t>A 55657-2020</t>
        </is>
      </c>
      <c r="B3302" s="1" t="n">
        <v>44131</v>
      </c>
      <c r="C3302" s="1" t="n">
        <v>45182</v>
      </c>
      <c r="D3302" t="inlineStr">
        <is>
          <t>JÄMTLANDS LÄN</t>
        </is>
      </c>
      <c r="E3302" t="inlineStr">
        <is>
          <t>BRÄCKE</t>
        </is>
      </c>
      <c r="F3302" t="inlineStr">
        <is>
          <t>SCA</t>
        </is>
      </c>
      <c r="G3302" t="n">
        <v>6.1</v>
      </c>
      <c r="H3302" t="n">
        <v>0</v>
      </c>
      <c r="I3302" t="n">
        <v>0</v>
      </c>
      <c r="J3302" t="n">
        <v>0</v>
      </c>
      <c r="K3302" t="n">
        <v>0</v>
      </c>
      <c r="L3302" t="n">
        <v>0</v>
      </c>
      <c r="M3302" t="n">
        <v>0</v>
      </c>
      <c r="N3302" t="n">
        <v>0</v>
      </c>
      <c r="O3302" t="n">
        <v>0</v>
      </c>
      <c r="P3302" t="n">
        <v>0</v>
      </c>
      <c r="Q3302" t="n">
        <v>0</v>
      </c>
      <c r="R3302" s="2" t="inlineStr"/>
    </row>
    <row r="3303" ht="15" customHeight="1">
      <c r="A3303" t="inlineStr">
        <is>
          <t>A 55834-2020</t>
        </is>
      </c>
      <c r="B3303" s="1" t="n">
        <v>44132</v>
      </c>
      <c r="C3303" s="1" t="n">
        <v>45182</v>
      </c>
      <c r="D3303" t="inlineStr">
        <is>
          <t>JÄMTLANDS LÄN</t>
        </is>
      </c>
      <c r="E3303" t="inlineStr">
        <is>
          <t>HÄRJEDALEN</t>
        </is>
      </c>
      <c r="G3303" t="n">
        <v>2.8</v>
      </c>
      <c r="H3303" t="n">
        <v>0</v>
      </c>
      <c r="I3303" t="n">
        <v>0</v>
      </c>
      <c r="J3303" t="n">
        <v>0</v>
      </c>
      <c r="K3303" t="n">
        <v>0</v>
      </c>
      <c r="L3303" t="n">
        <v>0</v>
      </c>
      <c r="M3303" t="n">
        <v>0</v>
      </c>
      <c r="N3303" t="n">
        <v>0</v>
      </c>
      <c r="O3303" t="n">
        <v>0</v>
      </c>
      <c r="P3303" t="n">
        <v>0</v>
      </c>
      <c r="Q3303" t="n">
        <v>0</v>
      </c>
      <c r="R3303" s="2" t="inlineStr"/>
    </row>
    <row r="3304" ht="15" customHeight="1">
      <c r="A3304" t="inlineStr">
        <is>
          <t>A 55926-2020</t>
        </is>
      </c>
      <c r="B3304" s="1" t="n">
        <v>44132</v>
      </c>
      <c r="C3304" s="1" t="n">
        <v>45182</v>
      </c>
      <c r="D3304" t="inlineStr">
        <is>
          <t>JÄMTLANDS LÄN</t>
        </is>
      </c>
      <c r="E3304" t="inlineStr">
        <is>
          <t>RAGUNDA</t>
        </is>
      </c>
      <c r="F3304" t="inlineStr">
        <is>
          <t>SCA</t>
        </is>
      </c>
      <c r="G3304" t="n">
        <v>11.5</v>
      </c>
      <c r="H3304" t="n">
        <v>0</v>
      </c>
      <c r="I3304" t="n">
        <v>0</v>
      </c>
      <c r="J3304" t="n">
        <v>0</v>
      </c>
      <c r="K3304" t="n">
        <v>0</v>
      </c>
      <c r="L3304" t="n">
        <v>0</v>
      </c>
      <c r="M3304" t="n">
        <v>0</v>
      </c>
      <c r="N3304" t="n">
        <v>0</v>
      </c>
      <c r="O3304" t="n">
        <v>0</v>
      </c>
      <c r="P3304" t="n">
        <v>0</v>
      </c>
      <c r="Q3304" t="n">
        <v>0</v>
      </c>
      <c r="R3304" s="2" t="inlineStr"/>
    </row>
    <row r="3305" ht="15" customHeight="1">
      <c r="A3305" t="inlineStr">
        <is>
          <t>A 56001-2020</t>
        </is>
      </c>
      <c r="B3305" s="1" t="n">
        <v>44133</v>
      </c>
      <c r="C3305" s="1" t="n">
        <v>45182</v>
      </c>
      <c r="D3305" t="inlineStr">
        <is>
          <t>JÄMTLANDS LÄN</t>
        </is>
      </c>
      <c r="E3305" t="inlineStr">
        <is>
          <t>HÄRJEDALEN</t>
        </is>
      </c>
      <c r="F3305" t="inlineStr">
        <is>
          <t>Holmen skog AB</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56168-2020</t>
        </is>
      </c>
      <c r="B3306" s="1" t="n">
        <v>44133</v>
      </c>
      <c r="C3306" s="1" t="n">
        <v>45182</v>
      </c>
      <c r="D3306" t="inlineStr">
        <is>
          <t>JÄMTLANDS LÄN</t>
        </is>
      </c>
      <c r="E3306" t="inlineStr">
        <is>
          <t>KROKOM</t>
        </is>
      </c>
      <c r="G3306" t="n">
        <v>3.5</v>
      </c>
      <c r="H3306" t="n">
        <v>0</v>
      </c>
      <c r="I3306" t="n">
        <v>0</v>
      </c>
      <c r="J3306" t="n">
        <v>0</v>
      </c>
      <c r="K3306" t="n">
        <v>0</v>
      </c>
      <c r="L3306" t="n">
        <v>0</v>
      </c>
      <c r="M3306" t="n">
        <v>0</v>
      </c>
      <c r="N3306" t="n">
        <v>0</v>
      </c>
      <c r="O3306" t="n">
        <v>0</v>
      </c>
      <c r="P3306" t="n">
        <v>0</v>
      </c>
      <c r="Q3306" t="n">
        <v>0</v>
      </c>
      <c r="R3306" s="2" t="inlineStr"/>
    </row>
    <row r="3307" ht="15" customHeight="1">
      <c r="A3307" t="inlineStr">
        <is>
          <t>A 56220-2020</t>
        </is>
      </c>
      <c r="B3307" s="1" t="n">
        <v>44133</v>
      </c>
      <c r="C3307" s="1" t="n">
        <v>45182</v>
      </c>
      <c r="D3307" t="inlineStr">
        <is>
          <t>JÄMTLANDS LÄN</t>
        </is>
      </c>
      <c r="E3307" t="inlineStr">
        <is>
          <t>ÖSTERSUND</t>
        </is>
      </c>
      <c r="G3307" t="n">
        <v>0.6</v>
      </c>
      <c r="H3307" t="n">
        <v>0</v>
      </c>
      <c r="I3307" t="n">
        <v>0</v>
      </c>
      <c r="J3307" t="n">
        <v>0</v>
      </c>
      <c r="K3307" t="n">
        <v>0</v>
      </c>
      <c r="L3307" t="n">
        <v>0</v>
      </c>
      <c r="M3307" t="n">
        <v>0</v>
      </c>
      <c r="N3307" t="n">
        <v>0</v>
      </c>
      <c r="O3307" t="n">
        <v>0</v>
      </c>
      <c r="P3307" t="n">
        <v>0</v>
      </c>
      <c r="Q3307" t="n">
        <v>0</v>
      </c>
      <c r="R3307" s="2" t="inlineStr"/>
    </row>
    <row r="3308" ht="15" customHeight="1">
      <c r="A3308" t="inlineStr">
        <is>
          <t>A 56202-2020</t>
        </is>
      </c>
      <c r="B3308" s="1" t="n">
        <v>44133</v>
      </c>
      <c r="C3308" s="1" t="n">
        <v>45182</v>
      </c>
      <c r="D3308" t="inlineStr">
        <is>
          <t>JÄMTLANDS LÄN</t>
        </is>
      </c>
      <c r="E3308" t="inlineStr">
        <is>
          <t>KROKOM</t>
        </is>
      </c>
      <c r="G3308" t="n">
        <v>0.2</v>
      </c>
      <c r="H3308" t="n">
        <v>0</v>
      </c>
      <c r="I3308" t="n">
        <v>0</v>
      </c>
      <c r="J3308" t="n">
        <v>0</v>
      </c>
      <c r="K3308" t="n">
        <v>0</v>
      </c>
      <c r="L3308" t="n">
        <v>0</v>
      </c>
      <c r="M3308" t="n">
        <v>0</v>
      </c>
      <c r="N3308" t="n">
        <v>0</v>
      </c>
      <c r="O3308" t="n">
        <v>0</v>
      </c>
      <c r="P3308" t="n">
        <v>0</v>
      </c>
      <c r="Q3308" t="n">
        <v>0</v>
      </c>
      <c r="R3308" s="2" t="inlineStr"/>
    </row>
    <row r="3309" ht="15" customHeight="1">
      <c r="A3309" t="inlineStr">
        <is>
          <t>A 56596-2020</t>
        </is>
      </c>
      <c r="B3309" s="1" t="n">
        <v>44133</v>
      </c>
      <c r="C3309" s="1" t="n">
        <v>45182</v>
      </c>
      <c r="D3309" t="inlineStr">
        <is>
          <t>JÄMTLANDS LÄN</t>
        </is>
      </c>
      <c r="E3309" t="inlineStr">
        <is>
          <t>KROKOM</t>
        </is>
      </c>
      <c r="G3309" t="n">
        <v>7.2</v>
      </c>
      <c r="H3309" t="n">
        <v>0</v>
      </c>
      <c r="I3309" t="n">
        <v>0</v>
      </c>
      <c r="J3309" t="n">
        <v>0</v>
      </c>
      <c r="K3309" t="n">
        <v>0</v>
      </c>
      <c r="L3309" t="n">
        <v>0</v>
      </c>
      <c r="M3309" t="n">
        <v>0</v>
      </c>
      <c r="N3309" t="n">
        <v>0</v>
      </c>
      <c r="O3309" t="n">
        <v>0</v>
      </c>
      <c r="P3309" t="n">
        <v>0</v>
      </c>
      <c r="Q3309" t="n">
        <v>0</v>
      </c>
      <c r="R3309" s="2" t="inlineStr"/>
    </row>
    <row r="3310" ht="15" customHeight="1">
      <c r="A3310" t="inlineStr">
        <is>
          <t>A 56203-2020</t>
        </is>
      </c>
      <c r="B3310" s="1" t="n">
        <v>44133</v>
      </c>
      <c r="C3310" s="1" t="n">
        <v>45182</v>
      </c>
      <c r="D3310" t="inlineStr">
        <is>
          <t>JÄMTLANDS LÄN</t>
        </is>
      </c>
      <c r="E3310" t="inlineStr">
        <is>
          <t>KROKOM</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56251-2020</t>
        </is>
      </c>
      <c r="B3311" s="1" t="n">
        <v>44134</v>
      </c>
      <c r="C3311" s="1" t="n">
        <v>45182</v>
      </c>
      <c r="D3311" t="inlineStr">
        <is>
          <t>JÄMTLANDS LÄN</t>
        </is>
      </c>
      <c r="E3311" t="inlineStr">
        <is>
          <t>STRÖMSUND</t>
        </is>
      </c>
      <c r="F3311" t="inlineStr">
        <is>
          <t>Holmen skog AB</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56290-2020</t>
        </is>
      </c>
      <c r="B3312" s="1" t="n">
        <v>44134</v>
      </c>
      <c r="C3312" s="1" t="n">
        <v>45182</v>
      </c>
      <c r="D3312" t="inlineStr">
        <is>
          <t>JÄMTLANDS LÄN</t>
        </is>
      </c>
      <c r="E3312" t="inlineStr">
        <is>
          <t>STRÖMSUND</t>
        </is>
      </c>
      <c r="F3312" t="inlineStr">
        <is>
          <t>Holmen skog AB</t>
        </is>
      </c>
      <c r="G3312" t="n">
        <v>8.800000000000001</v>
      </c>
      <c r="H3312" t="n">
        <v>0</v>
      </c>
      <c r="I3312" t="n">
        <v>0</v>
      </c>
      <c r="J3312" t="n">
        <v>0</v>
      </c>
      <c r="K3312" t="n">
        <v>0</v>
      </c>
      <c r="L3312" t="n">
        <v>0</v>
      </c>
      <c r="M3312" t="n">
        <v>0</v>
      </c>
      <c r="N3312" t="n">
        <v>0</v>
      </c>
      <c r="O3312" t="n">
        <v>0</v>
      </c>
      <c r="P3312" t="n">
        <v>0</v>
      </c>
      <c r="Q3312" t="n">
        <v>0</v>
      </c>
      <c r="R3312" s="2" t="inlineStr"/>
    </row>
    <row r="3313" ht="15" customHeight="1">
      <c r="A3313" t="inlineStr">
        <is>
          <t>A 56339-2020</t>
        </is>
      </c>
      <c r="B3313" s="1" t="n">
        <v>44134</v>
      </c>
      <c r="C3313" s="1" t="n">
        <v>45182</v>
      </c>
      <c r="D3313" t="inlineStr">
        <is>
          <t>JÄMTLANDS LÄN</t>
        </is>
      </c>
      <c r="E3313" t="inlineStr">
        <is>
          <t>RAGUNDA</t>
        </is>
      </c>
      <c r="G3313" t="n">
        <v>2.9</v>
      </c>
      <c r="H3313" t="n">
        <v>0</v>
      </c>
      <c r="I3313" t="n">
        <v>0</v>
      </c>
      <c r="J3313" t="n">
        <v>0</v>
      </c>
      <c r="K3313" t="n">
        <v>0</v>
      </c>
      <c r="L3313" t="n">
        <v>0</v>
      </c>
      <c r="M3313" t="n">
        <v>0</v>
      </c>
      <c r="N3313" t="n">
        <v>0</v>
      </c>
      <c r="O3313" t="n">
        <v>0</v>
      </c>
      <c r="P3313" t="n">
        <v>0</v>
      </c>
      <c r="Q3313" t="n">
        <v>0</v>
      </c>
      <c r="R3313" s="2" t="inlineStr"/>
    </row>
    <row r="3314" ht="15" customHeight="1">
      <c r="A3314" t="inlineStr">
        <is>
          <t>A 56352-2020</t>
        </is>
      </c>
      <c r="B3314" s="1" t="n">
        <v>44135</v>
      </c>
      <c r="C3314" s="1" t="n">
        <v>45182</v>
      </c>
      <c r="D3314" t="inlineStr">
        <is>
          <t>JÄMTLANDS LÄN</t>
        </is>
      </c>
      <c r="E3314" t="inlineStr">
        <is>
          <t>ÅRE</t>
        </is>
      </c>
      <c r="G3314" t="n">
        <v>95.09999999999999</v>
      </c>
      <c r="H3314" t="n">
        <v>0</v>
      </c>
      <c r="I3314" t="n">
        <v>0</v>
      </c>
      <c r="J3314" t="n">
        <v>0</v>
      </c>
      <c r="K3314" t="n">
        <v>0</v>
      </c>
      <c r="L3314" t="n">
        <v>0</v>
      </c>
      <c r="M3314" t="n">
        <v>0</v>
      </c>
      <c r="N3314" t="n">
        <v>0</v>
      </c>
      <c r="O3314" t="n">
        <v>0</v>
      </c>
      <c r="P3314" t="n">
        <v>0</v>
      </c>
      <c r="Q3314" t="n">
        <v>0</v>
      </c>
      <c r="R3314" s="2" t="inlineStr"/>
    </row>
    <row r="3315" ht="15" customHeight="1">
      <c r="A3315" t="inlineStr">
        <is>
          <t>A 56486-2020</t>
        </is>
      </c>
      <c r="B3315" s="1" t="n">
        <v>44137</v>
      </c>
      <c r="C3315" s="1" t="n">
        <v>45182</v>
      </c>
      <c r="D3315" t="inlineStr">
        <is>
          <t>JÄMTLANDS LÄN</t>
        </is>
      </c>
      <c r="E3315" t="inlineStr">
        <is>
          <t>ÖSTERSUND</t>
        </is>
      </c>
      <c r="G3315" t="n">
        <v>5.8</v>
      </c>
      <c r="H3315" t="n">
        <v>0</v>
      </c>
      <c r="I3315" t="n">
        <v>0</v>
      </c>
      <c r="J3315" t="n">
        <v>0</v>
      </c>
      <c r="K3315" t="n">
        <v>0</v>
      </c>
      <c r="L3315" t="n">
        <v>0</v>
      </c>
      <c r="M3315" t="n">
        <v>0</v>
      </c>
      <c r="N3315" t="n">
        <v>0</v>
      </c>
      <c r="O3315" t="n">
        <v>0</v>
      </c>
      <c r="P3315" t="n">
        <v>0</v>
      </c>
      <c r="Q3315" t="n">
        <v>0</v>
      </c>
      <c r="R3315" s="2" t="inlineStr"/>
    </row>
    <row r="3316" ht="15" customHeight="1">
      <c r="A3316" t="inlineStr">
        <is>
          <t>A 56759-2020</t>
        </is>
      </c>
      <c r="B3316" s="1" t="n">
        <v>44137</v>
      </c>
      <c r="C3316" s="1" t="n">
        <v>45182</v>
      </c>
      <c r="D3316" t="inlineStr">
        <is>
          <t>JÄMTLANDS LÄN</t>
        </is>
      </c>
      <c r="E3316" t="inlineStr">
        <is>
          <t>BRÄCKE</t>
        </is>
      </c>
      <c r="F3316" t="inlineStr">
        <is>
          <t>SCA</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56774-2020</t>
        </is>
      </c>
      <c r="B3317" s="1" t="n">
        <v>44137</v>
      </c>
      <c r="C3317" s="1" t="n">
        <v>45182</v>
      </c>
      <c r="D3317" t="inlineStr">
        <is>
          <t>JÄMTLANDS LÄN</t>
        </is>
      </c>
      <c r="E3317" t="inlineStr">
        <is>
          <t>BRÄCKE</t>
        </is>
      </c>
      <c r="F3317" t="inlineStr">
        <is>
          <t>SCA</t>
        </is>
      </c>
      <c r="G3317" t="n">
        <v>3.8</v>
      </c>
      <c r="H3317" t="n">
        <v>0</v>
      </c>
      <c r="I3317" t="n">
        <v>0</v>
      </c>
      <c r="J3317" t="n">
        <v>0</v>
      </c>
      <c r="K3317" t="n">
        <v>0</v>
      </c>
      <c r="L3317" t="n">
        <v>0</v>
      </c>
      <c r="M3317" t="n">
        <v>0</v>
      </c>
      <c r="N3317" t="n">
        <v>0</v>
      </c>
      <c r="O3317" t="n">
        <v>0</v>
      </c>
      <c r="P3317" t="n">
        <v>0</v>
      </c>
      <c r="Q3317" t="n">
        <v>0</v>
      </c>
      <c r="R3317" s="2" t="inlineStr"/>
    </row>
    <row r="3318" ht="15" customHeight="1">
      <c r="A3318" t="inlineStr">
        <is>
          <t>A 56780-2020</t>
        </is>
      </c>
      <c r="B3318" s="1" t="n">
        <v>44137</v>
      </c>
      <c r="C3318" s="1" t="n">
        <v>45182</v>
      </c>
      <c r="D3318" t="inlineStr">
        <is>
          <t>JÄMTLANDS LÄN</t>
        </is>
      </c>
      <c r="E3318" t="inlineStr">
        <is>
          <t>BRÄCKE</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56642-2020</t>
        </is>
      </c>
      <c r="B3319" s="1" t="n">
        <v>44137</v>
      </c>
      <c r="C3319" s="1" t="n">
        <v>45182</v>
      </c>
      <c r="D3319" t="inlineStr">
        <is>
          <t>JÄMTLANDS LÄN</t>
        </is>
      </c>
      <c r="E3319" t="inlineStr">
        <is>
          <t>ÖSTERSUND</t>
        </is>
      </c>
      <c r="F3319" t="inlineStr">
        <is>
          <t>Övriga Aktiebolag</t>
        </is>
      </c>
      <c r="G3319" t="n">
        <v>6</v>
      </c>
      <c r="H3319" t="n">
        <v>0</v>
      </c>
      <c r="I3319" t="n">
        <v>0</v>
      </c>
      <c r="J3319" t="n">
        <v>0</v>
      </c>
      <c r="K3319" t="n">
        <v>0</v>
      </c>
      <c r="L3319" t="n">
        <v>0</v>
      </c>
      <c r="M3319" t="n">
        <v>0</v>
      </c>
      <c r="N3319" t="n">
        <v>0</v>
      </c>
      <c r="O3319" t="n">
        <v>0</v>
      </c>
      <c r="P3319" t="n">
        <v>0</v>
      </c>
      <c r="Q3319" t="n">
        <v>0</v>
      </c>
      <c r="R3319" s="2" t="inlineStr"/>
    </row>
    <row r="3320" ht="15" customHeight="1">
      <c r="A3320" t="inlineStr">
        <is>
          <t>A 56760-2020</t>
        </is>
      </c>
      <c r="B3320" s="1" t="n">
        <v>44137</v>
      </c>
      <c r="C3320" s="1" t="n">
        <v>45182</v>
      </c>
      <c r="D3320" t="inlineStr">
        <is>
          <t>JÄMTLANDS LÄN</t>
        </is>
      </c>
      <c r="E3320" t="inlineStr">
        <is>
          <t>RAGUNDA</t>
        </is>
      </c>
      <c r="G3320" t="n">
        <v>1.9</v>
      </c>
      <c r="H3320" t="n">
        <v>0</v>
      </c>
      <c r="I3320" t="n">
        <v>0</v>
      </c>
      <c r="J3320" t="n">
        <v>0</v>
      </c>
      <c r="K3320" t="n">
        <v>0</v>
      </c>
      <c r="L3320" t="n">
        <v>0</v>
      </c>
      <c r="M3320" t="n">
        <v>0</v>
      </c>
      <c r="N3320" t="n">
        <v>0</v>
      </c>
      <c r="O3320" t="n">
        <v>0</v>
      </c>
      <c r="P3320" t="n">
        <v>0</v>
      </c>
      <c r="Q3320" t="n">
        <v>0</v>
      </c>
      <c r="R3320" s="2" t="inlineStr"/>
    </row>
    <row r="3321" ht="15" customHeight="1">
      <c r="A3321" t="inlineStr">
        <is>
          <t>A 56776-2020</t>
        </is>
      </c>
      <c r="B3321" s="1" t="n">
        <v>44137</v>
      </c>
      <c r="C3321" s="1" t="n">
        <v>45182</v>
      </c>
      <c r="D3321" t="inlineStr">
        <is>
          <t>JÄMTLANDS LÄN</t>
        </is>
      </c>
      <c r="E3321" t="inlineStr">
        <is>
          <t>BRÄCKE</t>
        </is>
      </c>
      <c r="F3321" t="inlineStr">
        <is>
          <t>SCA</t>
        </is>
      </c>
      <c r="G3321" t="n">
        <v>6.7</v>
      </c>
      <c r="H3321" t="n">
        <v>0</v>
      </c>
      <c r="I3321" t="n">
        <v>0</v>
      </c>
      <c r="J3321" t="n">
        <v>0</v>
      </c>
      <c r="K3321" t="n">
        <v>0</v>
      </c>
      <c r="L3321" t="n">
        <v>0</v>
      </c>
      <c r="M3321" t="n">
        <v>0</v>
      </c>
      <c r="N3321" t="n">
        <v>0</v>
      </c>
      <c r="O3321" t="n">
        <v>0</v>
      </c>
      <c r="P3321" t="n">
        <v>0</v>
      </c>
      <c r="Q3321" t="n">
        <v>0</v>
      </c>
      <c r="R3321" s="2" t="inlineStr"/>
    </row>
    <row r="3322" ht="15" customHeight="1">
      <c r="A3322" t="inlineStr">
        <is>
          <t>A 56781-2020</t>
        </is>
      </c>
      <c r="B3322" s="1" t="n">
        <v>44137</v>
      </c>
      <c r="C3322" s="1" t="n">
        <v>45182</v>
      </c>
      <c r="D3322" t="inlineStr">
        <is>
          <t>JÄMTLANDS LÄN</t>
        </is>
      </c>
      <c r="E3322" t="inlineStr">
        <is>
          <t>BRÄCKE</t>
        </is>
      </c>
      <c r="F3322" t="inlineStr">
        <is>
          <t>SCA</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56416-2020</t>
        </is>
      </c>
      <c r="B3323" s="1" t="n">
        <v>44137</v>
      </c>
      <c r="C3323" s="1" t="n">
        <v>45182</v>
      </c>
      <c r="D3323" t="inlineStr">
        <is>
          <t>JÄMTLANDS LÄN</t>
        </is>
      </c>
      <c r="E3323" t="inlineStr">
        <is>
          <t>BRÄCKE</t>
        </is>
      </c>
      <c r="G3323" t="n">
        <v>0.5</v>
      </c>
      <c r="H3323" t="n">
        <v>0</v>
      </c>
      <c r="I3323" t="n">
        <v>0</v>
      </c>
      <c r="J3323" t="n">
        <v>0</v>
      </c>
      <c r="K3323" t="n">
        <v>0</v>
      </c>
      <c r="L3323" t="n">
        <v>0</v>
      </c>
      <c r="M3323" t="n">
        <v>0</v>
      </c>
      <c r="N3323" t="n">
        <v>0</v>
      </c>
      <c r="O3323" t="n">
        <v>0</v>
      </c>
      <c r="P3323" t="n">
        <v>0</v>
      </c>
      <c r="Q3323" t="n">
        <v>0</v>
      </c>
      <c r="R3323" s="2" t="inlineStr"/>
    </row>
    <row r="3324" ht="15" customHeight="1">
      <c r="A3324" t="inlineStr">
        <is>
          <t>A 56777-2020</t>
        </is>
      </c>
      <c r="B3324" s="1" t="n">
        <v>44137</v>
      </c>
      <c r="C3324" s="1" t="n">
        <v>45182</v>
      </c>
      <c r="D3324" t="inlineStr">
        <is>
          <t>JÄMTLANDS LÄN</t>
        </is>
      </c>
      <c r="E3324" t="inlineStr">
        <is>
          <t>BRÄCKE</t>
        </is>
      </c>
      <c r="F3324" t="inlineStr">
        <is>
          <t>SCA</t>
        </is>
      </c>
      <c r="G3324" t="n">
        <v>4.5</v>
      </c>
      <c r="H3324" t="n">
        <v>0</v>
      </c>
      <c r="I3324" t="n">
        <v>0</v>
      </c>
      <c r="J3324" t="n">
        <v>0</v>
      </c>
      <c r="K3324" t="n">
        <v>0</v>
      </c>
      <c r="L3324" t="n">
        <v>0</v>
      </c>
      <c r="M3324" t="n">
        <v>0</v>
      </c>
      <c r="N3324" t="n">
        <v>0</v>
      </c>
      <c r="O3324" t="n">
        <v>0</v>
      </c>
      <c r="P3324" t="n">
        <v>0</v>
      </c>
      <c r="Q3324" t="n">
        <v>0</v>
      </c>
      <c r="R3324" s="2" t="inlineStr"/>
    </row>
    <row r="3325" ht="15" customHeight="1">
      <c r="A3325" t="inlineStr">
        <is>
          <t>A 56782-2020</t>
        </is>
      </c>
      <c r="B3325" s="1" t="n">
        <v>44137</v>
      </c>
      <c r="C3325" s="1" t="n">
        <v>45182</v>
      </c>
      <c r="D3325" t="inlineStr">
        <is>
          <t>JÄMTLANDS LÄN</t>
        </is>
      </c>
      <c r="E3325" t="inlineStr">
        <is>
          <t>BRÄCKE</t>
        </is>
      </c>
      <c r="F3325" t="inlineStr">
        <is>
          <t>SCA</t>
        </is>
      </c>
      <c r="G3325" t="n">
        <v>1.6</v>
      </c>
      <c r="H3325" t="n">
        <v>0</v>
      </c>
      <c r="I3325" t="n">
        <v>0</v>
      </c>
      <c r="J3325" t="n">
        <v>0</v>
      </c>
      <c r="K3325" t="n">
        <v>0</v>
      </c>
      <c r="L3325" t="n">
        <v>0</v>
      </c>
      <c r="M3325" t="n">
        <v>0</v>
      </c>
      <c r="N3325" t="n">
        <v>0</v>
      </c>
      <c r="O3325" t="n">
        <v>0</v>
      </c>
      <c r="P3325" t="n">
        <v>0</v>
      </c>
      <c r="Q3325" t="n">
        <v>0</v>
      </c>
      <c r="R3325" s="2" t="inlineStr"/>
    </row>
    <row r="3326" ht="15" customHeight="1">
      <c r="A3326" t="inlineStr">
        <is>
          <t>A 56966-2020</t>
        </is>
      </c>
      <c r="B3326" s="1" t="n">
        <v>44137</v>
      </c>
      <c r="C3326" s="1" t="n">
        <v>45182</v>
      </c>
      <c r="D3326" t="inlineStr">
        <is>
          <t>JÄMTLANDS LÄN</t>
        </is>
      </c>
      <c r="E3326" t="inlineStr">
        <is>
          <t>STRÖMSUND</t>
        </is>
      </c>
      <c r="G3326" t="n">
        <v>2.6</v>
      </c>
      <c r="H3326" t="n">
        <v>0</v>
      </c>
      <c r="I3326" t="n">
        <v>0</v>
      </c>
      <c r="J3326" t="n">
        <v>0</v>
      </c>
      <c r="K3326" t="n">
        <v>0</v>
      </c>
      <c r="L3326" t="n">
        <v>0</v>
      </c>
      <c r="M3326" t="n">
        <v>0</v>
      </c>
      <c r="N3326" t="n">
        <v>0</v>
      </c>
      <c r="O3326" t="n">
        <v>0</v>
      </c>
      <c r="P3326" t="n">
        <v>0</v>
      </c>
      <c r="Q3326" t="n">
        <v>0</v>
      </c>
      <c r="R3326" s="2" t="inlineStr"/>
    </row>
    <row r="3327" ht="15" customHeight="1">
      <c r="A3327" t="inlineStr">
        <is>
          <t>A 56493-2020</t>
        </is>
      </c>
      <c r="B3327" s="1" t="n">
        <v>44137</v>
      </c>
      <c r="C3327" s="1" t="n">
        <v>45182</v>
      </c>
      <c r="D3327" t="inlineStr">
        <is>
          <t>JÄMTLANDS LÄN</t>
        </is>
      </c>
      <c r="E3327" t="inlineStr">
        <is>
          <t>STRÖMSUND</t>
        </is>
      </c>
      <c r="F3327" t="inlineStr">
        <is>
          <t>Holmen skog AB</t>
        </is>
      </c>
      <c r="G3327" t="n">
        <v>1.9</v>
      </c>
      <c r="H3327" t="n">
        <v>0</v>
      </c>
      <c r="I3327" t="n">
        <v>0</v>
      </c>
      <c r="J3327" t="n">
        <v>0</v>
      </c>
      <c r="K3327" t="n">
        <v>0</v>
      </c>
      <c r="L3327" t="n">
        <v>0</v>
      </c>
      <c r="M3327" t="n">
        <v>0</v>
      </c>
      <c r="N3327" t="n">
        <v>0</v>
      </c>
      <c r="O3327" t="n">
        <v>0</v>
      </c>
      <c r="P3327" t="n">
        <v>0</v>
      </c>
      <c r="Q3327" t="n">
        <v>0</v>
      </c>
      <c r="R3327" s="2" t="inlineStr"/>
    </row>
    <row r="3328" ht="15" customHeight="1">
      <c r="A3328" t="inlineStr">
        <is>
          <t>A 56598-2020</t>
        </is>
      </c>
      <c r="B3328" s="1" t="n">
        <v>44137</v>
      </c>
      <c r="C3328" s="1" t="n">
        <v>45182</v>
      </c>
      <c r="D3328" t="inlineStr">
        <is>
          <t>JÄMTLANDS LÄN</t>
        </is>
      </c>
      <c r="E3328" t="inlineStr">
        <is>
          <t>BRÄCKE</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56636-2020</t>
        </is>
      </c>
      <c r="B3329" s="1" t="n">
        <v>44137</v>
      </c>
      <c r="C3329" s="1" t="n">
        <v>45182</v>
      </c>
      <c r="D3329" t="inlineStr">
        <is>
          <t>JÄMTLANDS LÄN</t>
        </is>
      </c>
      <c r="E3329" t="inlineStr">
        <is>
          <t>ÖSTERSUND</t>
        </is>
      </c>
      <c r="F3329" t="inlineStr">
        <is>
          <t>Övriga Aktiebolag</t>
        </is>
      </c>
      <c r="G3329" t="n">
        <v>16.2</v>
      </c>
      <c r="H3329" t="n">
        <v>0</v>
      </c>
      <c r="I3329" t="n">
        <v>0</v>
      </c>
      <c r="J3329" t="n">
        <v>0</v>
      </c>
      <c r="K3329" t="n">
        <v>0</v>
      </c>
      <c r="L3329" t="n">
        <v>0</v>
      </c>
      <c r="M3329" t="n">
        <v>0</v>
      </c>
      <c r="N3329" t="n">
        <v>0</v>
      </c>
      <c r="O3329" t="n">
        <v>0</v>
      </c>
      <c r="P3329" t="n">
        <v>0</v>
      </c>
      <c r="Q3329" t="n">
        <v>0</v>
      </c>
      <c r="R3329" s="2" t="inlineStr"/>
    </row>
    <row r="3330" ht="15" customHeight="1">
      <c r="A3330" t="inlineStr">
        <is>
          <t>A 56758-2020</t>
        </is>
      </c>
      <c r="B3330" s="1" t="n">
        <v>44137</v>
      </c>
      <c r="C3330" s="1" t="n">
        <v>45182</v>
      </c>
      <c r="D3330" t="inlineStr">
        <is>
          <t>JÄMTLANDS LÄN</t>
        </is>
      </c>
      <c r="E3330" t="inlineStr">
        <is>
          <t>BRÄCKE</t>
        </is>
      </c>
      <c r="F3330" t="inlineStr">
        <is>
          <t>SCA</t>
        </is>
      </c>
      <c r="G3330" t="n">
        <v>0.5</v>
      </c>
      <c r="H3330" t="n">
        <v>0</v>
      </c>
      <c r="I3330" t="n">
        <v>0</v>
      </c>
      <c r="J3330" t="n">
        <v>0</v>
      </c>
      <c r="K3330" t="n">
        <v>0</v>
      </c>
      <c r="L3330" t="n">
        <v>0</v>
      </c>
      <c r="M3330" t="n">
        <v>0</v>
      </c>
      <c r="N3330" t="n">
        <v>0</v>
      </c>
      <c r="O3330" t="n">
        <v>0</v>
      </c>
      <c r="P3330" t="n">
        <v>0</v>
      </c>
      <c r="Q3330" t="n">
        <v>0</v>
      </c>
      <c r="R3330" s="2" t="inlineStr"/>
    </row>
    <row r="3331" ht="15" customHeight="1">
      <c r="A3331" t="inlineStr">
        <is>
          <t>A 56773-2020</t>
        </is>
      </c>
      <c r="B3331" s="1" t="n">
        <v>44137</v>
      </c>
      <c r="C3331" s="1" t="n">
        <v>45182</v>
      </c>
      <c r="D3331" t="inlineStr">
        <is>
          <t>JÄMTLANDS LÄN</t>
        </is>
      </c>
      <c r="E3331" t="inlineStr">
        <is>
          <t>BRÄCKE</t>
        </is>
      </c>
      <c r="F3331" t="inlineStr">
        <is>
          <t>SCA</t>
        </is>
      </c>
      <c r="G3331" t="n">
        <v>10.3</v>
      </c>
      <c r="H3331" t="n">
        <v>0</v>
      </c>
      <c r="I3331" t="n">
        <v>0</v>
      </c>
      <c r="J3331" t="n">
        <v>0</v>
      </c>
      <c r="K3331" t="n">
        <v>0</v>
      </c>
      <c r="L3331" t="n">
        <v>0</v>
      </c>
      <c r="M3331" t="n">
        <v>0</v>
      </c>
      <c r="N3331" t="n">
        <v>0</v>
      </c>
      <c r="O3331" t="n">
        <v>0</v>
      </c>
      <c r="P3331" t="n">
        <v>0</v>
      </c>
      <c r="Q3331" t="n">
        <v>0</v>
      </c>
      <c r="R3331" s="2" t="inlineStr"/>
    </row>
    <row r="3332" ht="15" customHeight="1">
      <c r="A3332" t="inlineStr">
        <is>
          <t>A 56778-2020</t>
        </is>
      </c>
      <c r="B3332" s="1" t="n">
        <v>44137</v>
      </c>
      <c r="C3332" s="1" t="n">
        <v>45182</v>
      </c>
      <c r="D3332" t="inlineStr">
        <is>
          <t>JÄMTLANDS LÄN</t>
        </is>
      </c>
      <c r="E3332" t="inlineStr">
        <is>
          <t>BRÄCKE</t>
        </is>
      </c>
      <c r="F3332" t="inlineStr">
        <is>
          <t>SCA</t>
        </is>
      </c>
      <c r="G3332" t="n">
        <v>5.5</v>
      </c>
      <c r="H3332" t="n">
        <v>0</v>
      </c>
      <c r="I3332" t="n">
        <v>0</v>
      </c>
      <c r="J3332" t="n">
        <v>0</v>
      </c>
      <c r="K3332" t="n">
        <v>0</v>
      </c>
      <c r="L3332" t="n">
        <v>0</v>
      </c>
      <c r="M3332" t="n">
        <v>0</v>
      </c>
      <c r="N3332" t="n">
        <v>0</v>
      </c>
      <c r="O3332" t="n">
        <v>0</v>
      </c>
      <c r="P3332" t="n">
        <v>0</v>
      </c>
      <c r="Q3332" t="n">
        <v>0</v>
      </c>
      <c r="R3332" s="2" t="inlineStr"/>
    </row>
    <row r="3333" ht="15" customHeight="1">
      <c r="A3333" t="inlineStr">
        <is>
          <t>A 56938-2020</t>
        </is>
      </c>
      <c r="B3333" s="1" t="n">
        <v>44138</v>
      </c>
      <c r="C3333" s="1" t="n">
        <v>45182</v>
      </c>
      <c r="D3333" t="inlineStr">
        <is>
          <t>JÄMTLANDS LÄN</t>
        </is>
      </c>
      <c r="E3333" t="inlineStr">
        <is>
          <t>BRÄCKE</t>
        </is>
      </c>
      <c r="G3333" t="n">
        <v>7.3</v>
      </c>
      <c r="H3333" t="n">
        <v>0</v>
      </c>
      <c r="I3333" t="n">
        <v>0</v>
      </c>
      <c r="J3333" t="n">
        <v>0</v>
      </c>
      <c r="K3333" t="n">
        <v>0</v>
      </c>
      <c r="L3333" t="n">
        <v>0</v>
      </c>
      <c r="M3333" t="n">
        <v>0</v>
      </c>
      <c r="N3333" t="n">
        <v>0</v>
      </c>
      <c r="O3333" t="n">
        <v>0</v>
      </c>
      <c r="P3333" t="n">
        <v>0</v>
      </c>
      <c r="Q3333" t="n">
        <v>0</v>
      </c>
      <c r="R3333" s="2" t="inlineStr"/>
    </row>
    <row r="3334" ht="15" customHeight="1">
      <c r="A3334" t="inlineStr">
        <is>
          <t>A 57073-2020</t>
        </is>
      </c>
      <c r="B3334" s="1" t="n">
        <v>44138</v>
      </c>
      <c r="C3334" s="1" t="n">
        <v>45182</v>
      </c>
      <c r="D3334" t="inlineStr">
        <is>
          <t>JÄMTLANDS LÄN</t>
        </is>
      </c>
      <c r="E3334" t="inlineStr">
        <is>
          <t>BRÄCKE</t>
        </is>
      </c>
      <c r="F3334" t="inlineStr">
        <is>
          <t>SCA</t>
        </is>
      </c>
      <c r="G3334" t="n">
        <v>7.5</v>
      </c>
      <c r="H3334" t="n">
        <v>0</v>
      </c>
      <c r="I3334" t="n">
        <v>0</v>
      </c>
      <c r="J3334" t="n">
        <v>0</v>
      </c>
      <c r="K3334" t="n">
        <v>0</v>
      </c>
      <c r="L3334" t="n">
        <v>0</v>
      </c>
      <c r="M3334" t="n">
        <v>0</v>
      </c>
      <c r="N3334" t="n">
        <v>0</v>
      </c>
      <c r="O3334" t="n">
        <v>0</v>
      </c>
      <c r="P3334" t="n">
        <v>0</v>
      </c>
      <c r="Q3334" t="n">
        <v>0</v>
      </c>
      <c r="R3334" s="2" t="inlineStr"/>
    </row>
    <row r="3335" ht="15" customHeight="1">
      <c r="A3335" t="inlineStr">
        <is>
          <t>A 57072-2020</t>
        </is>
      </c>
      <c r="B3335" s="1" t="n">
        <v>44138</v>
      </c>
      <c r="C3335" s="1" t="n">
        <v>45182</v>
      </c>
      <c r="D3335" t="inlineStr">
        <is>
          <t>JÄMTLANDS LÄN</t>
        </is>
      </c>
      <c r="E3335" t="inlineStr">
        <is>
          <t>BRÄCKE</t>
        </is>
      </c>
      <c r="F3335" t="inlineStr">
        <is>
          <t>SCA</t>
        </is>
      </c>
      <c r="G3335" t="n">
        <v>12.8</v>
      </c>
      <c r="H3335" t="n">
        <v>0</v>
      </c>
      <c r="I3335" t="n">
        <v>0</v>
      </c>
      <c r="J3335" t="n">
        <v>0</v>
      </c>
      <c r="K3335" t="n">
        <v>0</v>
      </c>
      <c r="L3335" t="n">
        <v>0</v>
      </c>
      <c r="M3335" t="n">
        <v>0</v>
      </c>
      <c r="N3335" t="n">
        <v>0</v>
      </c>
      <c r="O3335" t="n">
        <v>0</v>
      </c>
      <c r="P3335" t="n">
        <v>0</v>
      </c>
      <c r="Q3335" t="n">
        <v>0</v>
      </c>
      <c r="R3335" s="2" t="inlineStr"/>
    </row>
    <row r="3336" ht="15" customHeight="1">
      <c r="A3336" t="inlineStr">
        <is>
          <t>A 57246-2020</t>
        </is>
      </c>
      <c r="B3336" s="1" t="n">
        <v>44138</v>
      </c>
      <c r="C3336" s="1" t="n">
        <v>45182</v>
      </c>
      <c r="D3336" t="inlineStr">
        <is>
          <t>JÄMTLANDS LÄN</t>
        </is>
      </c>
      <c r="E3336" t="inlineStr">
        <is>
          <t>RAGUNDA</t>
        </is>
      </c>
      <c r="G3336" t="n">
        <v>3.1</v>
      </c>
      <c r="H3336" t="n">
        <v>0</v>
      </c>
      <c r="I3336" t="n">
        <v>0</v>
      </c>
      <c r="J3336" t="n">
        <v>0</v>
      </c>
      <c r="K3336" t="n">
        <v>0</v>
      </c>
      <c r="L3336" t="n">
        <v>0</v>
      </c>
      <c r="M3336" t="n">
        <v>0</v>
      </c>
      <c r="N3336" t="n">
        <v>0</v>
      </c>
      <c r="O3336" t="n">
        <v>0</v>
      </c>
      <c r="P3336" t="n">
        <v>0</v>
      </c>
      <c r="Q3336" t="n">
        <v>0</v>
      </c>
      <c r="R3336" s="2" t="inlineStr"/>
    </row>
    <row r="3337" ht="15" customHeight="1">
      <c r="A3337" t="inlineStr">
        <is>
          <t>A 57196-2020</t>
        </is>
      </c>
      <c r="B3337" s="1" t="n">
        <v>44139</v>
      </c>
      <c r="C3337" s="1" t="n">
        <v>45182</v>
      </c>
      <c r="D3337" t="inlineStr">
        <is>
          <t>JÄMTLANDS LÄN</t>
        </is>
      </c>
      <c r="E3337" t="inlineStr">
        <is>
          <t>HÄRJEDALEN</t>
        </is>
      </c>
      <c r="G3337" t="n">
        <v>15.1</v>
      </c>
      <c r="H3337" t="n">
        <v>0</v>
      </c>
      <c r="I3337" t="n">
        <v>0</v>
      </c>
      <c r="J3337" t="n">
        <v>0</v>
      </c>
      <c r="K3337" t="n">
        <v>0</v>
      </c>
      <c r="L3337" t="n">
        <v>0</v>
      </c>
      <c r="M3337" t="n">
        <v>0</v>
      </c>
      <c r="N3337" t="n">
        <v>0</v>
      </c>
      <c r="O3337" t="n">
        <v>0</v>
      </c>
      <c r="P3337" t="n">
        <v>0</v>
      </c>
      <c r="Q3337" t="n">
        <v>0</v>
      </c>
      <c r="R3337" s="2" t="inlineStr"/>
    </row>
    <row r="3338" ht="15" customHeight="1">
      <c r="A3338" t="inlineStr">
        <is>
          <t>A 57336-2020</t>
        </is>
      </c>
      <c r="B3338" s="1" t="n">
        <v>44139</v>
      </c>
      <c r="C3338" s="1" t="n">
        <v>45182</v>
      </c>
      <c r="D3338" t="inlineStr">
        <is>
          <t>JÄMTLANDS LÄN</t>
        </is>
      </c>
      <c r="E3338" t="inlineStr">
        <is>
          <t>STRÖMSUND</t>
        </is>
      </c>
      <c r="G3338" t="n">
        <v>2</v>
      </c>
      <c r="H3338" t="n">
        <v>0</v>
      </c>
      <c r="I3338" t="n">
        <v>0</v>
      </c>
      <c r="J3338" t="n">
        <v>0</v>
      </c>
      <c r="K3338" t="n">
        <v>0</v>
      </c>
      <c r="L3338" t="n">
        <v>0</v>
      </c>
      <c r="M3338" t="n">
        <v>0</v>
      </c>
      <c r="N3338" t="n">
        <v>0</v>
      </c>
      <c r="O3338" t="n">
        <v>0</v>
      </c>
      <c r="P3338" t="n">
        <v>0</v>
      </c>
      <c r="Q3338" t="n">
        <v>0</v>
      </c>
      <c r="R3338" s="2" t="inlineStr"/>
    </row>
    <row r="3339" ht="15" customHeight="1">
      <c r="A3339" t="inlineStr">
        <is>
          <t>A 57375-2020</t>
        </is>
      </c>
      <c r="B3339" s="1" t="n">
        <v>44139</v>
      </c>
      <c r="C3339" s="1" t="n">
        <v>45182</v>
      </c>
      <c r="D3339" t="inlineStr">
        <is>
          <t>JÄMTLANDS LÄN</t>
        </is>
      </c>
      <c r="E3339" t="inlineStr">
        <is>
          <t>KROKOM</t>
        </is>
      </c>
      <c r="F3339" t="inlineStr">
        <is>
          <t>SCA</t>
        </is>
      </c>
      <c r="G3339" t="n">
        <v>9.699999999999999</v>
      </c>
      <c r="H3339" t="n">
        <v>0</v>
      </c>
      <c r="I3339" t="n">
        <v>0</v>
      </c>
      <c r="J3339" t="n">
        <v>0</v>
      </c>
      <c r="K3339" t="n">
        <v>0</v>
      </c>
      <c r="L3339" t="n">
        <v>0</v>
      </c>
      <c r="M3339" t="n">
        <v>0</v>
      </c>
      <c r="N3339" t="n">
        <v>0</v>
      </c>
      <c r="O3339" t="n">
        <v>0</v>
      </c>
      <c r="P3339" t="n">
        <v>0</v>
      </c>
      <c r="Q3339" t="n">
        <v>0</v>
      </c>
      <c r="R3339" s="2" t="inlineStr"/>
    </row>
    <row r="3340" ht="15" customHeight="1">
      <c r="A3340" t="inlineStr">
        <is>
          <t>A 57550-2020</t>
        </is>
      </c>
      <c r="B3340" s="1" t="n">
        <v>44140</v>
      </c>
      <c r="C3340" s="1" t="n">
        <v>45182</v>
      </c>
      <c r="D3340" t="inlineStr">
        <is>
          <t>JÄMTLANDS LÄN</t>
        </is>
      </c>
      <c r="E3340" t="inlineStr">
        <is>
          <t>STRÖMSUND</t>
        </is>
      </c>
      <c r="F3340" t="inlineStr">
        <is>
          <t>Holmen skog AB</t>
        </is>
      </c>
      <c r="G3340" t="n">
        <v>7.1</v>
      </c>
      <c r="H3340" t="n">
        <v>0</v>
      </c>
      <c r="I3340" t="n">
        <v>0</v>
      </c>
      <c r="J3340" t="n">
        <v>0</v>
      </c>
      <c r="K3340" t="n">
        <v>0</v>
      </c>
      <c r="L3340" t="n">
        <v>0</v>
      </c>
      <c r="M3340" t="n">
        <v>0</v>
      </c>
      <c r="N3340" t="n">
        <v>0</v>
      </c>
      <c r="O3340" t="n">
        <v>0</v>
      </c>
      <c r="P3340" t="n">
        <v>0</v>
      </c>
      <c r="Q3340" t="n">
        <v>0</v>
      </c>
      <c r="R3340" s="2" t="inlineStr"/>
    </row>
    <row r="3341" ht="15" customHeight="1">
      <c r="A3341" t="inlineStr">
        <is>
          <t>A 57578-2020</t>
        </is>
      </c>
      <c r="B3341" s="1" t="n">
        <v>44140</v>
      </c>
      <c r="C3341" s="1" t="n">
        <v>45182</v>
      </c>
      <c r="D3341" t="inlineStr">
        <is>
          <t>JÄMTLANDS LÄN</t>
        </is>
      </c>
      <c r="E3341" t="inlineStr">
        <is>
          <t>ÅRE</t>
        </is>
      </c>
      <c r="G3341" t="n">
        <v>94.40000000000001</v>
      </c>
      <c r="H3341" t="n">
        <v>0</v>
      </c>
      <c r="I3341" t="n">
        <v>0</v>
      </c>
      <c r="J3341" t="n">
        <v>0</v>
      </c>
      <c r="K3341" t="n">
        <v>0</v>
      </c>
      <c r="L3341" t="n">
        <v>0</v>
      </c>
      <c r="M3341" t="n">
        <v>0</v>
      </c>
      <c r="N3341" t="n">
        <v>0</v>
      </c>
      <c r="O3341" t="n">
        <v>0</v>
      </c>
      <c r="P3341" t="n">
        <v>0</v>
      </c>
      <c r="Q3341" t="n">
        <v>0</v>
      </c>
      <c r="R3341" s="2" t="inlineStr"/>
    </row>
    <row r="3342" ht="15" customHeight="1">
      <c r="A3342" t="inlineStr">
        <is>
          <t>A 57716-2020</t>
        </is>
      </c>
      <c r="B3342" s="1" t="n">
        <v>44140</v>
      </c>
      <c r="C3342" s="1" t="n">
        <v>45182</v>
      </c>
      <c r="D3342" t="inlineStr">
        <is>
          <t>JÄMTLANDS LÄN</t>
        </is>
      </c>
      <c r="E3342" t="inlineStr">
        <is>
          <t>BRÄCKE</t>
        </is>
      </c>
      <c r="F3342" t="inlineStr">
        <is>
          <t>SCA</t>
        </is>
      </c>
      <c r="G3342" t="n">
        <v>2.9</v>
      </c>
      <c r="H3342" t="n">
        <v>0</v>
      </c>
      <c r="I3342" t="n">
        <v>0</v>
      </c>
      <c r="J3342" t="n">
        <v>0</v>
      </c>
      <c r="K3342" t="n">
        <v>0</v>
      </c>
      <c r="L3342" t="n">
        <v>0</v>
      </c>
      <c r="M3342" t="n">
        <v>0</v>
      </c>
      <c r="N3342" t="n">
        <v>0</v>
      </c>
      <c r="O3342" t="n">
        <v>0</v>
      </c>
      <c r="P3342" t="n">
        <v>0</v>
      </c>
      <c r="Q3342" t="n">
        <v>0</v>
      </c>
      <c r="R3342" s="2" t="inlineStr"/>
    </row>
    <row r="3343" ht="15" customHeight="1">
      <c r="A3343" t="inlineStr">
        <is>
          <t>A 57730-2020</t>
        </is>
      </c>
      <c r="B3343" s="1" t="n">
        <v>44140</v>
      </c>
      <c r="C3343" s="1" t="n">
        <v>45182</v>
      </c>
      <c r="D3343" t="inlineStr">
        <is>
          <t>JÄMTLANDS LÄN</t>
        </is>
      </c>
      <c r="E3343" t="inlineStr">
        <is>
          <t>RAGUNDA</t>
        </is>
      </c>
      <c r="F3343" t="inlineStr">
        <is>
          <t>SCA</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57594-2020</t>
        </is>
      </c>
      <c r="B3344" s="1" t="n">
        <v>44140</v>
      </c>
      <c r="C3344" s="1" t="n">
        <v>45182</v>
      </c>
      <c r="D3344" t="inlineStr">
        <is>
          <t>JÄMTLANDS LÄN</t>
        </is>
      </c>
      <c r="E3344" t="inlineStr">
        <is>
          <t>ÅRE</t>
        </is>
      </c>
      <c r="G3344" t="n">
        <v>14.9</v>
      </c>
      <c r="H3344" t="n">
        <v>0</v>
      </c>
      <c r="I3344" t="n">
        <v>0</v>
      </c>
      <c r="J3344" t="n">
        <v>0</v>
      </c>
      <c r="K3344" t="n">
        <v>0</v>
      </c>
      <c r="L3344" t="n">
        <v>0</v>
      </c>
      <c r="M3344" t="n">
        <v>0</v>
      </c>
      <c r="N3344" t="n">
        <v>0</v>
      </c>
      <c r="O3344" t="n">
        <v>0</v>
      </c>
      <c r="P3344" t="n">
        <v>0</v>
      </c>
      <c r="Q3344" t="n">
        <v>0</v>
      </c>
      <c r="R3344" s="2" t="inlineStr"/>
    </row>
    <row r="3345" ht="15" customHeight="1">
      <c r="A3345" t="inlineStr">
        <is>
          <t>A 57624-2020</t>
        </is>
      </c>
      <c r="B3345" s="1" t="n">
        <v>44140</v>
      </c>
      <c r="C3345" s="1" t="n">
        <v>45182</v>
      </c>
      <c r="D3345" t="inlineStr">
        <is>
          <t>JÄMTLANDS LÄN</t>
        </is>
      </c>
      <c r="E3345" t="inlineStr">
        <is>
          <t>ÖSTERSUND</t>
        </is>
      </c>
      <c r="F3345" t="inlineStr">
        <is>
          <t>Övriga Aktiebolag</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57713-2020</t>
        </is>
      </c>
      <c r="B3346" s="1" t="n">
        <v>44140</v>
      </c>
      <c r="C3346" s="1" t="n">
        <v>45182</v>
      </c>
      <c r="D3346" t="inlineStr">
        <is>
          <t>JÄMTLANDS LÄN</t>
        </is>
      </c>
      <c r="E3346" t="inlineStr">
        <is>
          <t>RAGUNDA</t>
        </is>
      </c>
      <c r="F3346" t="inlineStr">
        <is>
          <t>SCA</t>
        </is>
      </c>
      <c r="G3346" t="n">
        <v>2.2</v>
      </c>
      <c r="H3346" t="n">
        <v>0</v>
      </c>
      <c r="I3346" t="n">
        <v>0</v>
      </c>
      <c r="J3346" t="n">
        <v>0</v>
      </c>
      <c r="K3346" t="n">
        <v>0</v>
      </c>
      <c r="L3346" t="n">
        <v>0</v>
      </c>
      <c r="M3346" t="n">
        <v>0</v>
      </c>
      <c r="N3346" t="n">
        <v>0</v>
      </c>
      <c r="O3346" t="n">
        <v>0</v>
      </c>
      <c r="P3346" t="n">
        <v>0</v>
      </c>
      <c r="Q3346" t="n">
        <v>0</v>
      </c>
      <c r="R3346" s="2" t="inlineStr"/>
    </row>
    <row r="3347" ht="15" customHeight="1">
      <c r="A3347" t="inlineStr">
        <is>
          <t>A 57728-2020</t>
        </is>
      </c>
      <c r="B3347" s="1" t="n">
        <v>44140</v>
      </c>
      <c r="C3347" s="1" t="n">
        <v>45182</v>
      </c>
      <c r="D3347" t="inlineStr">
        <is>
          <t>JÄMTLANDS LÄN</t>
        </is>
      </c>
      <c r="E3347" t="inlineStr">
        <is>
          <t>KROKOM</t>
        </is>
      </c>
      <c r="G3347" t="n">
        <v>5</v>
      </c>
      <c r="H3347" t="n">
        <v>0</v>
      </c>
      <c r="I3347" t="n">
        <v>0</v>
      </c>
      <c r="J3347" t="n">
        <v>0</v>
      </c>
      <c r="K3347" t="n">
        <v>0</v>
      </c>
      <c r="L3347" t="n">
        <v>0</v>
      </c>
      <c r="M3347" t="n">
        <v>0</v>
      </c>
      <c r="N3347" t="n">
        <v>0</v>
      </c>
      <c r="O3347" t="n">
        <v>0</v>
      </c>
      <c r="P3347" t="n">
        <v>0</v>
      </c>
      <c r="Q3347" t="n">
        <v>0</v>
      </c>
      <c r="R3347" s="2" t="inlineStr"/>
    </row>
    <row r="3348" ht="15" customHeight="1">
      <c r="A3348" t="inlineStr">
        <is>
          <t>A 57423-2020</t>
        </is>
      </c>
      <c r="B3348" s="1" t="n">
        <v>44140</v>
      </c>
      <c r="C3348" s="1" t="n">
        <v>45182</v>
      </c>
      <c r="D3348" t="inlineStr">
        <is>
          <t>JÄMTLANDS LÄN</t>
        </is>
      </c>
      <c r="E3348" t="inlineStr">
        <is>
          <t>STRÖMSUND</t>
        </is>
      </c>
      <c r="F3348" t="inlineStr">
        <is>
          <t>Holmen skog AB</t>
        </is>
      </c>
      <c r="G3348" t="n">
        <v>2.6</v>
      </c>
      <c r="H3348" t="n">
        <v>0</v>
      </c>
      <c r="I3348" t="n">
        <v>0</v>
      </c>
      <c r="J3348" t="n">
        <v>0</v>
      </c>
      <c r="K3348" t="n">
        <v>0</v>
      </c>
      <c r="L3348" t="n">
        <v>0</v>
      </c>
      <c r="M3348" t="n">
        <v>0</v>
      </c>
      <c r="N3348" t="n">
        <v>0</v>
      </c>
      <c r="O3348" t="n">
        <v>0</v>
      </c>
      <c r="P3348" t="n">
        <v>0</v>
      </c>
      <c r="Q3348" t="n">
        <v>0</v>
      </c>
      <c r="R3348" s="2" t="inlineStr"/>
    </row>
    <row r="3349" ht="15" customHeight="1">
      <c r="A3349" t="inlineStr">
        <is>
          <t>A 57586-2020</t>
        </is>
      </c>
      <c r="B3349" s="1" t="n">
        <v>44140</v>
      </c>
      <c r="C3349" s="1" t="n">
        <v>45182</v>
      </c>
      <c r="D3349" t="inlineStr">
        <is>
          <t>JÄMTLANDS LÄN</t>
        </is>
      </c>
      <c r="E3349" t="inlineStr">
        <is>
          <t>ÅRE</t>
        </is>
      </c>
      <c r="G3349" t="n">
        <v>9.5</v>
      </c>
      <c r="H3349" t="n">
        <v>0</v>
      </c>
      <c r="I3349" t="n">
        <v>0</v>
      </c>
      <c r="J3349" t="n">
        <v>0</v>
      </c>
      <c r="K3349" t="n">
        <v>0</v>
      </c>
      <c r="L3349" t="n">
        <v>0</v>
      </c>
      <c r="M3349" t="n">
        <v>0</v>
      </c>
      <c r="N3349" t="n">
        <v>0</v>
      </c>
      <c r="O3349" t="n">
        <v>0</v>
      </c>
      <c r="P3349" t="n">
        <v>0</v>
      </c>
      <c r="Q3349" t="n">
        <v>0</v>
      </c>
      <c r="R3349" s="2" t="inlineStr"/>
    </row>
    <row r="3350" ht="15" customHeight="1">
      <c r="A3350" t="inlineStr">
        <is>
          <t>A 57726-2020</t>
        </is>
      </c>
      <c r="B3350" s="1" t="n">
        <v>44140</v>
      </c>
      <c r="C3350" s="1" t="n">
        <v>45182</v>
      </c>
      <c r="D3350" t="inlineStr">
        <is>
          <t>JÄMTLANDS LÄN</t>
        </is>
      </c>
      <c r="E3350" t="inlineStr">
        <is>
          <t>KROKOM</t>
        </is>
      </c>
      <c r="G3350" t="n">
        <v>3.8</v>
      </c>
      <c r="H3350" t="n">
        <v>0</v>
      </c>
      <c r="I3350" t="n">
        <v>0</v>
      </c>
      <c r="J3350" t="n">
        <v>0</v>
      </c>
      <c r="K3350" t="n">
        <v>0</v>
      </c>
      <c r="L3350" t="n">
        <v>0</v>
      </c>
      <c r="M3350" t="n">
        <v>0</v>
      </c>
      <c r="N3350" t="n">
        <v>0</v>
      </c>
      <c r="O3350" t="n">
        <v>0</v>
      </c>
      <c r="P3350" t="n">
        <v>0</v>
      </c>
      <c r="Q3350" t="n">
        <v>0</v>
      </c>
      <c r="R3350" s="2" t="inlineStr"/>
    </row>
    <row r="3351" ht="15" customHeight="1">
      <c r="A3351" t="inlineStr">
        <is>
          <t>A 57511-2020</t>
        </is>
      </c>
      <c r="B3351" s="1" t="n">
        <v>44140</v>
      </c>
      <c r="C3351" s="1" t="n">
        <v>45182</v>
      </c>
      <c r="D3351" t="inlineStr">
        <is>
          <t>JÄMTLANDS LÄN</t>
        </is>
      </c>
      <c r="E3351" t="inlineStr">
        <is>
          <t>STRÖMSUND</t>
        </is>
      </c>
      <c r="F3351" t="inlineStr">
        <is>
          <t>Holmen skog AB</t>
        </is>
      </c>
      <c r="G3351" t="n">
        <v>6.7</v>
      </c>
      <c r="H3351" t="n">
        <v>0</v>
      </c>
      <c r="I3351" t="n">
        <v>0</v>
      </c>
      <c r="J3351" t="n">
        <v>0</v>
      </c>
      <c r="K3351" t="n">
        <v>0</v>
      </c>
      <c r="L3351" t="n">
        <v>0</v>
      </c>
      <c r="M3351" t="n">
        <v>0</v>
      </c>
      <c r="N3351" t="n">
        <v>0</v>
      </c>
      <c r="O3351" t="n">
        <v>0</v>
      </c>
      <c r="P3351" t="n">
        <v>0</v>
      </c>
      <c r="Q3351" t="n">
        <v>0</v>
      </c>
      <c r="R3351" s="2" t="inlineStr"/>
    </row>
    <row r="3352" ht="15" customHeight="1">
      <c r="A3352" t="inlineStr">
        <is>
          <t>A 57616-2020</t>
        </is>
      </c>
      <c r="B3352" s="1" t="n">
        <v>44140</v>
      </c>
      <c r="C3352" s="1" t="n">
        <v>45182</v>
      </c>
      <c r="D3352" t="inlineStr">
        <is>
          <t>JÄMTLANDS LÄN</t>
        </is>
      </c>
      <c r="E3352" t="inlineStr">
        <is>
          <t>ÖSTERSUND</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57717-2020</t>
        </is>
      </c>
      <c r="B3353" s="1" t="n">
        <v>44140</v>
      </c>
      <c r="C3353" s="1" t="n">
        <v>45182</v>
      </c>
      <c r="D3353" t="inlineStr">
        <is>
          <t>JÄMTLANDS LÄN</t>
        </is>
      </c>
      <c r="E3353" t="inlineStr">
        <is>
          <t>RAGUNDA</t>
        </is>
      </c>
      <c r="F3353" t="inlineStr">
        <is>
          <t>SCA</t>
        </is>
      </c>
      <c r="G3353" t="n">
        <v>2.4</v>
      </c>
      <c r="H3353" t="n">
        <v>0</v>
      </c>
      <c r="I3353" t="n">
        <v>0</v>
      </c>
      <c r="J3353" t="n">
        <v>0</v>
      </c>
      <c r="K3353" t="n">
        <v>0</v>
      </c>
      <c r="L3353" t="n">
        <v>0</v>
      </c>
      <c r="M3353" t="n">
        <v>0</v>
      </c>
      <c r="N3353" t="n">
        <v>0</v>
      </c>
      <c r="O3353" t="n">
        <v>0</v>
      </c>
      <c r="P3353" t="n">
        <v>0</v>
      </c>
      <c r="Q3353" t="n">
        <v>0</v>
      </c>
      <c r="R3353" s="2" t="inlineStr"/>
    </row>
    <row r="3354" ht="15" customHeight="1">
      <c r="A3354" t="inlineStr">
        <is>
          <t>A 57731-2020</t>
        </is>
      </c>
      <c r="B3354" s="1" t="n">
        <v>44140</v>
      </c>
      <c r="C3354" s="1" t="n">
        <v>45182</v>
      </c>
      <c r="D3354" t="inlineStr">
        <is>
          <t>JÄMTLANDS LÄN</t>
        </is>
      </c>
      <c r="E3354" t="inlineStr">
        <is>
          <t>RAGUNDA</t>
        </is>
      </c>
      <c r="F3354" t="inlineStr">
        <is>
          <t>SCA</t>
        </is>
      </c>
      <c r="G3354" t="n">
        <v>3</v>
      </c>
      <c r="H3354" t="n">
        <v>0</v>
      </c>
      <c r="I3354" t="n">
        <v>0</v>
      </c>
      <c r="J3354" t="n">
        <v>0</v>
      </c>
      <c r="K3354" t="n">
        <v>0</v>
      </c>
      <c r="L3354" t="n">
        <v>0</v>
      </c>
      <c r="M3354" t="n">
        <v>0</v>
      </c>
      <c r="N3354" t="n">
        <v>0</v>
      </c>
      <c r="O3354" t="n">
        <v>0</v>
      </c>
      <c r="P3354" t="n">
        <v>0</v>
      </c>
      <c r="Q3354" t="n">
        <v>0</v>
      </c>
      <c r="R3354" s="2" t="inlineStr"/>
    </row>
    <row r="3355" ht="15" customHeight="1">
      <c r="A3355" t="inlineStr">
        <is>
          <t>A 57941-2020</t>
        </is>
      </c>
      <c r="B3355" s="1" t="n">
        <v>44141</v>
      </c>
      <c r="C3355" s="1" t="n">
        <v>45182</v>
      </c>
      <c r="D3355" t="inlineStr">
        <is>
          <t>JÄMTLANDS LÄN</t>
        </is>
      </c>
      <c r="E3355" t="inlineStr">
        <is>
          <t>RAGUNDA</t>
        </is>
      </c>
      <c r="F3355" t="inlineStr">
        <is>
          <t>SCA</t>
        </is>
      </c>
      <c r="G3355" t="n">
        <v>3.9</v>
      </c>
      <c r="H3355" t="n">
        <v>0</v>
      </c>
      <c r="I3355" t="n">
        <v>0</v>
      </c>
      <c r="J3355" t="n">
        <v>0</v>
      </c>
      <c r="K3355" t="n">
        <v>0</v>
      </c>
      <c r="L3355" t="n">
        <v>0</v>
      </c>
      <c r="M3355" t="n">
        <v>0</v>
      </c>
      <c r="N3355" t="n">
        <v>0</v>
      </c>
      <c r="O3355" t="n">
        <v>0</v>
      </c>
      <c r="P3355" t="n">
        <v>0</v>
      </c>
      <c r="Q3355" t="n">
        <v>0</v>
      </c>
      <c r="R3355" s="2" t="inlineStr"/>
    </row>
    <row r="3356" ht="15" customHeight="1">
      <c r="A3356" t="inlineStr">
        <is>
          <t>A 57791-2020</t>
        </is>
      </c>
      <c r="B3356" s="1" t="n">
        <v>44141</v>
      </c>
      <c r="C3356" s="1" t="n">
        <v>45182</v>
      </c>
      <c r="D3356" t="inlineStr">
        <is>
          <t>JÄMTLANDS LÄN</t>
        </is>
      </c>
      <c r="E3356" t="inlineStr">
        <is>
          <t>ÖSTERSUND</t>
        </is>
      </c>
      <c r="F3356" t="inlineStr">
        <is>
          <t>Övriga Aktiebolag</t>
        </is>
      </c>
      <c r="G3356" t="n">
        <v>0.8</v>
      </c>
      <c r="H3356" t="n">
        <v>0</v>
      </c>
      <c r="I3356" t="n">
        <v>0</v>
      </c>
      <c r="J3356" t="n">
        <v>0</v>
      </c>
      <c r="K3356" t="n">
        <v>0</v>
      </c>
      <c r="L3356" t="n">
        <v>0</v>
      </c>
      <c r="M3356" t="n">
        <v>0</v>
      </c>
      <c r="N3356" t="n">
        <v>0</v>
      </c>
      <c r="O3356" t="n">
        <v>0</v>
      </c>
      <c r="P3356" t="n">
        <v>0</v>
      </c>
      <c r="Q3356" t="n">
        <v>0</v>
      </c>
      <c r="R3356" s="2" t="inlineStr"/>
    </row>
    <row r="3357" ht="15" customHeight="1">
      <c r="A3357" t="inlineStr">
        <is>
          <t>A 57808-2020</t>
        </is>
      </c>
      <c r="B3357" s="1" t="n">
        <v>44141</v>
      </c>
      <c r="C3357" s="1" t="n">
        <v>45182</v>
      </c>
      <c r="D3357" t="inlineStr">
        <is>
          <t>JÄMTLANDS LÄN</t>
        </is>
      </c>
      <c r="E3357" t="inlineStr">
        <is>
          <t>STRÖMSUND</t>
        </is>
      </c>
      <c r="G3357" t="n">
        <v>6.8</v>
      </c>
      <c r="H3357" t="n">
        <v>0</v>
      </c>
      <c r="I3357" t="n">
        <v>0</v>
      </c>
      <c r="J3357" t="n">
        <v>0</v>
      </c>
      <c r="K3357" t="n">
        <v>0</v>
      </c>
      <c r="L3357" t="n">
        <v>0</v>
      </c>
      <c r="M3357" t="n">
        <v>0</v>
      </c>
      <c r="N3357" t="n">
        <v>0</v>
      </c>
      <c r="O3357" t="n">
        <v>0</v>
      </c>
      <c r="P3357" t="n">
        <v>0</v>
      </c>
      <c r="Q3357" t="n">
        <v>0</v>
      </c>
      <c r="R3357" s="2" t="inlineStr"/>
    </row>
    <row r="3358" ht="15" customHeight="1">
      <c r="A3358" t="inlineStr">
        <is>
          <t>A 57740-2020</t>
        </is>
      </c>
      <c r="B3358" s="1" t="n">
        <v>44141</v>
      </c>
      <c r="C3358" s="1" t="n">
        <v>45182</v>
      </c>
      <c r="D3358" t="inlineStr">
        <is>
          <t>JÄMTLANDS LÄN</t>
        </is>
      </c>
      <c r="E3358" t="inlineStr">
        <is>
          <t>STRÖMSUND</t>
        </is>
      </c>
      <c r="G3358" t="n">
        <v>3</v>
      </c>
      <c r="H3358" t="n">
        <v>0</v>
      </c>
      <c r="I3358" t="n">
        <v>0</v>
      </c>
      <c r="J3358" t="n">
        <v>0</v>
      </c>
      <c r="K3358" t="n">
        <v>0</v>
      </c>
      <c r="L3358" t="n">
        <v>0</v>
      </c>
      <c r="M3358" t="n">
        <v>0</v>
      </c>
      <c r="N3358" t="n">
        <v>0</v>
      </c>
      <c r="O3358" t="n">
        <v>0</v>
      </c>
      <c r="P3358" t="n">
        <v>0</v>
      </c>
      <c r="Q3358" t="n">
        <v>0</v>
      </c>
      <c r="R3358" s="2" t="inlineStr"/>
    </row>
    <row r="3359" ht="15" customHeight="1">
      <c r="A3359" t="inlineStr">
        <is>
          <t>A 57771-2020</t>
        </is>
      </c>
      <c r="B3359" s="1" t="n">
        <v>44141</v>
      </c>
      <c r="C3359" s="1" t="n">
        <v>45182</v>
      </c>
      <c r="D3359" t="inlineStr">
        <is>
          <t>JÄMTLANDS LÄN</t>
        </is>
      </c>
      <c r="E3359" t="inlineStr">
        <is>
          <t>ÖSTERSUND</t>
        </is>
      </c>
      <c r="F3359" t="inlineStr">
        <is>
          <t>Övriga Aktiebolag</t>
        </is>
      </c>
      <c r="G3359" t="n">
        <v>0.8</v>
      </c>
      <c r="H3359" t="n">
        <v>0</v>
      </c>
      <c r="I3359" t="n">
        <v>0</v>
      </c>
      <c r="J3359" t="n">
        <v>0</v>
      </c>
      <c r="K3359" t="n">
        <v>0</v>
      </c>
      <c r="L3359" t="n">
        <v>0</v>
      </c>
      <c r="M3359" t="n">
        <v>0</v>
      </c>
      <c r="N3359" t="n">
        <v>0</v>
      </c>
      <c r="O3359" t="n">
        <v>0</v>
      </c>
      <c r="P3359" t="n">
        <v>0</v>
      </c>
      <c r="Q3359" t="n">
        <v>0</v>
      </c>
      <c r="R3359" s="2" t="inlineStr"/>
    </row>
    <row r="3360" ht="15" customHeight="1">
      <c r="A3360" t="inlineStr">
        <is>
          <t>A 58378-2020</t>
        </is>
      </c>
      <c r="B3360" s="1" t="n">
        <v>44141</v>
      </c>
      <c r="C3360" s="1" t="n">
        <v>45182</v>
      </c>
      <c r="D3360" t="inlineStr">
        <is>
          <t>JÄMTLANDS LÄN</t>
        </is>
      </c>
      <c r="E3360" t="inlineStr">
        <is>
          <t>KROKOM</t>
        </is>
      </c>
      <c r="G3360" t="n">
        <v>14.4</v>
      </c>
      <c r="H3360" t="n">
        <v>0</v>
      </c>
      <c r="I3360" t="n">
        <v>0</v>
      </c>
      <c r="J3360" t="n">
        <v>0</v>
      </c>
      <c r="K3360" t="n">
        <v>0</v>
      </c>
      <c r="L3360" t="n">
        <v>0</v>
      </c>
      <c r="M3360" t="n">
        <v>0</v>
      </c>
      <c r="N3360" t="n">
        <v>0</v>
      </c>
      <c r="O3360" t="n">
        <v>0</v>
      </c>
      <c r="P3360" t="n">
        <v>0</v>
      </c>
      <c r="Q3360" t="n">
        <v>0</v>
      </c>
      <c r="R3360" s="2" t="inlineStr"/>
    </row>
    <row r="3361" ht="15" customHeight="1">
      <c r="A3361" t="inlineStr">
        <is>
          <t>A 58569-2020</t>
        </is>
      </c>
      <c r="B3361" s="1" t="n">
        <v>44141</v>
      </c>
      <c r="C3361" s="1" t="n">
        <v>45182</v>
      </c>
      <c r="D3361" t="inlineStr">
        <is>
          <t>JÄMTLANDS LÄN</t>
        </is>
      </c>
      <c r="E3361" t="inlineStr">
        <is>
          <t>KROKOM</t>
        </is>
      </c>
      <c r="G3361" t="n">
        <v>52.8</v>
      </c>
      <c r="H3361" t="n">
        <v>0</v>
      </c>
      <c r="I3361" t="n">
        <v>0</v>
      </c>
      <c r="J3361" t="n">
        <v>0</v>
      </c>
      <c r="K3361" t="n">
        <v>0</v>
      </c>
      <c r="L3361" t="n">
        <v>0</v>
      </c>
      <c r="M3361" t="n">
        <v>0</v>
      </c>
      <c r="N3361" t="n">
        <v>0</v>
      </c>
      <c r="O3361" t="n">
        <v>0</v>
      </c>
      <c r="P3361" t="n">
        <v>0</v>
      </c>
      <c r="Q3361" t="n">
        <v>0</v>
      </c>
      <c r="R3361" s="2" t="inlineStr"/>
    </row>
    <row r="3362" ht="15" customHeight="1">
      <c r="A3362" t="inlineStr">
        <is>
          <t>A 58219-2020</t>
        </is>
      </c>
      <c r="B3362" s="1" t="n">
        <v>44144</v>
      </c>
      <c r="C3362" s="1" t="n">
        <v>45182</v>
      </c>
      <c r="D3362" t="inlineStr">
        <is>
          <t>JÄMTLANDS LÄN</t>
        </is>
      </c>
      <c r="E3362" t="inlineStr">
        <is>
          <t>STRÖMSUND</t>
        </is>
      </c>
      <c r="F3362" t="inlineStr">
        <is>
          <t>Holmen skog AB</t>
        </is>
      </c>
      <c r="G3362" t="n">
        <v>4.9</v>
      </c>
      <c r="H3362" t="n">
        <v>0</v>
      </c>
      <c r="I3362" t="n">
        <v>0</v>
      </c>
      <c r="J3362" t="n">
        <v>0</v>
      </c>
      <c r="K3362" t="n">
        <v>0</v>
      </c>
      <c r="L3362" t="n">
        <v>0</v>
      </c>
      <c r="M3362" t="n">
        <v>0</v>
      </c>
      <c r="N3362" t="n">
        <v>0</v>
      </c>
      <c r="O3362" t="n">
        <v>0</v>
      </c>
      <c r="P3362" t="n">
        <v>0</v>
      </c>
      <c r="Q3362" t="n">
        <v>0</v>
      </c>
      <c r="R3362" s="2" t="inlineStr"/>
    </row>
    <row r="3363" ht="15" customHeight="1">
      <c r="A3363" t="inlineStr">
        <is>
          <t>A 58960-2020</t>
        </is>
      </c>
      <c r="B3363" s="1" t="n">
        <v>44146</v>
      </c>
      <c r="C3363" s="1" t="n">
        <v>45182</v>
      </c>
      <c r="D3363" t="inlineStr">
        <is>
          <t>JÄMTLANDS LÄN</t>
        </is>
      </c>
      <c r="E3363" t="inlineStr">
        <is>
          <t>ÅRE</t>
        </is>
      </c>
      <c r="G3363" t="n">
        <v>5.5</v>
      </c>
      <c r="H3363" t="n">
        <v>0</v>
      </c>
      <c r="I3363" t="n">
        <v>0</v>
      </c>
      <c r="J3363" t="n">
        <v>0</v>
      </c>
      <c r="K3363" t="n">
        <v>0</v>
      </c>
      <c r="L3363" t="n">
        <v>0</v>
      </c>
      <c r="M3363" t="n">
        <v>0</v>
      </c>
      <c r="N3363" t="n">
        <v>0</v>
      </c>
      <c r="O3363" t="n">
        <v>0</v>
      </c>
      <c r="P3363" t="n">
        <v>0</v>
      </c>
      <c r="Q3363" t="n">
        <v>0</v>
      </c>
      <c r="R3363" s="2" t="inlineStr"/>
    </row>
    <row r="3364" ht="15" customHeight="1">
      <c r="A3364" t="inlineStr">
        <is>
          <t>A 59012-2020</t>
        </is>
      </c>
      <c r="B3364" s="1" t="n">
        <v>44146</v>
      </c>
      <c r="C3364" s="1" t="n">
        <v>45182</v>
      </c>
      <c r="D3364" t="inlineStr">
        <is>
          <t>JÄMTLANDS LÄN</t>
        </is>
      </c>
      <c r="E3364" t="inlineStr">
        <is>
          <t>STRÖMSUND</t>
        </is>
      </c>
      <c r="F3364" t="inlineStr">
        <is>
          <t>SCA</t>
        </is>
      </c>
      <c r="G3364" t="n">
        <v>15.5</v>
      </c>
      <c r="H3364" t="n">
        <v>0</v>
      </c>
      <c r="I3364" t="n">
        <v>0</v>
      </c>
      <c r="J3364" t="n">
        <v>0</v>
      </c>
      <c r="K3364" t="n">
        <v>0</v>
      </c>
      <c r="L3364" t="n">
        <v>0</v>
      </c>
      <c r="M3364" t="n">
        <v>0</v>
      </c>
      <c r="N3364" t="n">
        <v>0</v>
      </c>
      <c r="O3364" t="n">
        <v>0</v>
      </c>
      <c r="P3364" t="n">
        <v>0</v>
      </c>
      <c r="Q3364" t="n">
        <v>0</v>
      </c>
      <c r="R3364" s="2" t="inlineStr"/>
    </row>
    <row r="3365" ht="15" customHeight="1">
      <c r="A3365" t="inlineStr">
        <is>
          <t>A 58868-2020</t>
        </is>
      </c>
      <c r="B3365" s="1" t="n">
        <v>44146</v>
      </c>
      <c r="C3365" s="1" t="n">
        <v>45182</v>
      </c>
      <c r="D3365" t="inlineStr">
        <is>
          <t>JÄMTLANDS LÄN</t>
        </is>
      </c>
      <c r="E3365" t="inlineStr">
        <is>
          <t>KROKOM</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59533-2020</t>
        </is>
      </c>
      <c r="B3366" s="1" t="n">
        <v>44148</v>
      </c>
      <c r="C3366" s="1" t="n">
        <v>45182</v>
      </c>
      <c r="D3366" t="inlineStr">
        <is>
          <t>JÄMTLANDS LÄN</t>
        </is>
      </c>
      <c r="E3366" t="inlineStr">
        <is>
          <t>HÄRJEDALEN</t>
        </is>
      </c>
      <c r="F3366" t="inlineStr">
        <is>
          <t>Holmen skog AB</t>
        </is>
      </c>
      <c r="G3366" t="n">
        <v>38.3</v>
      </c>
      <c r="H3366" t="n">
        <v>0</v>
      </c>
      <c r="I3366" t="n">
        <v>0</v>
      </c>
      <c r="J3366" t="n">
        <v>0</v>
      </c>
      <c r="K3366" t="n">
        <v>0</v>
      </c>
      <c r="L3366" t="n">
        <v>0</v>
      </c>
      <c r="M3366" t="n">
        <v>0</v>
      </c>
      <c r="N3366" t="n">
        <v>0</v>
      </c>
      <c r="O3366" t="n">
        <v>0</v>
      </c>
      <c r="P3366" t="n">
        <v>0</v>
      </c>
      <c r="Q3366" t="n">
        <v>0</v>
      </c>
      <c r="R3366" s="2" t="inlineStr"/>
    </row>
    <row r="3367" ht="15" customHeight="1">
      <c r="A3367" t="inlineStr">
        <is>
          <t>A 59778-2020</t>
        </is>
      </c>
      <c r="B3367" s="1" t="n">
        <v>44148</v>
      </c>
      <c r="C3367" s="1" t="n">
        <v>45182</v>
      </c>
      <c r="D3367" t="inlineStr">
        <is>
          <t>JÄMTLANDS LÄN</t>
        </is>
      </c>
      <c r="E3367" t="inlineStr">
        <is>
          <t>KROKOM</t>
        </is>
      </c>
      <c r="G3367" t="n">
        <v>39.3</v>
      </c>
      <c r="H3367" t="n">
        <v>0</v>
      </c>
      <c r="I3367" t="n">
        <v>0</v>
      </c>
      <c r="J3367" t="n">
        <v>0</v>
      </c>
      <c r="K3367" t="n">
        <v>0</v>
      </c>
      <c r="L3367" t="n">
        <v>0</v>
      </c>
      <c r="M3367" t="n">
        <v>0</v>
      </c>
      <c r="N3367" t="n">
        <v>0</v>
      </c>
      <c r="O3367" t="n">
        <v>0</v>
      </c>
      <c r="P3367" t="n">
        <v>0</v>
      </c>
      <c r="Q3367" t="n">
        <v>0</v>
      </c>
      <c r="R3367" s="2" t="inlineStr"/>
    </row>
    <row r="3368" ht="15" customHeight="1">
      <c r="A3368" t="inlineStr">
        <is>
          <t>A 59397-2020</t>
        </is>
      </c>
      <c r="B3368" s="1" t="n">
        <v>44148</v>
      </c>
      <c r="C3368" s="1" t="n">
        <v>45182</v>
      </c>
      <c r="D3368" t="inlineStr">
        <is>
          <t>JÄMTLANDS LÄN</t>
        </is>
      </c>
      <c r="E3368" t="inlineStr">
        <is>
          <t>BRÄCKE</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59718-2020</t>
        </is>
      </c>
      <c r="B3369" s="1" t="n">
        <v>44151</v>
      </c>
      <c r="C3369" s="1" t="n">
        <v>45182</v>
      </c>
      <c r="D3369" t="inlineStr">
        <is>
          <t>JÄMTLANDS LÄN</t>
        </is>
      </c>
      <c r="E3369" t="inlineStr">
        <is>
          <t>KROKOM</t>
        </is>
      </c>
      <c r="G3369" t="n">
        <v>3.7</v>
      </c>
      <c r="H3369" t="n">
        <v>0</v>
      </c>
      <c r="I3369" t="n">
        <v>0</v>
      </c>
      <c r="J3369" t="n">
        <v>0</v>
      </c>
      <c r="K3369" t="n">
        <v>0</v>
      </c>
      <c r="L3369" t="n">
        <v>0</v>
      </c>
      <c r="M3369" t="n">
        <v>0</v>
      </c>
      <c r="N3369" t="n">
        <v>0</v>
      </c>
      <c r="O3369" t="n">
        <v>0</v>
      </c>
      <c r="P3369" t="n">
        <v>0</v>
      </c>
      <c r="Q3369" t="n">
        <v>0</v>
      </c>
      <c r="R3369" s="2" t="inlineStr"/>
    </row>
    <row r="3370" ht="15" customHeight="1">
      <c r="A3370" t="inlineStr">
        <is>
          <t>A 60256-2020</t>
        </is>
      </c>
      <c r="B3370" s="1" t="n">
        <v>44151</v>
      </c>
      <c r="C3370" s="1" t="n">
        <v>45182</v>
      </c>
      <c r="D3370" t="inlineStr">
        <is>
          <t>JÄMTLANDS LÄN</t>
        </is>
      </c>
      <c r="E3370" t="inlineStr">
        <is>
          <t>STRÖMSUND</t>
        </is>
      </c>
      <c r="G3370" t="n">
        <v>0.3</v>
      </c>
      <c r="H3370" t="n">
        <v>0</v>
      </c>
      <c r="I3370" t="n">
        <v>0</v>
      </c>
      <c r="J3370" t="n">
        <v>0</v>
      </c>
      <c r="K3370" t="n">
        <v>0</v>
      </c>
      <c r="L3370" t="n">
        <v>0</v>
      </c>
      <c r="M3370" t="n">
        <v>0</v>
      </c>
      <c r="N3370" t="n">
        <v>0</v>
      </c>
      <c r="O3370" t="n">
        <v>0</v>
      </c>
      <c r="P3370" t="n">
        <v>0</v>
      </c>
      <c r="Q3370" t="n">
        <v>0</v>
      </c>
      <c r="R3370" s="2" t="inlineStr"/>
    </row>
    <row r="3371" ht="15" customHeight="1">
      <c r="A3371" t="inlineStr">
        <is>
          <t>A 59706-2020</t>
        </is>
      </c>
      <c r="B3371" s="1" t="n">
        <v>44151</v>
      </c>
      <c r="C3371" s="1" t="n">
        <v>45182</v>
      </c>
      <c r="D3371" t="inlineStr">
        <is>
          <t>JÄMTLANDS LÄN</t>
        </is>
      </c>
      <c r="E3371" t="inlineStr">
        <is>
          <t>KROKOM</t>
        </is>
      </c>
      <c r="G3371" t="n">
        <v>75</v>
      </c>
      <c r="H3371" t="n">
        <v>0</v>
      </c>
      <c r="I3371" t="n">
        <v>0</v>
      </c>
      <c r="J3371" t="n">
        <v>0</v>
      </c>
      <c r="K3371" t="n">
        <v>0</v>
      </c>
      <c r="L3371" t="n">
        <v>0</v>
      </c>
      <c r="M3371" t="n">
        <v>0</v>
      </c>
      <c r="N3371" t="n">
        <v>0</v>
      </c>
      <c r="O3371" t="n">
        <v>0</v>
      </c>
      <c r="P3371" t="n">
        <v>0</v>
      </c>
      <c r="Q3371" t="n">
        <v>0</v>
      </c>
      <c r="R3371" s="2" t="inlineStr"/>
    </row>
    <row r="3372" ht="15" customHeight="1">
      <c r="A3372" t="inlineStr">
        <is>
          <t>A 60050-2020</t>
        </is>
      </c>
      <c r="B3372" s="1" t="n">
        <v>44151</v>
      </c>
      <c r="C3372" s="1" t="n">
        <v>45182</v>
      </c>
      <c r="D3372" t="inlineStr">
        <is>
          <t>JÄMTLANDS LÄN</t>
        </is>
      </c>
      <c r="E3372" t="inlineStr">
        <is>
          <t>ÖSTERSUND</t>
        </is>
      </c>
      <c r="F3372" t="inlineStr">
        <is>
          <t>SCA</t>
        </is>
      </c>
      <c r="G3372" t="n">
        <v>2.2</v>
      </c>
      <c r="H3372" t="n">
        <v>0</v>
      </c>
      <c r="I3372" t="n">
        <v>0</v>
      </c>
      <c r="J3372" t="n">
        <v>0</v>
      </c>
      <c r="K3372" t="n">
        <v>0</v>
      </c>
      <c r="L3372" t="n">
        <v>0</v>
      </c>
      <c r="M3372" t="n">
        <v>0</v>
      </c>
      <c r="N3372" t="n">
        <v>0</v>
      </c>
      <c r="O3372" t="n">
        <v>0</v>
      </c>
      <c r="P3372" t="n">
        <v>0</v>
      </c>
      <c r="Q3372" t="n">
        <v>0</v>
      </c>
      <c r="R3372" s="2" t="inlineStr"/>
    </row>
    <row r="3373" ht="15" customHeight="1">
      <c r="A3373" t="inlineStr">
        <is>
          <t>A 60016-2020</t>
        </is>
      </c>
      <c r="B3373" s="1" t="n">
        <v>44151</v>
      </c>
      <c r="C3373" s="1" t="n">
        <v>45182</v>
      </c>
      <c r="D3373" t="inlineStr">
        <is>
          <t>JÄMTLANDS LÄN</t>
        </is>
      </c>
      <c r="E3373" t="inlineStr">
        <is>
          <t>ÅRE</t>
        </is>
      </c>
      <c r="G3373" t="n">
        <v>14.7</v>
      </c>
      <c r="H3373" t="n">
        <v>0</v>
      </c>
      <c r="I3373" t="n">
        <v>0</v>
      </c>
      <c r="J3373" t="n">
        <v>0</v>
      </c>
      <c r="K3373" t="n">
        <v>0</v>
      </c>
      <c r="L3373" t="n">
        <v>0</v>
      </c>
      <c r="M3373" t="n">
        <v>0</v>
      </c>
      <c r="N3373" t="n">
        <v>0</v>
      </c>
      <c r="O3373" t="n">
        <v>0</v>
      </c>
      <c r="P3373" t="n">
        <v>0</v>
      </c>
      <c r="Q3373" t="n">
        <v>0</v>
      </c>
      <c r="R3373" s="2" t="inlineStr"/>
    </row>
    <row r="3374" ht="15" customHeight="1">
      <c r="A3374" t="inlineStr">
        <is>
          <t>A 60061-2020</t>
        </is>
      </c>
      <c r="B3374" s="1" t="n">
        <v>44151</v>
      </c>
      <c r="C3374" s="1" t="n">
        <v>45182</v>
      </c>
      <c r="D3374" t="inlineStr">
        <is>
          <t>JÄMTLANDS LÄN</t>
        </is>
      </c>
      <c r="E3374" t="inlineStr">
        <is>
          <t>STRÖMSUND</t>
        </is>
      </c>
      <c r="F3374" t="inlineStr">
        <is>
          <t>SCA</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60087-2020</t>
        </is>
      </c>
      <c r="B3375" s="1" t="n">
        <v>44151</v>
      </c>
      <c r="C3375" s="1" t="n">
        <v>45182</v>
      </c>
      <c r="D3375" t="inlineStr">
        <is>
          <t>JÄMTLANDS LÄN</t>
        </is>
      </c>
      <c r="E3375" t="inlineStr">
        <is>
          <t>HÄRJEDALEN</t>
        </is>
      </c>
      <c r="G3375" t="n">
        <v>9.4</v>
      </c>
      <c r="H3375" t="n">
        <v>0</v>
      </c>
      <c r="I3375" t="n">
        <v>0</v>
      </c>
      <c r="J3375" t="n">
        <v>0</v>
      </c>
      <c r="K3375" t="n">
        <v>0</v>
      </c>
      <c r="L3375" t="n">
        <v>0</v>
      </c>
      <c r="M3375" t="n">
        <v>0</v>
      </c>
      <c r="N3375" t="n">
        <v>0</v>
      </c>
      <c r="O3375" t="n">
        <v>0</v>
      </c>
      <c r="P3375" t="n">
        <v>0</v>
      </c>
      <c r="Q3375" t="n">
        <v>0</v>
      </c>
      <c r="R3375" s="2" t="inlineStr"/>
    </row>
    <row r="3376" ht="15" customHeight="1">
      <c r="A3376" t="inlineStr">
        <is>
          <t>A 60126-2020</t>
        </is>
      </c>
      <c r="B3376" s="1" t="n">
        <v>44152</v>
      </c>
      <c r="C3376" s="1" t="n">
        <v>45182</v>
      </c>
      <c r="D3376" t="inlineStr">
        <is>
          <t>JÄMTLANDS LÄN</t>
        </is>
      </c>
      <c r="E3376" t="inlineStr">
        <is>
          <t>ÖSTERSUND</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60395-2020</t>
        </is>
      </c>
      <c r="B3377" s="1" t="n">
        <v>44152</v>
      </c>
      <c r="C3377" s="1" t="n">
        <v>45182</v>
      </c>
      <c r="D3377" t="inlineStr">
        <is>
          <t>JÄMTLANDS LÄN</t>
        </is>
      </c>
      <c r="E3377" t="inlineStr">
        <is>
          <t>STRÖMSUND</t>
        </is>
      </c>
      <c r="F3377" t="inlineStr">
        <is>
          <t>SCA</t>
        </is>
      </c>
      <c r="G3377" t="n">
        <v>3.3</v>
      </c>
      <c r="H3377" t="n">
        <v>0</v>
      </c>
      <c r="I3377" t="n">
        <v>0</v>
      </c>
      <c r="J3377" t="n">
        <v>0</v>
      </c>
      <c r="K3377" t="n">
        <v>0</v>
      </c>
      <c r="L3377" t="n">
        <v>0</v>
      </c>
      <c r="M3377" t="n">
        <v>0</v>
      </c>
      <c r="N3377" t="n">
        <v>0</v>
      </c>
      <c r="O3377" t="n">
        <v>0</v>
      </c>
      <c r="P3377" t="n">
        <v>0</v>
      </c>
      <c r="Q3377" t="n">
        <v>0</v>
      </c>
      <c r="R3377" s="2" t="inlineStr"/>
    </row>
    <row r="3378" ht="15" customHeight="1">
      <c r="A3378" t="inlineStr">
        <is>
          <t>A 60422-2020</t>
        </is>
      </c>
      <c r="B3378" s="1" t="n">
        <v>44153</v>
      </c>
      <c r="C3378" s="1" t="n">
        <v>45182</v>
      </c>
      <c r="D3378" t="inlineStr">
        <is>
          <t>JÄMTLANDS LÄN</t>
        </is>
      </c>
      <c r="E3378" t="inlineStr">
        <is>
          <t>HÄRJEDALEN</t>
        </is>
      </c>
      <c r="F3378" t="inlineStr">
        <is>
          <t>Bergvik skog väst AB</t>
        </is>
      </c>
      <c r="G3378" t="n">
        <v>0.7</v>
      </c>
      <c r="H3378" t="n">
        <v>0</v>
      </c>
      <c r="I3378" t="n">
        <v>0</v>
      </c>
      <c r="J3378" t="n">
        <v>0</v>
      </c>
      <c r="K3378" t="n">
        <v>0</v>
      </c>
      <c r="L3378" t="n">
        <v>0</v>
      </c>
      <c r="M3378" t="n">
        <v>0</v>
      </c>
      <c r="N3378" t="n">
        <v>0</v>
      </c>
      <c r="O3378" t="n">
        <v>0</v>
      </c>
      <c r="P3378" t="n">
        <v>0</v>
      </c>
      <c r="Q3378" t="n">
        <v>0</v>
      </c>
      <c r="R3378" s="2" t="inlineStr"/>
    </row>
    <row r="3379" ht="15" customHeight="1">
      <c r="A3379" t="inlineStr">
        <is>
          <t>A 60606-2020</t>
        </is>
      </c>
      <c r="B3379" s="1" t="n">
        <v>44153</v>
      </c>
      <c r="C3379" s="1" t="n">
        <v>45182</v>
      </c>
      <c r="D3379" t="inlineStr">
        <is>
          <t>JÄMTLANDS LÄN</t>
        </is>
      </c>
      <c r="E3379" t="inlineStr">
        <is>
          <t>HÄRJEDALEN</t>
        </is>
      </c>
      <c r="F3379" t="inlineStr">
        <is>
          <t>Holmen skog AB</t>
        </is>
      </c>
      <c r="G3379" t="n">
        <v>3.2</v>
      </c>
      <c r="H3379" t="n">
        <v>0</v>
      </c>
      <c r="I3379" t="n">
        <v>0</v>
      </c>
      <c r="J3379" t="n">
        <v>0</v>
      </c>
      <c r="K3379" t="n">
        <v>0</v>
      </c>
      <c r="L3379" t="n">
        <v>0</v>
      </c>
      <c r="M3379" t="n">
        <v>0</v>
      </c>
      <c r="N3379" t="n">
        <v>0</v>
      </c>
      <c r="O3379" t="n">
        <v>0</v>
      </c>
      <c r="P3379" t="n">
        <v>0</v>
      </c>
      <c r="Q3379" t="n">
        <v>0</v>
      </c>
      <c r="R3379" s="2" t="inlineStr"/>
    </row>
    <row r="3380" ht="15" customHeight="1">
      <c r="A3380" t="inlineStr">
        <is>
          <t>A 60429-2020</t>
        </is>
      </c>
      <c r="B3380" s="1" t="n">
        <v>44153</v>
      </c>
      <c r="C3380" s="1" t="n">
        <v>45182</v>
      </c>
      <c r="D3380" t="inlineStr">
        <is>
          <t>JÄMTLANDS LÄN</t>
        </is>
      </c>
      <c r="E3380" t="inlineStr">
        <is>
          <t>HÄRJEDALEN</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60621-2020</t>
        </is>
      </c>
      <c r="B3381" s="1" t="n">
        <v>44153</v>
      </c>
      <c r="C3381" s="1" t="n">
        <v>45182</v>
      </c>
      <c r="D3381" t="inlineStr">
        <is>
          <t>JÄMTLANDS LÄN</t>
        </is>
      </c>
      <c r="E3381" t="inlineStr">
        <is>
          <t>STRÖMSUND</t>
        </is>
      </c>
      <c r="F3381" t="inlineStr">
        <is>
          <t>Holmen skog AB</t>
        </is>
      </c>
      <c r="G3381" t="n">
        <v>1.9</v>
      </c>
      <c r="H3381" t="n">
        <v>0</v>
      </c>
      <c r="I3381" t="n">
        <v>0</v>
      </c>
      <c r="J3381" t="n">
        <v>0</v>
      </c>
      <c r="K3381" t="n">
        <v>0</v>
      </c>
      <c r="L3381" t="n">
        <v>0</v>
      </c>
      <c r="M3381" t="n">
        <v>0</v>
      </c>
      <c r="N3381" t="n">
        <v>0</v>
      </c>
      <c r="O3381" t="n">
        <v>0</v>
      </c>
      <c r="P3381" t="n">
        <v>0</v>
      </c>
      <c r="Q3381" t="n">
        <v>0</v>
      </c>
      <c r="R3381" s="2" t="inlineStr"/>
    </row>
    <row r="3382" ht="15" customHeight="1">
      <c r="A3382" t="inlineStr">
        <is>
          <t>A 61088-2020</t>
        </is>
      </c>
      <c r="B3382" s="1" t="n">
        <v>44153</v>
      </c>
      <c r="C3382" s="1" t="n">
        <v>45182</v>
      </c>
      <c r="D3382" t="inlineStr">
        <is>
          <t>JÄMTLANDS LÄN</t>
        </is>
      </c>
      <c r="E3382" t="inlineStr">
        <is>
          <t>RAGUNDA</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60703-2020</t>
        </is>
      </c>
      <c r="B3383" s="1" t="n">
        <v>44153</v>
      </c>
      <c r="C3383" s="1" t="n">
        <v>45182</v>
      </c>
      <c r="D3383" t="inlineStr">
        <is>
          <t>JÄMTLANDS LÄN</t>
        </is>
      </c>
      <c r="E3383" t="inlineStr">
        <is>
          <t>STRÖMSUND</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60744-2020</t>
        </is>
      </c>
      <c r="B3384" s="1" t="n">
        <v>44153</v>
      </c>
      <c r="C3384" s="1" t="n">
        <v>45182</v>
      </c>
      <c r="D3384" t="inlineStr">
        <is>
          <t>JÄMTLANDS LÄN</t>
        </is>
      </c>
      <c r="E3384" t="inlineStr">
        <is>
          <t>RAGUNDA</t>
        </is>
      </c>
      <c r="F3384" t="inlineStr">
        <is>
          <t>SCA</t>
        </is>
      </c>
      <c r="G3384" t="n">
        <v>2.6</v>
      </c>
      <c r="H3384" t="n">
        <v>0</v>
      </c>
      <c r="I3384" t="n">
        <v>0</v>
      </c>
      <c r="J3384" t="n">
        <v>0</v>
      </c>
      <c r="K3384" t="n">
        <v>0</v>
      </c>
      <c r="L3384" t="n">
        <v>0</v>
      </c>
      <c r="M3384" t="n">
        <v>0</v>
      </c>
      <c r="N3384" t="n">
        <v>0</v>
      </c>
      <c r="O3384" t="n">
        <v>0</v>
      </c>
      <c r="P3384" t="n">
        <v>0</v>
      </c>
      <c r="Q3384" t="n">
        <v>0</v>
      </c>
      <c r="R3384" s="2" t="inlineStr"/>
    </row>
    <row r="3385" ht="15" customHeight="1">
      <c r="A3385" t="inlineStr">
        <is>
          <t>A 61091-2020</t>
        </is>
      </c>
      <c r="B3385" s="1" t="n">
        <v>44153</v>
      </c>
      <c r="C3385" s="1" t="n">
        <v>45182</v>
      </c>
      <c r="D3385" t="inlineStr">
        <is>
          <t>JÄMTLANDS LÄN</t>
        </is>
      </c>
      <c r="E3385" t="inlineStr">
        <is>
          <t>KROKOM</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60928-2020</t>
        </is>
      </c>
      <c r="B3386" s="1" t="n">
        <v>44154</v>
      </c>
      <c r="C3386" s="1" t="n">
        <v>45182</v>
      </c>
      <c r="D3386" t="inlineStr">
        <is>
          <t>JÄMTLANDS LÄN</t>
        </is>
      </c>
      <c r="E3386" t="inlineStr">
        <is>
          <t>KROKOM</t>
        </is>
      </c>
      <c r="G3386" t="n">
        <v>2.5</v>
      </c>
      <c r="H3386" t="n">
        <v>0</v>
      </c>
      <c r="I3386" t="n">
        <v>0</v>
      </c>
      <c r="J3386" t="n">
        <v>0</v>
      </c>
      <c r="K3386" t="n">
        <v>0</v>
      </c>
      <c r="L3386" t="n">
        <v>0</v>
      </c>
      <c r="M3386" t="n">
        <v>0</v>
      </c>
      <c r="N3386" t="n">
        <v>0</v>
      </c>
      <c r="O3386" t="n">
        <v>0</v>
      </c>
      <c r="P3386" t="n">
        <v>0</v>
      </c>
      <c r="Q3386" t="n">
        <v>0</v>
      </c>
      <c r="R3386" s="2" t="inlineStr"/>
    </row>
    <row r="3387" ht="15" customHeight="1">
      <c r="A3387" t="inlineStr">
        <is>
          <t>A 61143-2020</t>
        </is>
      </c>
      <c r="B3387" s="1" t="n">
        <v>44154</v>
      </c>
      <c r="C3387" s="1" t="n">
        <v>45182</v>
      </c>
      <c r="D3387" t="inlineStr">
        <is>
          <t>JÄMTLANDS LÄN</t>
        </is>
      </c>
      <c r="E3387" t="inlineStr">
        <is>
          <t>BRÄCKE</t>
        </is>
      </c>
      <c r="G3387" t="n">
        <v>12.6</v>
      </c>
      <c r="H3387" t="n">
        <v>0</v>
      </c>
      <c r="I3387" t="n">
        <v>0</v>
      </c>
      <c r="J3387" t="n">
        <v>0</v>
      </c>
      <c r="K3387" t="n">
        <v>0</v>
      </c>
      <c r="L3387" t="n">
        <v>0</v>
      </c>
      <c r="M3387" t="n">
        <v>0</v>
      </c>
      <c r="N3387" t="n">
        <v>0</v>
      </c>
      <c r="O3387" t="n">
        <v>0</v>
      </c>
      <c r="P3387" t="n">
        <v>0</v>
      </c>
      <c r="Q3387" t="n">
        <v>0</v>
      </c>
      <c r="R3387" s="2" t="inlineStr"/>
    </row>
    <row r="3388" ht="15" customHeight="1">
      <c r="A3388" t="inlineStr">
        <is>
          <t>A 60794-2020</t>
        </is>
      </c>
      <c r="B3388" s="1" t="n">
        <v>44154</v>
      </c>
      <c r="C3388" s="1" t="n">
        <v>45182</v>
      </c>
      <c r="D3388" t="inlineStr">
        <is>
          <t>JÄMTLANDS LÄN</t>
        </is>
      </c>
      <c r="E3388" t="inlineStr">
        <is>
          <t>HÄRJEDALEN</t>
        </is>
      </c>
      <c r="F3388" t="inlineStr">
        <is>
          <t>Holmen skog AB</t>
        </is>
      </c>
      <c r="G3388" t="n">
        <v>5.5</v>
      </c>
      <c r="H3388" t="n">
        <v>0</v>
      </c>
      <c r="I3388" t="n">
        <v>0</v>
      </c>
      <c r="J3388" t="n">
        <v>0</v>
      </c>
      <c r="K3388" t="n">
        <v>0</v>
      </c>
      <c r="L3388" t="n">
        <v>0</v>
      </c>
      <c r="M3388" t="n">
        <v>0</v>
      </c>
      <c r="N3388" t="n">
        <v>0</v>
      </c>
      <c r="O3388" t="n">
        <v>0</v>
      </c>
      <c r="P3388" t="n">
        <v>0</v>
      </c>
      <c r="Q3388" t="n">
        <v>0</v>
      </c>
      <c r="R3388" s="2" t="inlineStr"/>
    </row>
    <row r="3389" ht="15" customHeight="1">
      <c r="A3389" t="inlineStr">
        <is>
          <t>A 61141-2020</t>
        </is>
      </c>
      <c r="B3389" s="1" t="n">
        <v>44154</v>
      </c>
      <c r="C3389" s="1" t="n">
        <v>45182</v>
      </c>
      <c r="D3389" t="inlineStr">
        <is>
          <t>JÄMTLANDS LÄN</t>
        </is>
      </c>
      <c r="E3389" t="inlineStr">
        <is>
          <t>BRÄCKE</t>
        </is>
      </c>
      <c r="G3389" t="n">
        <v>4.3</v>
      </c>
      <c r="H3389" t="n">
        <v>0</v>
      </c>
      <c r="I3389" t="n">
        <v>0</v>
      </c>
      <c r="J3389" t="n">
        <v>0</v>
      </c>
      <c r="K3389" t="n">
        <v>0</v>
      </c>
      <c r="L3389" t="n">
        <v>0</v>
      </c>
      <c r="M3389" t="n">
        <v>0</v>
      </c>
      <c r="N3389" t="n">
        <v>0</v>
      </c>
      <c r="O3389" t="n">
        <v>0</v>
      </c>
      <c r="P3389" t="n">
        <v>0</v>
      </c>
      <c r="Q3389" t="n">
        <v>0</v>
      </c>
      <c r="R3389" s="2" t="inlineStr"/>
    </row>
    <row r="3390" ht="15" customHeight="1">
      <c r="A3390" t="inlineStr">
        <is>
          <t>A 61149-2020</t>
        </is>
      </c>
      <c r="B3390" s="1" t="n">
        <v>44154</v>
      </c>
      <c r="C3390" s="1" t="n">
        <v>45182</v>
      </c>
      <c r="D3390" t="inlineStr">
        <is>
          <t>JÄMTLANDS LÄN</t>
        </is>
      </c>
      <c r="E3390" t="inlineStr">
        <is>
          <t>STRÖMSUND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61609-2020</t>
        </is>
      </c>
      <c r="B3391" s="1" t="n">
        <v>44154</v>
      </c>
      <c r="C3391" s="1" t="n">
        <v>45182</v>
      </c>
      <c r="D3391" t="inlineStr">
        <is>
          <t>JÄMTLANDS LÄN</t>
        </is>
      </c>
      <c r="E3391" t="inlineStr">
        <is>
          <t>KROKOM</t>
        </is>
      </c>
      <c r="G3391" t="n">
        <v>6.4</v>
      </c>
      <c r="H3391" t="n">
        <v>0</v>
      </c>
      <c r="I3391" t="n">
        <v>0</v>
      </c>
      <c r="J3391" t="n">
        <v>0</v>
      </c>
      <c r="K3391" t="n">
        <v>0</v>
      </c>
      <c r="L3391" t="n">
        <v>0</v>
      </c>
      <c r="M3391" t="n">
        <v>0</v>
      </c>
      <c r="N3391" t="n">
        <v>0</v>
      </c>
      <c r="O3391" t="n">
        <v>0</v>
      </c>
      <c r="P3391" t="n">
        <v>0</v>
      </c>
      <c r="Q3391" t="n">
        <v>0</v>
      </c>
      <c r="R3391" s="2" t="inlineStr"/>
    </row>
    <row r="3392" ht="15" customHeight="1">
      <c r="A3392" t="inlineStr">
        <is>
          <t>A 61140-2020</t>
        </is>
      </c>
      <c r="B3392" s="1" t="n">
        <v>44154</v>
      </c>
      <c r="C3392" s="1" t="n">
        <v>45182</v>
      </c>
      <c r="D3392" t="inlineStr">
        <is>
          <t>JÄMTLANDS LÄN</t>
        </is>
      </c>
      <c r="E3392" t="inlineStr">
        <is>
          <t>BRÄCKE</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61144-2020</t>
        </is>
      </c>
      <c r="B3393" s="1" t="n">
        <v>44154</v>
      </c>
      <c r="C3393" s="1" t="n">
        <v>45182</v>
      </c>
      <c r="D3393" t="inlineStr">
        <is>
          <t>JÄMTLANDS LÄN</t>
        </is>
      </c>
      <c r="E3393" t="inlineStr">
        <is>
          <t>BRÄCKE</t>
        </is>
      </c>
      <c r="G3393" t="n">
        <v>12.8</v>
      </c>
      <c r="H3393" t="n">
        <v>0</v>
      </c>
      <c r="I3393" t="n">
        <v>0</v>
      </c>
      <c r="J3393" t="n">
        <v>0</v>
      </c>
      <c r="K3393" t="n">
        <v>0</v>
      </c>
      <c r="L3393" t="n">
        <v>0</v>
      </c>
      <c r="M3393" t="n">
        <v>0</v>
      </c>
      <c r="N3393" t="n">
        <v>0</v>
      </c>
      <c r="O3393" t="n">
        <v>0</v>
      </c>
      <c r="P3393" t="n">
        <v>0</v>
      </c>
      <c r="Q3393" t="n">
        <v>0</v>
      </c>
      <c r="R3393" s="2" t="inlineStr"/>
    </row>
    <row r="3394" ht="15" customHeight="1">
      <c r="A3394" t="inlineStr">
        <is>
          <t>A 61232-2020</t>
        </is>
      </c>
      <c r="B3394" s="1" t="n">
        <v>44155</v>
      </c>
      <c r="C3394" s="1" t="n">
        <v>45182</v>
      </c>
      <c r="D3394" t="inlineStr">
        <is>
          <t>JÄMTLANDS LÄN</t>
        </is>
      </c>
      <c r="E3394" t="inlineStr">
        <is>
          <t>HÄRJEDALEN</t>
        </is>
      </c>
      <c r="G3394" t="n">
        <v>8.5</v>
      </c>
      <c r="H3394" t="n">
        <v>0</v>
      </c>
      <c r="I3394" t="n">
        <v>0</v>
      </c>
      <c r="J3394" t="n">
        <v>0</v>
      </c>
      <c r="K3394" t="n">
        <v>0</v>
      </c>
      <c r="L3394" t="n">
        <v>0</v>
      </c>
      <c r="M3394" t="n">
        <v>0</v>
      </c>
      <c r="N3394" t="n">
        <v>0</v>
      </c>
      <c r="O3394" t="n">
        <v>0</v>
      </c>
      <c r="P3394" t="n">
        <v>0</v>
      </c>
      <c r="Q3394" t="n">
        <v>0</v>
      </c>
      <c r="R3394" s="2" t="inlineStr"/>
    </row>
    <row r="3395" ht="15" customHeight="1">
      <c r="A3395" t="inlineStr">
        <is>
          <t>A 61347-2020</t>
        </is>
      </c>
      <c r="B3395" s="1" t="n">
        <v>44155</v>
      </c>
      <c r="C3395" s="1" t="n">
        <v>45182</v>
      </c>
      <c r="D3395" t="inlineStr">
        <is>
          <t>JÄMTLANDS LÄN</t>
        </is>
      </c>
      <c r="E3395" t="inlineStr">
        <is>
          <t>ÅRE</t>
        </is>
      </c>
      <c r="G3395" t="n">
        <v>3.1</v>
      </c>
      <c r="H3395" t="n">
        <v>0</v>
      </c>
      <c r="I3395" t="n">
        <v>0</v>
      </c>
      <c r="J3395" t="n">
        <v>0</v>
      </c>
      <c r="K3395" t="n">
        <v>0</v>
      </c>
      <c r="L3395" t="n">
        <v>0</v>
      </c>
      <c r="M3395" t="n">
        <v>0</v>
      </c>
      <c r="N3395" t="n">
        <v>0</v>
      </c>
      <c r="O3395" t="n">
        <v>0</v>
      </c>
      <c r="P3395" t="n">
        <v>0</v>
      </c>
      <c r="Q3395" t="n">
        <v>0</v>
      </c>
      <c r="R3395" s="2" t="inlineStr"/>
    </row>
    <row r="3396" ht="15" customHeight="1">
      <c r="A3396" t="inlineStr">
        <is>
          <t>A 61395-2020</t>
        </is>
      </c>
      <c r="B3396" s="1" t="n">
        <v>44155</v>
      </c>
      <c r="C3396" s="1" t="n">
        <v>45182</v>
      </c>
      <c r="D3396" t="inlineStr">
        <is>
          <t>JÄMTLANDS LÄN</t>
        </is>
      </c>
      <c r="E3396" t="inlineStr">
        <is>
          <t>RAGUNDA</t>
        </is>
      </c>
      <c r="G3396" t="n">
        <v>4.7</v>
      </c>
      <c r="H3396" t="n">
        <v>0</v>
      </c>
      <c r="I3396" t="n">
        <v>0</v>
      </c>
      <c r="J3396" t="n">
        <v>0</v>
      </c>
      <c r="K3396" t="n">
        <v>0</v>
      </c>
      <c r="L3396" t="n">
        <v>0</v>
      </c>
      <c r="M3396" t="n">
        <v>0</v>
      </c>
      <c r="N3396" t="n">
        <v>0</v>
      </c>
      <c r="O3396" t="n">
        <v>0</v>
      </c>
      <c r="P3396" t="n">
        <v>0</v>
      </c>
      <c r="Q3396" t="n">
        <v>0</v>
      </c>
      <c r="R3396" s="2" t="inlineStr"/>
    </row>
    <row r="3397" ht="15" customHeight="1">
      <c r="A3397" t="inlineStr">
        <is>
          <t>A 61441-2020</t>
        </is>
      </c>
      <c r="B3397" s="1" t="n">
        <v>44157</v>
      </c>
      <c r="C3397" s="1" t="n">
        <v>45182</v>
      </c>
      <c r="D3397" t="inlineStr">
        <is>
          <t>JÄMTLANDS LÄN</t>
        </is>
      </c>
      <c r="E3397" t="inlineStr">
        <is>
          <t>RAGUNDA</t>
        </is>
      </c>
      <c r="G3397" t="n">
        <v>0.4</v>
      </c>
      <c r="H3397" t="n">
        <v>0</v>
      </c>
      <c r="I3397" t="n">
        <v>0</v>
      </c>
      <c r="J3397" t="n">
        <v>0</v>
      </c>
      <c r="K3397" t="n">
        <v>0</v>
      </c>
      <c r="L3397" t="n">
        <v>0</v>
      </c>
      <c r="M3397" t="n">
        <v>0</v>
      </c>
      <c r="N3397" t="n">
        <v>0</v>
      </c>
      <c r="O3397" t="n">
        <v>0</v>
      </c>
      <c r="P3397" t="n">
        <v>0</v>
      </c>
      <c r="Q3397" t="n">
        <v>0</v>
      </c>
      <c r="R3397" s="2" t="inlineStr"/>
    </row>
    <row r="3398" ht="15" customHeight="1">
      <c r="A3398" t="inlineStr">
        <is>
          <t>A 61602-2020</t>
        </is>
      </c>
      <c r="B3398" s="1" t="n">
        <v>44158</v>
      </c>
      <c r="C3398" s="1" t="n">
        <v>45182</v>
      </c>
      <c r="D3398" t="inlineStr">
        <is>
          <t>JÄMTLANDS LÄN</t>
        </is>
      </c>
      <c r="E3398" t="inlineStr">
        <is>
          <t>BRÄCKE</t>
        </is>
      </c>
      <c r="F3398" t="inlineStr">
        <is>
          <t>Övriga Aktiebolag</t>
        </is>
      </c>
      <c r="G3398" t="n">
        <v>3.6</v>
      </c>
      <c r="H3398" t="n">
        <v>0</v>
      </c>
      <c r="I3398" t="n">
        <v>0</v>
      </c>
      <c r="J3398" t="n">
        <v>0</v>
      </c>
      <c r="K3398" t="n">
        <v>0</v>
      </c>
      <c r="L3398" t="n">
        <v>0</v>
      </c>
      <c r="M3398" t="n">
        <v>0</v>
      </c>
      <c r="N3398" t="n">
        <v>0</v>
      </c>
      <c r="O3398" t="n">
        <v>0</v>
      </c>
      <c r="P3398" t="n">
        <v>0</v>
      </c>
      <c r="Q3398" t="n">
        <v>0</v>
      </c>
      <c r="R3398" s="2" t="inlineStr"/>
    </row>
    <row r="3399" ht="15" customHeight="1">
      <c r="A3399" t="inlineStr">
        <is>
          <t>A 61662-2020</t>
        </is>
      </c>
      <c r="B3399" s="1" t="n">
        <v>44158</v>
      </c>
      <c r="C3399" s="1" t="n">
        <v>45182</v>
      </c>
      <c r="D3399" t="inlineStr">
        <is>
          <t>JÄMTLANDS LÄN</t>
        </is>
      </c>
      <c r="E3399" t="inlineStr">
        <is>
          <t>STRÖMSUND</t>
        </is>
      </c>
      <c r="F3399" t="inlineStr">
        <is>
          <t>Holmen skog AB</t>
        </is>
      </c>
      <c r="G3399" t="n">
        <v>2.3</v>
      </c>
      <c r="H3399" t="n">
        <v>0</v>
      </c>
      <c r="I3399" t="n">
        <v>0</v>
      </c>
      <c r="J3399" t="n">
        <v>0</v>
      </c>
      <c r="K3399" t="n">
        <v>0</v>
      </c>
      <c r="L3399" t="n">
        <v>0</v>
      </c>
      <c r="M3399" t="n">
        <v>0</v>
      </c>
      <c r="N3399" t="n">
        <v>0</v>
      </c>
      <c r="O3399" t="n">
        <v>0</v>
      </c>
      <c r="P3399" t="n">
        <v>0</v>
      </c>
      <c r="Q3399" t="n">
        <v>0</v>
      </c>
      <c r="R3399" s="2" t="inlineStr"/>
    </row>
    <row r="3400" ht="15" customHeight="1">
      <c r="A3400" t="inlineStr">
        <is>
          <t>A 61807-2020</t>
        </is>
      </c>
      <c r="B3400" s="1" t="n">
        <v>44158</v>
      </c>
      <c r="C3400" s="1" t="n">
        <v>45182</v>
      </c>
      <c r="D3400" t="inlineStr">
        <is>
          <t>JÄMTLANDS LÄN</t>
        </is>
      </c>
      <c r="E3400" t="inlineStr">
        <is>
          <t>STRÖMSUND</t>
        </is>
      </c>
      <c r="F3400" t="inlineStr">
        <is>
          <t>SCA</t>
        </is>
      </c>
      <c r="G3400" t="n">
        <v>3.5</v>
      </c>
      <c r="H3400" t="n">
        <v>0</v>
      </c>
      <c r="I3400" t="n">
        <v>0</v>
      </c>
      <c r="J3400" t="n">
        <v>0</v>
      </c>
      <c r="K3400" t="n">
        <v>0</v>
      </c>
      <c r="L3400" t="n">
        <v>0</v>
      </c>
      <c r="M3400" t="n">
        <v>0</v>
      </c>
      <c r="N3400" t="n">
        <v>0</v>
      </c>
      <c r="O3400" t="n">
        <v>0</v>
      </c>
      <c r="P3400" t="n">
        <v>0</v>
      </c>
      <c r="Q3400" t="n">
        <v>0</v>
      </c>
      <c r="R3400" s="2" t="inlineStr"/>
    </row>
    <row r="3401" ht="15" customHeight="1">
      <c r="A3401" t="inlineStr">
        <is>
          <t>A 61586-2020</t>
        </is>
      </c>
      <c r="B3401" s="1" t="n">
        <v>44158</v>
      </c>
      <c r="C3401" s="1" t="n">
        <v>45182</v>
      </c>
      <c r="D3401" t="inlineStr">
        <is>
          <t>JÄMTLANDS LÄN</t>
        </is>
      </c>
      <c r="E3401" t="inlineStr">
        <is>
          <t>STRÖMSUND</t>
        </is>
      </c>
      <c r="F3401" t="inlineStr">
        <is>
          <t>Holmen skog AB</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61811-2020</t>
        </is>
      </c>
      <c r="B3402" s="1" t="n">
        <v>44158</v>
      </c>
      <c r="C3402" s="1" t="n">
        <v>45182</v>
      </c>
      <c r="D3402" t="inlineStr">
        <is>
          <t>JÄMTLANDS LÄN</t>
        </is>
      </c>
      <c r="E3402" t="inlineStr">
        <is>
          <t>STRÖMSUND</t>
        </is>
      </c>
      <c r="G3402" t="n">
        <v>1.9</v>
      </c>
      <c r="H3402" t="n">
        <v>0</v>
      </c>
      <c r="I3402" t="n">
        <v>0</v>
      </c>
      <c r="J3402" t="n">
        <v>0</v>
      </c>
      <c r="K3402" t="n">
        <v>0</v>
      </c>
      <c r="L3402" t="n">
        <v>0</v>
      </c>
      <c r="M3402" t="n">
        <v>0</v>
      </c>
      <c r="N3402" t="n">
        <v>0</v>
      </c>
      <c r="O3402" t="n">
        <v>0</v>
      </c>
      <c r="P3402" t="n">
        <v>0</v>
      </c>
      <c r="Q3402" t="n">
        <v>0</v>
      </c>
      <c r="R3402" s="2" t="inlineStr"/>
    </row>
    <row r="3403" ht="15" customHeight="1">
      <c r="A3403" t="inlineStr">
        <is>
          <t>A 62340-2020</t>
        </is>
      </c>
      <c r="B3403" s="1" t="n">
        <v>44158</v>
      </c>
      <c r="C3403" s="1" t="n">
        <v>45182</v>
      </c>
      <c r="D3403" t="inlineStr">
        <is>
          <t>JÄMTLANDS LÄN</t>
        </is>
      </c>
      <c r="E3403" t="inlineStr">
        <is>
          <t>BERG</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61510-2020</t>
        </is>
      </c>
      <c r="B3404" s="1" t="n">
        <v>44158</v>
      </c>
      <c r="C3404" s="1" t="n">
        <v>45182</v>
      </c>
      <c r="D3404" t="inlineStr">
        <is>
          <t>JÄMTLANDS LÄN</t>
        </is>
      </c>
      <c r="E3404" t="inlineStr">
        <is>
          <t>ÅRE</t>
        </is>
      </c>
      <c r="F3404" t="inlineStr">
        <is>
          <t>Övriga Aktiebolag</t>
        </is>
      </c>
      <c r="G3404" t="n">
        <v>5.9</v>
      </c>
      <c r="H3404" t="n">
        <v>0</v>
      </c>
      <c r="I3404" t="n">
        <v>0</v>
      </c>
      <c r="J3404" t="n">
        <v>0</v>
      </c>
      <c r="K3404" t="n">
        <v>0</v>
      </c>
      <c r="L3404" t="n">
        <v>0</v>
      </c>
      <c r="M3404" t="n">
        <v>0</v>
      </c>
      <c r="N3404" t="n">
        <v>0</v>
      </c>
      <c r="O3404" t="n">
        <v>0</v>
      </c>
      <c r="P3404" t="n">
        <v>0</v>
      </c>
      <c r="Q3404" t="n">
        <v>0</v>
      </c>
      <c r="R3404" s="2" t="inlineStr"/>
    </row>
    <row r="3405" ht="15" customHeight="1">
      <c r="A3405" t="inlineStr">
        <is>
          <t>A 61817-2020</t>
        </is>
      </c>
      <c r="B3405" s="1" t="n">
        <v>44158</v>
      </c>
      <c r="C3405" s="1" t="n">
        <v>45182</v>
      </c>
      <c r="D3405" t="inlineStr">
        <is>
          <t>JÄMTLANDS LÄN</t>
        </is>
      </c>
      <c r="E3405" t="inlineStr">
        <is>
          <t>BRÄCKE</t>
        </is>
      </c>
      <c r="F3405" t="inlineStr">
        <is>
          <t>SCA</t>
        </is>
      </c>
      <c r="G3405" t="n">
        <v>1.4</v>
      </c>
      <c r="H3405" t="n">
        <v>0</v>
      </c>
      <c r="I3405" t="n">
        <v>0</v>
      </c>
      <c r="J3405" t="n">
        <v>0</v>
      </c>
      <c r="K3405" t="n">
        <v>0</v>
      </c>
      <c r="L3405" t="n">
        <v>0</v>
      </c>
      <c r="M3405" t="n">
        <v>0</v>
      </c>
      <c r="N3405" t="n">
        <v>0</v>
      </c>
      <c r="O3405" t="n">
        <v>0</v>
      </c>
      <c r="P3405" t="n">
        <v>0</v>
      </c>
      <c r="Q3405" t="n">
        <v>0</v>
      </c>
      <c r="R3405" s="2" t="inlineStr"/>
    </row>
    <row r="3406" ht="15" customHeight="1">
      <c r="A3406" t="inlineStr">
        <is>
          <t>A 62344-2020</t>
        </is>
      </c>
      <c r="B3406" s="1" t="n">
        <v>44158</v>
      </c>
      <c r="C3406" s="1" t="n">
        <v>45182</v>
      </c>
      <c r="D3406" t="inlineStr">
        <is>
          <t>JÄMTLANDS LÄN</t>
        </is>
      </c>
      <c r="E3406" t="inlineStr">
        <is>
          <t>BERG</t>
        </is>
      </c>
      <c r="G3406" t="n">
        <v>23.6</v>
      </c>
      <c r="H3406" t="n">
        <v>0</v>
      </c>
      <c r="I3406" t="n">
        <v>0</v>
      </c>
      <c r="J3406" t="n">
        <v>0</v>
      </c>
      <c r="K3406" t="n">
        <v>0</v>
      </c>
      <c r="L3406" t="n">
        <v>0</v>
      </c>
      <c r="M3406" t="n">
        <v>0</v>
      </c>
      <c r="N3406" t="n">
        <v>0</v>
      </c>
      <c r="O3406" t="n">
        <v>0</v>
      </c>
      <c r="P3406" t="n">
        <v>0</v>
      </c>
      <c r="Q3406" t="n">
        <v>0</v>
      </c>
      <c r="R3406" s="2" t="inlineStr"/>
    </row>
    <row r="3407" ht="15" customHeight="1">
      <c r="A3407" t="inlineStr">
        <is>
          <t>A 62228-2020</t>
        </is>
      </c>
      <c r="B3407" s="1" t="n">
        <v>44159</v>
      </c>
      <c r="C3407" s="1" t="n">
        <v>45182</v>
      </c>
      <c r="D3407" t="inlineStr">
        <is>
          <t>JÄMTLANDS LÄN</t>
        </is>
      </c>
      <c r="E3407" t="inlineStr">
        <is>
          <t>RAGUNDA</t>
        </is>
      </c>
      <c r="F3407" t="inlineStr">
        <is>
          <t>SCA</t>
        </is>
      </c>
      <c r="G3407" t="n">
        <v>2.2</v>
      </c>
      <c r="H3407" t="n">
        <v>0</v>
      </c>
      <c r="I3407" t="n">
        <v>0</v>
      </c>
      <c r="J3407" t="n">
        <v>0</v>
      </c>
      <c r="K3407" t="n">
        <v>0</v>
      </c>
      <c r="L3407" t="n">
        <v>0</v>
      </c>
      <c r="M3407" t="n">
        <v>0</v>
      </c>
      <c r="N3407" t="n">
        <v>0</v>
      </c>
      <c r="O3407" t="n">
        <v>0</v>
      </c>
      <c r="P3407" t="n">
        <v>0</v>
      </c>
      <c r="Q3407" t="n">
        <v>0</v>
      </c>
      <c r="R3407" s="2" t="inlineStr"/>
    </row>
    <row r="3408" ht="15" customHeight="1">
      <c r="A3408" t="inlineStr">
        <is>
          <t>A 62406-2020</t>
        </is>
      </c>
      <c r="B3408" s="1" t="n">
        <v>44159</v>
      </c>
      <c r="C3408" s="1" t="n">
        <v>45182</v>
      </c>
      <c r="D3408" t="inlineStr">
        <is>
          <t>JÄMTLANDS LÄN</t>
        </is>
      </c>
      <c r="E3408" t="inlineStr">
        <is>
          <t>KROKOM</t>
        </is>
      </c>
      <c r="G3408" t="n">
        <v>4</v>
      </c>
      <c r="H3408" t="n">
        <v>0</v>
      </c>
      <c r="I3408" t="n">
        <v>0</v>
      </c>
      <c r="J3408" t="n">
        <v>0</v>
      </c>
      <c r="K3408" t="n">
        <v>0</v>
      </c>
      <c r="L3408" t="n">
        <v>0</v>
      </c>
      <c r="M3408" t="n">
        <v>0</v>
      </c>
      <c r="N3408" t="n">
        <v>0</v>
      </c>
      <c r="O3408" t="n">
        <v>0</v>
      </c>
      <c r="P3408" t="n">
        <v>0</v>
      </c>
      <c r="Q3408" t="n">
        <v>0</v>
      </c>
      <c r="R3408" s="2" t="inlineStr"/>
    </row>
    <row r="3409" ht="15" customHeight="1">
      <c r="A3409" t="inlineStr">
        <is>
          <t>A 62490-2020</t>
        </is>
      </c>
      <c r="B3409" s="1" t="n">
        <v>44160</v>
      </c>
      <c r="C3409" s="1" t="n">
        <v>45182</v>
      </c>
      <c r="D3409" t="inlineStr">
        <is>
          <t>JÄMTLANDS LÄN</t>
        </is>
      </c>
      <c r="E3409" t="inlineStr">
        <is>
          <t>BERG</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62494-2020</t>
        </is>
      </c>
      <c r="B3410" s="1" t="n">
        <v>44160</v>
      </c>
      <c r="C3410" s="1" t="n">
        <v>45182</v>
      </c>
      <c r="D3410" t="inlineStr">
        <is>
          <t>JÄMTLANDS LÄN</t>
        </is>
      </c>
      <c r="E3410" t="inlineStr">
        <is>
          <t>BERG</t>
        </is>
      </c>
      <c r="G3410" t="n">
        <v>7.5</v>
      </c>
      <c r="H3410" t="n">
        <v>0</v>
      </c>
      <c r="I3410" t="n">
        <v>0</v>
      </c>
      <c r="J3410" t="n">
        <v>0</v>
      </c>
      <c r="K3410" t="n">
        <v>0</v>
      </c>
      <c r="L3410" t="n">
        <v>0</v>
      </c>
      <c r="M3410" t="n">
        <v>0</v>
      </c>
      <c r="N3410" t="n">
        <v>0</v>
      </c>
      <c r="O3410" t="n">
        <v>0</v>
      </c>
      <c r="P3410" t="n">
        <v>0</v>
      </c>
      <c r="Q3410" t="n">
        <v>0</v>
      </c>
      <c r="R3410" s="2" t="inlineStr"/>
    </row>
    <row r="3411" ht="15" customHeight="1">
      <c r="A3411" t="inlineStr">
        <is>
          <t>A 62503-2020</t>
        </is>
      </c>
      <c r="B3411" s="1" t="n">
        <v>44160</v>
      </c>
      <c r="C3411" s="1" t="n">
        <v>45182</v>
      </c>
      <c r="D3411" t="inlineStr">
        <is>
          <t>JÄMTLANDS LÄN</t>
        </is>
      </c>
      <c r="E3411" t="inlineStr">
        <is>
          <t>STRÖMSUND</t>
        </is>
      </c>
      <c r="G3411" t="n">
        <v>7.9</v>
      </c>
      <c r="H3411" t="n">
        <v>0</v>
      </c>
      <c r="I3411" t="n">
        <v>0</v>
      </c>
      <c r="J3411" t="n">
        <v>0</v>
      </c>
      <c r="K3411" t="n">
        <v>0</v>
      </c>
      <c r="L3411" t="n">
        <v>0</v>
      </c>
      <c r="M3411" t="n">
        <v>0</v>
      </c>
      <c r="N3411" t="n">
        <v>0</v>
      </c>
      <c r="O3411" t="n">
        <v>0</v>
      </c>
      <c r="P3411" t="n">
        <v>0</v>
      </c>
      <c r="Q3411" t="n">
        <v>0</v>
      </c>
      <c r="R3411" s="2" t="inlineStr"/>
    </row>
    <row r="3412" ht="15" customHeight="1">
      <c r="A3412" t="inlineStr">
        <is>
          <t>A 62871-2020</t>
        </is>
      </c>
      <c r="B3412" s="1" t="n">
        <v>44161</v>
      </c>
      <c r="C3412" s="1" t="n">
        <v>45182</v>
      </c>
      <c r="D3412" t="inlineStr">
        <is>
          <t>JÄMTLANDS LÄN</t>
        </is>
      </c>
      <c r="E3412" t="inlineStr">
        <is>
          <t>BRÄCKE</t>
        </is>
      </c>
      <c r="F3412" t="inlineStr">
        <is>
          <t>SCA</t>
        </is>
      </c>
      <c r="G3412" t="n">
        <v>1.7</v>
      </c>
      <c r="H3412" t="n">
        <v>0</v>
      </c>
      <c r="I3412" t="n">
        <v>0</v>
      </c>
      <c r="J3412" t="n">
        <v>0</v>
      </c>
      <c r="K3412" t="n">
        <v>0</v>
      </c>
      <c r="L3412" t="n">
        <v>0</v>
      </c>
      <c r="M3412" t="n">
        <v>0</v>
      </c>
      <c r="N3412" t="n">
        <v>0</v>
      </c>
      <c r="O3412" t="n">
        <v>0</v>
      </c>
      <c r="P3412" t="n">
        <v>0</v>
      </c>
      <c r="Q3412" t="n">
        <v>0</v>
      </c>
      <c r="R3412" s="2" t="inlineStr"/>
    </row>
    <row r="3413" ht="15" customHeight="1">
      <c r="A3413" t="inlineStr">
        <is>
          <t>A 63699-2020</t>
        </is>
      </c>
      <c r="B3413" s="1" t="n">
        <v>44161</v>
      </c>
      <c r="C3413" s="1" t="n">
        <v>45182</v>
      </c>
      <c r="D3413" t="inlineStr">
        <is>
          <t>JÄMTLANDS LÄN</t>
        </is>
      </c>
      <c r="E3413" t="inlineStr">
        <is>
          <t>STRÖMSUND</t>
        </is>
      </c>
      <c r="G3413" t="n">
        <v>1.1</v>
      </c>
      <c r="H3413" t="n">
        <v>0</v>
      </c>
      <c r="I3413" t="n">
        <v>0</v>
      </c>
      <c r="J3413" t="n">
        <v>0</v>
      </c>
      <c r="K3413" t="n">
        <v>0</v>
      </c>
      <c r="L3413" t="n">
        <v>0</v>
      </c>
      <c r="M3413" t="n">
        <v>0</v>
      </c>
      <c r="N3413" t="n">
        <v>0</v>
      </c>
      <c r="O3413" t="n">
        <v>0</v>
      </c>
      <c r="P3413" t="n">
        <v>0</v>
      </c>
      <c r="Q3413" t="n">
        <v>0</v>
      </c>
      <c r="R3413" s="2" t="inlineStr"/>
    </row>
    <row r="3414" ht="15" customHeight="1">
      <c r="A3414" t="inlineStr">
        <is>
          <t>A 63692-2020</t>
        </is>
      </c>
      <c r="B3414" s="1" t="n">
        <v>44161</v>
      </c>
      <c r="C3414" s="1" t="n">
        <v>45182</v>
      </c>
      <c r="D3414" t="inlineStr">
        <is>
          <t>JÄMTLANDS LÄN</t>
        </is>
      </c>
      <c r="E3414" t="inlineStr">
        <is>
          <t>STRÖMSUND</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62788-2020</t>
        </is>
      </c>
      <c r="B3415" s="1" t="n">
        <v>44161</v>
      </c>
      <c r="C3415" s="1" t="n">
        <v>45182</v>
      </c>
      <c r="D3415" t="inlineStr">
        <is>
          <t>JÄMTLANDS LÄN</t>
        </is>
      </c>
      <c r="E3415" t="inlineStr">
        <is>
          <t>ÅRE</t>
        </is>
      </c>
      <c r="F3415" t="inlineStr">
        <is>
          <t>Övriga Aktiebolag</t>
        </is>
      </c>
      <c r="G3415" t="n">
        <v>15.1</v>
      </c>
      <c r="H3415" t="n">
        <v>0</v>
      </c>
      <c r="I3415" t="n">
        <v>0</v>
      </c>
      <c r="J3415" t="n">
        <v>0</v>
      </c>
      <c r="K3415" t="n">
        <v>0</v>
      </c>
      <c r="L3415" t="n">
        <v>0</v>
      </c>
      <c r="M3415" t="n">
        <v>0</v>
      </c>
      <c r="N3415" t="n">
        <v>0</v>
      </c>
      <c r="O3415" t="n">
        <v>0</v>
      </c>
      <c r="P3415" t="n">
        <v>0</v>
      </c>
      <c r="Q3415" t="n">
        <v>0</v>
      </c>
      <c r="R3415" s="2" t="inlineStr"/>
    </row>
    <row r="3416" ht="15" customHeight="1">
      <c r="A3416" t="inlineStr">
        <is>
          <t>A 63821-2020</t>
        </is>
      </c>
      <c r="B3416" s="1" t="n">
        <v>44161</v>
      </c>
      <c r="C3416" s="1" t="n">
        <v>45182</v>
      </c>
      <c r="D3416" t="inlineStr">
        <is>
          <t>JÄMTLANDS LÄN</t>
        </is>
      </c>
      <c r="E3416" t="inlineStr">
        <is>
          <t>KROKOM</t>
        </is>
      </c>
      <c r="G3416" t="n">
        <v>6.8</v>
      </c>
      <c r="H3416" t="n">
        <v>0</v>
      </c>
      <c r="I3416" t="n">
        <v>0</v>
      </c>
      <c r="J3416" t="n">
        <v>0</v>
      </c>
      <c r="K3416" t="n">
        <v>0</v>
      </c>
      <c r="L3416" t="n">
        <v>0</v>
      </c>
      <c r="M3416" t="n">
        <v>0</v>
      </c>
      <c r="N3416" t="n">
        <v>0</v>
      </c>
      <c r="O3416" t="n">
        <v>0</v>
      </c>
      <c r="P3416" t="n">
        <v>0</v>
      </c>
      <c r="Q3416" t="n">
        <v>0</v>
      </c>
      <c r="R3416" s="2" t="inlineStr"/>
    </row>
    <row r="3417" ht="15" customHeight="1">
      <c r="A3417" t="inlineStr">
        <is>
          <t>A 63701-2020</t>
        </is>
      </c>
      <c r="B3417" s="1" t="n">
        <v>44162</v>
      </c>
      <c r="C3417" s="1" t="n">
        <v>45182</v>
      </c>
      <c r="D3417" t="inlineStr">
        <is>
          <t>JÄMTLANDS LÄN</t>
        </is>
      </c>
      <c r="E3417" t="inlineStr">
        <is>
          <t>KROKOM</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62970-2020</t>
        </is>
      </c>
      <c r="B3418" s="1" t="n">
        <v>44162</v>
      </c>
      <c r="C3418" s="1" t="n">
        <v>45182</v>
      </c>
      <c r="D3418" t="inlineStr">
        <is>
          <t>JÄMTLANDS LÄN</t>
        </is>
      </c>
      <c r="E3418" t="inlineStr">
        <is>
          <t>BRÄCKE</t>
        </is>
      </c>
      <c r="G3418" t="n">
        <v>2.4</v>
      </c>
      <c r="H3418" t="n">
        <v>0</v>
      </c>
      <c r="I3418" t="n">
        <v>0</v>
      </c>
      <c r="J3418" t="n">
        <v>0</v>
      </c>
      <c r="K3418" t="n">
        <v>0</v>
      </c>
      <c r="L3418" t="n">
        <v>0</v>
      </c>
      <c r="M3418" t="n">
        <v>0</v>
      </c>
      <c r="N3418" t="n">
        <v>0</v>
      </c>
      <c r="O3418" t="n">
        <v>0</v>
      </c>
      <c r="P3418" t="n">
        <v>0</v>
      </c>
      <c r="Q3418" t="n">
        <v>0</v>
      </c>
      <c r="R3418" s="2" t="inlineStr"/>
    </row>
    <row r="3419" ht="15" customHeight="1">
      <c r="A3419" t="inlineStr">
        <is>
          <t>A 63678-2020</t>
        </is>
      </c>
      <c r="B3419" s="1" t="n">
        <v>44162</v>
      </c>
      <c r="C3419" s="1" t="n">
        <v>45182</v>
      </c>
      <c r="D3419" t="inlineStr">
        <is>
          <t>JÄMTLANDS LÄN</t>
        </is>
      </c>
      <c r="E3419" t="inlineStr">
        <is>
          <t>STRÖMSUND</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63787-2020</t>
        </is>
      </c>
      <c r="B3420" s="1" t="n">
        <v>44162</v>
      </c>
      <c r="C3420" s="1" t="n">
        <v>45182</v>
      </c>
      <c r="D3420" t="inlineStr">
        <is>
          <t>JÄMTLANDS LÄN</t>
        </is>
      </c>
      <c r="E3420" t="inlineStr">
        <is>
          <t>KROKOM</t>
        </is>
      </c>
      <c r="G3420" t="n">
        <v>60.3</v>
      </c>
      <c r="H3420" t="n">
        <v>0</v>
      </c>
      <c r="I3420" t="n">
        <v>0</v>
      </c>
      <c r="J3420" t="n">
        <v>0</v>
      </c>
      <c r="K3420" t="n">
        <v>0</v>
      </c>
      <c r="L3420" t="n">
        <v>0</v>
      </c>
      <c r="M3420" t="n">
        <v>0</v>
      </c>
      <c r="N3420" t="n">
        <v>0</v>
      </c>
      <c r="O3420" t="n">
        <v>0</v>
      </c>
      <c r="P3420" t="n">
        <v>0</v>
      </c>
      <c r="Q3420" t="n">
        <v>0</v>
      </c>
      <c r="R3420" s="2" t="inlineStr"/>
    </row>
    <row r="3421" ht="15" customHeight="1">
      <c r="A3421" t="inlineStr">
        <is>
          <t>A 64124-2020</t>
        </is>
      </c>
      <c r="B3421" s="1" t="n">
        <v>44165</v>
      </c>
      <c r="C3421" s="1" t="n">
        <v>45182</v>
      </c>
      <c r="D3421" t="inlineStr">
        <is>
          <t>JÄMTLANDS LÄN</t>
        </is>
      </c>
      <c r="E3421" t="inlineStr">
        <is>
          <t>STRÖMSUND</t>
        </is>
      </c>
      <c r="G3421" t="n">
        <v>1.6</v>
      </c>
      <c r="H3421" t="n">
        <v>0</v>
      </c>
      <c r="I3421" t="n">
        <v>0</v>
      </c>
      <c r="J3421" t="n">
        <v>0</v>
      </c>
      <c r="K3421" t="n">
        <v>0</v>
      </c>
      <c r="L3421" t="n">
        <v>0</v>
      </c>
      <c r="M3421" t="n">
        <v>0</v>
      </c>
      <c r="N3421" t="n">
        <v>0</v>
      </c>
      <c r="O3421" t="n">
        <v>0</v>
      </c>
      <c r="P3421" t="n">
        <v>0</v>
      </c>
      <c r="Q3421" t="n">
        <v>0</v>
      </c>
      <c r="R3421" s="2" t="inlineStr"/>
    </row>
    <row r="3422" ht="15" customHeight="1">
      <c r="A3422" t="inlineStr">
        <is>
          <t>A 65110-2020</t>
        </is>
      </c>
      <c r="B3422" s="1" t="n">
        <v>44165</v>
      </c>
      <c r="C3422" s="1" t="n">
        <v>45182</v>
      </c>
      <c r="D3422" t="inlineStr">
        <is>
          <t>JÄMTLANDS LÄN</t>
        </is>
      </c>
      <c r="E3422" t="inlineStr">
        <is>
          <t>STRÖMSUND</t>
        </is>
      </c>
      <c r="G3422" t="n">
        <v>6.8</v>
      </c>
      <c r="H3422" t="n">
        <v>0</v>
      </c>
      <c r="I3422" t="n">
        <v>0</v>
      </c>
      <c r="J3422" t="n">
        <v>0</v>
      </c>
      <c r="K3422" t="n">
        <v>0</v>
      </c>
      <c r="L3422" t="n">
        <v>0</v>
      </c>
      <c r="M3422" t="n">
        <v>0</v>
      </c>
      <c r="N3422" t="n">
        <v>0</v>
      </c>
      <c r="O3422" t="n">
        <v>0</v>
      </c>
      <c r="P3422" t="n">
        <v>0</v>
      </c>
      <c r="Q3422" t="n">
        <v>0</v>
      </c>
      <c r="R3422" s="2" t="inlineStr"/>
    </row>
    <row r="3423" ht="15" customHeight="1">
      <c r="A3423" t="inlineStr">
        <is>
          <t>A 63606-2020</t>
        </is>
      </c>
      <c r="B3423" s="1" t="n">
        <v>44165</v>
      </c>
      <c r="C3423" s="1" t="n">
        <v>45182</v>
      </c>
      <c r="D3423" t="inlineStr">
        <is>
          <t>JÄMTLANDS LÄN</t>
        </is>
      </c>
      <c r="E3423" t="inlineStr">
        <is>
          <t>RAGUNDA</t>
        </is>
      </c>
      <c r="F3423" t="inlineStr">
        <is>
          <t>SCA</t>
        </is>
      </c>
      <c r="G3423" t="n">
        <v>3.3</v>
      </c>
      <c r="H3423" t="n">
        <v>0</v>
      </c>
      <c r="I3423" t="n">
        <v>0</v>
      </c>
      <c r="J3423" t="n">
        <v>0</v>
      </c>
      <c r="K3423" t="n">
        <v>0</v>
      </c>
      <c r="L3423" t="n">
        <v>0</v>
      </c>
      <c r="M3423" t="n">
        <v>0</v>
      </c>
      <c r="N3423" t="n">
        <v>0</v>
      </c>
      <c r="O3423" t="n">
        <v>0</v>
      </c>
      <c r="P3423" t="n">
        <v>0</v>
      </c>
      <c r="Q3423" t="n">
        <v>0</v>
      </c>
      <c r="R3423" s="2" t="inlineStr"/>
    </row>
    <row r="3424" ht="15" customHeight="1">
      <c r="A3424" t="inlineStr">
        <is>
          <t>A 65115-2020</t>
        </is>
      </c>
      <c r="B3424" s="1" t="n">
        <v>44165</v>
      </c>
      <c r="C3424" s="1" t="n">
        <v>45182</v>
      </c>
      <c r="D3424" t="inlineStr">
        <is>
          <t>JÄMTLANDS LÄN</t>
        </is>
      </c>
      <c r="E3424" t="inlineStr">
        <is>
          <t>STRÖMSUND</t>
        </is>
      </c>
      <c r="G3424" t="n">
        <v>3.6</v>
      </c>
      <c r="H3424" t="n">
        <v>0</v>
      </c>
      <c r="I3424" t="n">
        <v>0</v>
      </c>
      <c r="J3424" t="n">
        <v>0</v>
      </c>
      <c r="K3424" t="n">
        <v>0</v>
      </c>
      <c r="L3424" t="n">
        <v>0</v>
      </c>
      <c r="M3424" t="n">
        <v>0</v>
      </c>
      <c r="N3424" t="n">
        <v>0</v>
      </c>
      <c r="O3424" t="n">
        <v>0</v>
      </c>
      <c r="P3424" t="n">
        <v>0</v>
      </c>
      <c r="Q3424" t="n">
        <v>0</v>
      </c>
      <c r="R3424" s="2" t="inlineStr"/>
    </row>
    <row r="3425" ht="15" customHeight="1">
      <c r="A3425" t="inlineStr">
        <is>
          <t>A 65076-2020</t>
        </is>
      </c>
      <c r="B3425" s="1" t="n">
        <v>44165</v>
      </c>
      <c r="C3425" s="1" t="n">
        <v>45182</v>
      </c>
      <c r="D3425" t="inlineStr">
        <is>
          <t>JÄMTLANDS LÄN</t>
        </is>
      </c>
      <c r="E3425" t="inlineStr">
        <is>
          <t>STRÖMSUND</t>
        </is>
      </c>
      <c r="G3425" t="n">
        <v>20.3</v>
      </c>
      <c r="H3425" t="n">
        <v>0</v>
      </c>
      <c r="I3425" t="n">
        <v>0</v>
      </c>
      <c r="J3425" t="n">
        <v>0</v>
      </c>
      <c r="K3425" t="n">
        <v>0</v>
      </c>
      <c r="L3425" t="n">
        <v>0</v>
      </c>
      <c r="M3425" t="n">
        <v>0</v>
      </c>
      <c r="N3425" t="n">
        <v>0</v>
      </c>
      <c r="O3425" t="n">
        <v>0</v>
      </c>
      <c r="P3425" t="n">
        <v>0</v>
      </c>
      <c r="Q3425" t="n">
        <v>0</v>
      </c>
      <c r="R3425" s="2" t="inlineStr"/>
    </row>
    <row r="3426" ht="15" customHeight="1">
      <c r="A3426" t="inlineStr">
        <is>
          <t>A 63522-2020</t>
        </is>
      </c>
      <c r="B3426" s="1" t="n">
        <v>44165</v>
      </c>
      <c r="C3426" s="1" t="n">
        <v>45182</v>
      </c>
      <c r="D3426" t="inlineStr">
        <is>
          <t>JÄMTLANDS LÄN</t>
        </is>
      </c>
      <c r="E3426" t="inlineStr">
        <is>
          <t>BERG</t>
        </is>
      </c>
      <c r="G3426" t="n">
        <v>2.4</v>
      </c>
      <c r="H3426" t="n">
        <v>0</v>
      </c>
      <c r="I3426" t="n">
        <v>0</v>
      </c>
      <c r="J3426" t="n">
        <v>0</v>
      </c>
      <c r="K3426" t="n">
        <v>0</v>
      </c>
      <c r="L3426" t="n">
        <v>0</v>
      </c>
      <c r="M3426" t="n">
        <v>0</v>
      </c>
      <c r="N3426" t="n">
        <v>0</v>
      </c>
      <c r="O3426" t="n">
        <v>0</v>
      </c>
      <c r="P3426" t="n">
        <v>0</v>
      </c>
      <c r="Q3426" t="n">
        <v>0</v>
      </c>
      <c r="R3426" s="2" t="inlineStr"/>
    </row>
    <row r="3427" ht="15" customHeight="1">
      <c r="A3427" t="inlineStr">
        <is>
          <t>A 63567-2020</t>
        </is>
      </c>
      <c r="B3427" s="1" t="n">
        <v>44165</v>
      </c>
      <c r="C3427" s="1" t="n">
        <v>45182</v>
      </c>
      <c r="D3427" t="inlineStr">
        <is>
          <t>JÄMTLANDS LÄN</t>
        </is>
      </c>
      <c r="E3427" t="inlineStr">
        <is>
          <t>STRÖMSUND</t>
        </is>
      </c>
      <c r="G3427" t="n">
        <v>14.4</v>
      </c>
      <c r="H3427" t="n">
        <v>0</v>
      </c>
      <c r="I3427" t="n">
        <v>0</v>
      </c>
      <c r="J3427" t="n">
        <v>0</v>
      </c>
      <c r="K3427" t="n">
        <v>0</v>
      </c>
      <c r="L3427" t="n">
        <v>0</v>
      </c>
      <c r="M3427" t="n">
        <v>0</v>
      </c>
      <c r="N3427" t="n">
        <v>0</v>
      </c>
      <c r="O3427" t="n">
        <v>0</v>
      </c>
      <c r="P3427" t="n">
        <v>0</v>
      </c>
      <c r="Q3427" t="n">
        <v>0</v>
      </c>
      <c r="R3427" s="2" t="inlineStr"/>
    </row>
    <row r="3428" ht="15" customHeight="1">
      <c r="A3428" t="inlineStr">
        <is>
          <t>A 65078-2020</t>
        </is>
      </c>
      <c r="B3428" s="1" t="n">
        <v>44165</v>
      </c>
      <c r="C3428" s="1" t="n">
        <v>45182</v>
      </c>
      <c r="D3428" t="inlineStr">
        <is>
          <t>JÄMTLANDS LÄN</t>
        </is>
      </c>
      <c r="E3428" t="inlineStr">
        <is>
          <t>STRÖMSUND</t>
        </is>
      </c>
      <c r="G3428" t="n">
        <v>3.4</v>
      </c>
      <c r="H3428" t="n">
        <v>0</v>
      </c>
      <c r="I3428" t="n">
        <v>0</v>
      </c>
      <c r="J3428" t="n">
        <v>0</v>
      </c>
      <c r="K3428" t="n">
        <v>0</v>
      </c>
      <c r="L3428" t="n">
        <v>0</v>
      </c>
      <c r="M3428" t="n">
        <v>0</v>
      </c>
      <c r="N3428" t="n">
        <v>0</v>
      </c>
      <c r="O3428" t="n">
        <v>0</v>
      </c>
      <c r="P3428" t="n">
        <v>0</v>
      </c>
      <c r="Q3428" t="n">
        <v>0</v>
      </c>
      <c r="R3428" s="2" t="inlineStr"/>
    </row>
    <row r="3429" ht="15" customHeight="1">
      <c r="A3429" t="inlineStr">
        <is>
          <t>A 63755-2020</t>
        </is>
      </c>
      <c r="B3429" s="1" t="n">
        <v>44166</v>
      </c>
      <c r="C3429" s="1" t="n">
        <v>45182</v>
      </c>
      <c r="D3429" t="inlineStr">
        <is>
          <t>JÄMTLANDS LÄN</t>
        </is>
      </c>
      <c r="E3429" t="inlineStr">
        <is>
          <t>STRÖMSUND</t>
        </is>
      </c>
      <c r="G3429" t="n">
        <v>0.7</v>
      </c>
      <c r="H3429" t="n">
        <v>0</v>
      </c>
      <c r="I3429" t="n">
        <v>0</v>
      </c>
      <c r="J3429" t="n">
        <v>0</v>
      </c>
      <c r="K3429" t="n">
        <v>0</v>
      </c>
      <c r="L3429" t="n">
        <v>0</v>
      </c>
      <c r="M3429" t="n">
        <v>0</v>
      </c>
      <c r="N3429" t="n">
        <v>0</v>
      </c>
      <c r="O3429" t="n">
        <v>0</v>
      </c>
      <c r="P3429" t="n">
        <v>0</v>
      </c>
      <c r="Q3429" t="n">
        <v>0</v>
      </c>
      <c r="R3429" s="2" t="inlineStr"/>
    </row>
    <row r="3430" ht="15" customHeight="1">
      <c r="A3430" t="inlineStr">
        <is>
          <t>A 64281-2020</t>
        </is>
      </c>
      <c r="B3430" s="1" t="n">
        <v>44166</v>
      </c>
      <c r="C3430" s="1" t="n">
        <v>45182</v>
      </c>
      <c r="D3430" t="inlineStr">
        <is>
          <t>JÄMTLANDS LÄN</t>
        </is>
      </c>
      <c r="E3430" t="inlineStr">
        <is>
          <t>HÄRJEDALEN</t>
        </is>
      </c>
      <c r="F3430" t="inlineStr">
        <is>
          <t>Övriga statliga verk och myndigheter</t>
        </is>
      </c>
      <c r="G3430" t="n">
        <v>4.1</v>
      </c>
      <c r="H3430" t="n">
        <v>0</v>
      </c>
      <c r="I3430" t="n">
        <v>0</v>
      </c>
      <c r="J3430" t="n">
        <v>0</v>
      </c>
      <c r="K3430" t="n">
        <v>0</v>
      </c>
      <c r="L3430" t="n">
        <v>0</v>
      </c>
      <c r="M3430" t="n">
        <v>0</v>
      </c>
      <c r="N3430" t="n">
        <v>0</v>
      </c>
      <c r="O3430" t="n">
        <v>0</v>
      </c>
      <c r="P3430" t="n">
        <v>0</v>
      </c>
      <c r="Q3430" t="n">
        <v>0</v>
      </c>
      <c r="R3430" s="2" t="inlineStr"/>
    </row>
    <row r="3431" ht="15" customHeight="1">
      <c r="A3431" t="inlineStr">
        <is>
          <t>A 64300-2020</t>
        </is>
      </c>
      <c r="B3431" s="1" t="n">
        <v>44166</v>
      </c>
      <c r="C3431" s="1" t="n">
        <v>45182</v>
      </c>
      <c r="D3431" t="inlineStr">
        <is>
          <t>JÄMTLANDS LÄN</t>
        </is>
      </c>
      <c r="E3431" t="inlineStr">
        <is>
          <t>HÄRJEDALEN</t>
        </is>
      </c>
      <c r="F3431" t="inlineStr">
        <is>
          <t>Övriga statliga verk och myndigheter</t>
        </is>
      </c>
      <c r="G3431" t="n">
        <v>58</v>
      </c>
      <c r="H3431" t="n">
        <v>0</v>
      </c>
      <c r="I3431" t="n">
        <v>0</v>
      </c>
      <c r="J3431" t="n">
        <v>0</v>
      </c>
      <c r="K3431" t="n">
        <v>0</v>
      </c>
      <c r="L3431" t="n">
        <v>0</v>
      </c>
      <c r="M3431" t="n">
        <v>0</v>
      </c>
      <c r="N3431" t="n">
        <v>0</v>
      </c>
      <c r="O3431" t="n">
        <v>0</v>
      </c>
      <c r="P3431" t="n">
        <v>0</v>
      </c>
      <c r="Q3431" t="n">
        <v>0</v>
      </c>
      <c r="R3431" s="2" t="inlineStr"/>
    </row>
    <row r="3432" ht="15" customHeight="1">
      <c r="A3432" t="inlineStr">
        <is>
          <t>A 63979-2020</t>
        </is>
      </c>
      <c r="B3432" s="1" t="n">
        <v>44167</v>
      </c>
      <c r="C3432" s="1" t="n">
        <v>45182</v>
      </c>
      <c r="D3432" t="inlineStr">
        <is>
          <t>JÄMTLANDS LÄN</t>
        </is>
      </c>
      <c r="E3432" t="inlineStr">
        <is>
          <t>HÄRJEDALEN</t>
        </is>
      </c>
      <c r="G3432" t="n">
        <v>10</v>
      </c>
      <c r="H3432" t="n">
        <v>0</v>
      </c>
      <c r="I3432" t="n">
        <v>0</v>
      </c>
      <c r="J3432" t="n">
        <v>0</v>
      </c>
      <c r="K3432" t="n">
        <v>0</v>
      </c>
      <c r="L3432" t="n">
        <v>0</v>
      </c>
      <c r="M3432" t="n">
        <v>0</v>
      </c>
      <c r="N3432" t="n">
        <v>0</v>
      </c>
      <c r="O3432" t="n">
        <v>0</v>
      </c>
      <c r="P3432" t="n">
        <v>0</v>
      </c>
      <c r="Q3432" t="n">
        <v>0</v>
      </c>
      <c r="R3432" s="2" t="inlineStr"/>
    </row>
    <row r="3433" ht="15" customHeight="1">
      <c r="A3433" t="inlineStr">
        <is>
          <t>A 64777-2020</t>
        </is>
      </c>
      <c r="B3433" s="1" t="n">
        <v>44167</v>
      </c>
      <c r="C3433" s="1" t="n">
        <v>45182</v>
      </c>
      <c r="D3433" t="inlineStr">
        <is>
          <t>JÄMTLANDS LÄN</t>
        </is>
      </c>
      <c r="E3433" t="inlineStr">
        <is>
          <t>KROKOM</t>
        </is>
      </c>
      <c r="G3433" t="n">
        <v>1.6</v>
      </c>
      <c r="H3433" t="n">
        <v>0</v>
      </c>
      <c r="I3433" t="n">
        <v>0</v>
      </c>
      <c r="J3433" t="n">
        <v>0</v>
      </c>
      <c r="K3433" t="n">
        <v>0</v>
      </c>
      <c r="L3433" t="n">
        <v>0</v>
      </c>
      <c r="M3433" t="n">
        <v>0</v>
      </c>
      <c r="N3433" t="n">
        <v>0</v>
      </c>
      <c r="O3433" t="n">
        <v>0</v>
      </c>
      <c r="P3433" t="n">
        <v>0</v>
      </c>
      <c r="Q3433" t="n">
        <v>0</v>
      </c>
      <c r="R3433" s="2" t="inlineStr"/>
    </row>
    <row r="3434" ht="15" customHeight="1">
      <c r="A3434" t="inlineStr">
        <is>
          <t>A 64186-2020</t>
        </is>
      </c>
      <c r="B3434" s="1" t="n">
        <v>44167</v>
      </c>
      <c r="C3434" s="1" t="n">
        <v>45182</v>
      </c>
      <c r="D3434" t="inlineStr">
        <is>
          <t>JÄMTLANDS LÄN</t>
        </is>
      </c>
      <c r="E3434" t="inlineStr">
        <is>
          <t>STRÖMSUND</t>
        </is>
      </c>
      <c r="F3434" t="inlineStr">
        <is>
          <t>SCA</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63949-2020</t>
        </is>
      </c>
      <c r="B3435" s="1" t="n">
        <v>44167</v>
      </c>
      <c r="C3435" s="1" t="n">
        <v>45182</v>
      </c>
      <c r="D3435" t="inlineStr">
        <is>
          <t>JÄMTLANDS LÄN</t>
        </is>
      </c>
      <c r="E3435" t="inlineStr">
        <is>
          <t>HÄRJEDALEN</t>
        </is>
      </c>
      <c r="F3435" t="inlineStr">
        <is>
          <t>Bergvik skog väst AB</t>
        </is>
      </c>
      <c r="G3435" t="n">
        <v>10.8</v>
      </c>
      <c r="H3435" t="n">
        <v>0</v>
      </c>
      <c r="I3435" t="n">
        <v>0</v>
      </c>
      <c r="J3435" t="n">
        <v>0</v>
      </c>
      <c r="K3435" t="n">
        <v>0</v>
      </c>
      <c r="L3435" t="n">
        <v>0</v>
      </c>
      <c r="M3435" t="n">
        <v>0</v>
      </c>
      <c r="N3435" t="n">
        <v>0</v>
      </c>
      <c r="O3435" t="n">
        <v>0</v>
      </c>
      <c r="P3435" t="n">
        <v>0</v>
      </c>
      <c r="Q3435" t="n">
        <v>0</v>
      </c>
      <c r="R3435" s="2" t="inlineStr"/>
    </row>
    <row r="3436" ht="15" customHeight="1">
      <c r="A3436" t="inlineStr">
        <is>
          <t>A 64187-2020</t>
        </is>
      </c>
      <c r="B3436" s="1" t="n">
        <v>44167</v>
      </c>
      <c r="C3436" s="1" t="n">
        <v>45182</v>
      </c>
      <c r="D3436" t="inlineStr">
        <is>
          <t>JÄMTLANDS LÄN</t>
        </is>
      </c>
      <c r="E3436" t="inlineStr">
        <is>
          <t>RAGUNDA</t>
        </is>
      </c>
      <c r="F3436" t="inlineStr">
        <is>
          <t>SCA</t>
        </is>
      </c>
      <c r="G3436" t="n">
        <v>7.8</v>
      </c>
      <c r="H3436" t="n">
        <v>0</v>
      </c>
      <c r="I3436" t="n">
        <v>0</v>
      </c>
      <c r="J3436" t="n">
        <v>0</v>
      </c>
      <c r="K3436" t="n">
        <v>0</v>
      </c>
      <c r="L3436" t="n">
        <v>0</v>
      </c>
      <c r="M3436" t="n">
        <v>0</v>
      </c>
      <c r="N3436" t="n">
        <v>0</v>
      </c>
      <c r="O3436" t="n">
        <v>0</v>
      </c>
      <c r="P3436" t="n">
        <v>0</v>
      </c>
      <c r="Q3436" t="n">
        <v>0</v>
      </c>
      <c r="R3436" s="2" t="inlineStr"/>
    </row>
    <row r="3437" ht="15" customHeight="1">
      <c r="A3437" t="inlineStr">
        <is>
          <t>A 64494-2020</t>
        </is>
      </c>
      <c r="B3437" s="1" t="n">
        <v>44168</v>
      </c>
      <c r="C3437" s="1" t="n">
        <v>45182</v>
      </c>
      <c r="D3437" t="inlineStr">
        <is>
          <t>JÄMTLANDS LÄN</t>
        </is>
      </c>
      <c r="E3437" t="inlineStr">
        <is>
          <t>BRÄCKE</t>
        </is>
      </c>
      <c r="G3437" t="n">
        <v>4.4</v>
      </c>
      <c r="H3437" t="n">
        <v>0</v>
      </c>
      <c r="I3437" t="n">
        <v>0</v>
      </c>
      <c r="J3437" t="n">
        <v>0</v>
      </c>
      <c r="K3437" t="n">
        <v>0</v>
      </c>
      <c r="L3437" t="n">
        <v>0</v>
      </c>
      <c r="M3437" t="n">
        <v>0</v>
      </c>
      <c r="N3437" t="n">
        <v>0</v>
      </c>
      <c r="O3437" t="n">
        <v>0</v>
      </c>
      <c r="P3437" t="n">
        <v>0</v>
      </c>
      <c r="Q3437" t="n">
        <v>0</v>
      </c>
      <c r="R3437" s="2" t="inlineStr"/>
    </row>
    <row r="3438" ht="15" customHeight="1">
      <c r="A3438" t="inlineStr">
        <is>
          <t>A 64490-2020</t>
        </is>
      </c>
      <c r="B3438" s="1" t="n">
        <v>44168</v>
      </c>
      <c r="C3438" s="1" t="n">
        <v>45182</v>
      </c>
      <c r="D3438" t="inlineStr">
        <is>
          <t>JÄMTLANDS LÄN</t>
        </is>
      </c>
      <c r="E3438" t="inlineStr">
        <is>
          <t>BERG</t>
        </is>
      </c>
      <c r="F3438" t="inlineStr">
        <is>
          <t>SCA</t>
        </is>
      </c>
      <c r="G3438" t="n">
        <v>0.4</v>
      </c>
      <c r="H3438" t="n">
        <v>0</v>
      </c>
      <c r="I3438" t="n">
        <v>0</v>
      </c>
      <c r="J3438" t="n">
        <v>0</v>
      </c>
      <c r="K3438" t="n">
        <v>0</v>
      </c>
      <c r="L3438" t="n">
        <v>0</v>
      </c>
      <c r="M3438" t="n">
        <v>0</v>
      </c>
      <c r="N3438" t="n">
        <v>0</v>
      </c>
      <c r="O3438" t="n">
        <v>0</v>
      </c>
      <c r="P3438" t="n">
        <v>0</v>
      </c>
      <c r="Q3438" t="n">
        <v>0</v>
      </c>
      <c r="R3438" s="2" t="inlineStr"/>
    </row>
    <row r="3439" ht="15" customHeight="1">
      <c r="A3439" t="inlineStr">
        <is>
          <t>A 64355-2020</t>
        </is>
      </c>
      <c r="B3439" s="1" t="n">
        <v>44168</v>
      </c>
      <c r="C3439" s="1" t="n">
        <v>45182</v>
      </c>
      <c r="D3439" t="inlineStr">
        <is>
          <t>JÄMTLANDS LÄN</t>
        </is>
      </c>
      <c r="E3439" t="inlineStr">
        <is>
          <t>ÅRE</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64386-2020</t>
        </is>
      </c>
      <c r="B3440" s="1" t="n">
        <v>44168</v>
      </c>
      <c r="C3440" s="1" t="n">
        <v>45182</v>
      </c>
      <c r="D3440" t="inlineStr">
        <is>
          <t>JÄMTLANDS LÄN</t>
        </is>
      </c>
      <c r="E3440" t="inlineStr">
        <is>
          <t>RAGUNDA</t>
        </is>
      </c>
      <c r="G3440" t="n">
        <v>2.5</v>
      </c>
      <c r="H3440" t="n">
        <v>0</v>
      </c>
      <c r="I3440" t="n">
        <v>0</v>
      </c>
      <c r="J3440" t="n">
        <v>0</v>
      </c>
      <c r="K3440" t="n">
        <v>0</v>
      </c>
      <c r="L3440" t="n">
        <v>0</v>
      </c>
      <c r="M3440" t="n">
        <v>0</v>
      </c>
      <c r="N3440" t="n">
        <v>0</v>
      </c>
      <c r="O3440" t="n">
        <v>0</v>
      </c>
      <c r="P3440" t="n">
        <v>0</v>
      </c>
      <c r="Q3440" t="n">
        <v>0</v>
      </c>
      <c r="R3440" s="2" t="inlineStr"/>
    </row>
    <row r="3441" ht="15" customHeight="1">
      <c r="A3441" t="inlineStr">
        <is>
          <t>A 64492-2020</t>
        </is>
      </c>
      <c r="B3441" s="1" t="n">
        <v>44168</v>
      </c>
      <c r="C3441" s="1" t="n">
        <v>45182</v>
      </c>
      <c r="D3441" t="inlineStr">
        <is>
          <t>JÄMTLANDS LÄN</t>
        </is>
      </c>
      <c r="E3441" t="inlineStr">
        <is>
          <t>BERG</t>
        </is>
      </c>
      <c r="F3441" t="inlineStr">
        <is>
          <t>SCA</t>
        </is>
      </c>
      <c r="G3441" t="n">
        <v>2.8</v>
      </c>
      <c r="H3441" t="n">
        <v>0</v>
      </c>
      <c r="I3441" t="n">
        <v>0</v>
      </c>
      <c r="J3441" t="n">
        <v>0</v>
      </c>
      <c r="K3441" t="n">
        <v>0</v>
      </c>
      <c r="L3441" t="n">
        <v>0</v>
      </c>
      <c r="M3441" t="n">
        <v>0</v>
      </c>
      <c r="N3441" t="n">
        <v>0</v>
      </c>
      <c r="O3441" t="n">
        <v>0</v>
      </c>
      <c r="P3441" t="n">
        <v>0</v>
      </c>
      <c r="Q3441" t="n">
        <v>0</v>
      </c>
      <c r="R3441" s="2" t="inlineStr"/>
    </row>
    <row r="3442" ht="15" customHeight="1">
      <c r="A3442" t="inlineStr">
        <is>
          <t>A 64495-2020</t>
        </is>
      </c>
      <c r="B3442" s="1" t="n">
        <v>44168</v>
      </c>
      <c r="C3442" s="1" t="n">
        <v>45182</v>
      </c>
      <c r="D3442" t="inlineStr">
        <is>
          <t>JÄMTLANDS LÄN</t>
        </is>
      </c>
      <c r="E3442" t="inlineStr">
        <is>
          <t>BRÄCKE</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64809-2020</t>
        </is>
      </c>
      <c r="B3443" s="1" t="n">
        <v>44169</v>
      </c>
      <c r="C3443" s="1" t="n">
        <v>45182</v>
      </c>
      <c r="D3443" t="inlineStr">
        <is>
          <t>JÄMTLANDS LÄN</t>
        </is>
      </c>
      <c r="E3443" t="inlineStr">
        <is>
          <t>BRÄCKE</t>
        </is>
      </c>
      <c r="F3443" t="inlineStr">
        <is>
          <t>SCA</t>
        </is>
      </c>
      <c r="G3443" t="n">
        <v>9.800000000000001</v>
      </c>
      <c r="H3443" t="n">
        <v>0</v>
      </c>
      <c r="I3443" t="n">
        <v>0</v>
      </c>
      <c r="J3443" t="n">
        <v>0</v>
      </c>
      <c r="K3443" t="n">
        <v>0</v>
      </c>
      <c r="L3443" t="n">
        <v>0</v>
      </c>
      <c r="M3443" t="n">
        <v>0</v>
      </c>
      <c r="N3443" t="n">
        <v>0</v>
      </c>
      <c r="O3443" t="n">
        <v>0</v>
      </c>
      <c r="P3443" t="n">
        <v>0</v>
      </c>
      <c r="Q3443" t="n">
        <v>0</v>
      </c>
      <c r="R3443" s="2" t="inlineStr"/>
    </row>
    <row r="3444" ht="15" customHeight="1">
      <c r="A3444" t="inlineStr">
        <is>
          <t>A 65433-2020</t>
        </is>
      </c>
      <c r="B3444" s="1" t="n">
        <v>44169</v>
      </c>
      <c r="C3444" s="1" t="n">
        <v>45182</v>
      </c>
      <c r="D3444" t="inlineStr">
        <is>
          <t>JÄMTLANDS LÄN</t>
        </is>
      </c>
      <c r="E3444" t="inlineStr">
        <is>
          <t>KROKOM</t>
        </is>
      </c>
      <c r="G3444" t="n">
        <v>0.3</v>
      </c>
      <c r="H3444" t="n">
        <v>0</v>
      </c>
      <c r="I3444" t="n">
        <v>0</v>
      </c>
      <c r="J3444" t="n">
        <v>0</v>
      </c>
      <c r="K3444" t="n">
        <v>0</v>
      </c>
      <c r="L3444" t="n">
        <v>0</v>
      </c>
      <c r="M3444" t="n">
        <v>0</v>
      </c>
      <c r="N3444" t="n">
        <v>0</v>
      </c>
      <c r="O3444" t="n">
        <v>0</v>
      </c>
      <c r="P3444" t="n">
        <v>0</v>
      </c>
      <c r="Q3444" t="n">
        <v>0</v>
      </c>
      <c r="R3444" s="2" t="inlineStr"/>
    </row>
    <row r="3445" ht="15" customHeight="1">
      <c r="A3445" t="inlineStr">
        <is>
          <t>A 64539-2020</t>
        </is>
      </c>
      <c r="B3445" s="1" t="n">
        <v>44169</v>
      </c>
      <c r="C3445" s="1" t="n">
        <v>45182</v>
      </c>
      <c r="D3445" t="inlineStr">
        <is>
          <t>JÄMTLANDS LÄN</t>
        </is>
      </c>
      <c r="E3445" t="inlineStr">
        <is>
          <t>HÄRJEDALEN</t>
        </is>
      </c>
      <c r="G3445" t="n">
        <v>5.6</v>
      </c>
      <c r="H3445" t="n">
        <v>0</v>
      </c>
      <c r="I3445" t="n">
        <v>0</v>
      </c>
      <c r="J3445" t="n">
        <v>0</v>
      </c>
      <c r="K3445" t="n">
        <v>0</v>
      </c>
      <c r="L3445" t="n">
        <v>0</v>
      </c>
      <c r="M3445" t="n">
        <v>0</v>
      </c>
      <c r="N3445" t="n">
        <v>0</v>
      </c>
      <c r="O3445" t="n">
        <v>0</v>
      </c>
      <c r="P3445" t="n">
        <v>0</v>
      </c>
      <c r="Q3445" t="n">
        <v>0</v>
      </c>
      <c r="R3445" s="2" t="inlineStr"/>
    </row>
    <row r="3446" ht="15" customHeight="1">
      <c r="A3446" t="inlineStr">
        <is>
          <t>A 64579-2020</t>
        </is>
      </c>
      <c r="B3446" s="1" t="n">
        <v>44169</v>
      </c>
      <c r="C3446" s="1" t="n">
        <v>45182</v>
      </c>
      <c r="D3446" t="inlineStr">
        <is>
          <t>JÄMTLANDS LÄN</t>
        </is>
      </c>
      <c r="E3446" t="inlineStr">
        <is>
          <t>HÄRJEDALEN</t>
        </is>
      </c>
      <c r="G3446" t="n">
        <v>12.4</v>
      </c>
      <c r="H3446" t="n">
        <v>0</v>
      </c>
      <c r="I3446" t="n">
        <v>0</v>
      </c>
      <c r="J3446" t="n">
        <v>0</v>
      </c>
      <c r="K3446" t="n">
        <v>0</v>
      </c>
      <c r="L3446" t="n">
        <v>0</v>
      </c>
      <c r="M3446" t="n">
        <v>0</v>
      </c>
      <c r="N3446" t="n">
        <v>0</v>
      </c>
      <c r="O3446" t="n">
        <v>0</v>
      </c>
      <c r="P3446" t="n">
        <v>0</v>
      </c>
      <c r="Q3446" t="n">
        <v>0</v>
      </c>
      <c r="R3446" s="2" t="inlineStr"/>
    </row>
    <row r="3447" ht="15" customHeight="1">
      <c r="A3447" t="inlineStr">
        <is>
          <t>A 64608-2020</t>
        </is>
      </c>
      <c r="B3447" s="1" t="n">
        <v>44169</v>
      </c>
      <c r="C3447" s="1" t="n">
        <v>45182</v>
      </c>
      <c r="D3447" t="inlineStr">
        <is>
          <t>JÄMTLANDS LÄN</t>
        </is>
      </c>
      <c r="E3447" t="inlineStr">
        <is>
          <t>STRÖMSUND</t>
        </is>
      </c>
      <c r="F3447" t="inlineStr">
        <is>
          <t>Holmen skog AB</t>
        </is>
      </c>
      <c r="G3447" t="n">
        <v>17.7</v>
      </c>
      <c r="H3447" t="n">
        <v>0</v>
      </c>
      <c r="I3447" t="n">
        <v>0</v>
      </c>
      <c r="J3447" t="n">
        <v>0</v>
      </c>
      <c r="K3447" t="n">
        <v>0</v>
      </c>
      <c r="L3447" t="n">
        <v>0</v>
      </c>
      <c r="M3447" t="n">
        <v>0</v>
      </c>
      <c r="N3447" t="n">
        <v>0</v>
      </c>
      <c r="O3447" t="n">
        <v>0</v>
      </c>
      <c r="P3447" t="n">
        <v>0</v>
      </c>
      <c r="Q3447" t="n">
        <v>0</v>
      </c>
      <c r="R3447" s="2" t="inlineStr"/>
    </row>
    <row r="3448" ht="15" customHeight="1">
      <c r="A3448" t="inlineStr">
        <is>
          <t>A 64805-2020</t>
        </is>
      </c>
      <c r="B3448" s="1" t="n">
        <v>44169</v>
      </c>
      <c r="C3448" s="1" t="n">
        <v>45182</v>
      </c>
      <c r="D3448" t="inlineStr">
        <is>
          <t>JÄMTLANDS LÄN</t>
        </is>
      </c>
      <c r="E3448" t="inlineStr">
        <is>
          <t>BRÄCKE</t>
        </is>
      </c>
      <c r="F3448" t="inlineStr">
        <is>
          <t>SCA</t>
        </is>
      </c>
      <c r="G3448" t="n">
        <v>7.5</v>
      </c>
      <c r="H3448" t="n">
        <v>0</v>
      </c>
      <c r="I3448" t="n">
        <v>0</v>
      </c>
      <c r="J3448" t="n">
        <v>0</v>
      </c>
      <c r="K3448" t="n">
        <v>0</v>
      </c>
      <c r="L3448" t="n">
        <v>0</v>
      </c>
      <c r="M3448" t="n">
        <v>0</v>
      </c>
      <c r="N3448" t="n">
        <v>0</v>
      </c>
      <c r="O3448" t="n">
        <v>0</v>
      </c>
      <c r="P3448" t="n">
        <v>0</v>
      </c>
      <c r="Q3448" t="n">
        <v>0</v>
      </c>
      <c r="R3448" s="2" t="inlineStr"/>
    </row>
    <row r="3449" ht="15" customHeight="1">
      <c r="A3449" t="inlineStr">
        <is>
          <t>A 64828-2020</t>
        </is>
      </c>
      <c r="B3449" s="1" t="n">
        <v>44169</v>
      </c>
      <c r="C3449" s="1" t="n">
        <v>45182</v>
      </c>
      <c r="D3449" t="inlineStr">
        <is>
          <t>JÄMTLANDS LÄN</t>
        </is>
      </c>
      <c r="E3449" t="inlineStr">
        <is>
          <t>STRÖMSUND</t>
        </is>
      </c>
      <c r="F3449" t="inlineStr">
        <is>
          <t>SCA</t>
        </is>
      </c>
      <c r="G3449" t="n">
        <v>5.3</v>
      </c>
      <c r="H3449" t="n">
        <v>0</v>
      </c>
      <c r="I3449" t="n">
        <v>0</v>
      </c>
      <c r="J3449" t="n">
        <v>0</v>
      </c>
      <c r="K3449" t="n">
        <v>0</v>
      </c>
      <c r="L3449" t="n">
        <v>0</v>
      </c>
      <c r="M3449" t="n">
        <v>0</v>
      </c>
      <c r="N3449" t="n">
        <v>0</v>
      </c>
      <c r="O3449" t="n">
        <v>0</v>
      </c>
      <c r="P3449" t="n">
        <v>0</v>
      </c>
      <c r="Q3449" t="n">
        <v>0</v>
      </c>
      <c r="R3449" s="2" t="inlineStr"/>
    </row>
    <row r="3450" ht="15" customHeight="1">
      <c r="A3450" t="inlineStr">
        <is>
          <t>A 64825-2020</t>
        </is>
      </c>
      <c r="B3450" s="1" t="n">
        <v>44169</v>
      </c>
      <c r="C3450" s="1" t="n">
        <v>45182</v>
      </c>
      <c r="D3450" t="inlineStr">
        <is>
          <t>JÄMTLANDS LÄN</t>
        </is>
      </c>
      <c r="E3450" t="inlineStr">
        <is>
          <t>STRÖMSUND</t>
        </is>
      </c>
      <c r="F3450" t="inlineStr">
        <is>
          <t>SCA</t>
        </is>
      </c>
      <c r="G3450" t="n">
        <v>8.1</v>
      </c>
      <c r="H3450" t="n">
        <v>0</v>
      </c>
      <c r="I3450" t="n">
        <v>0</v>
      </c>
      <c r="J3450" t="n">
        <v>0</v>
      </c>
      <c r="K3450" t="n">
        <v>0</v>
      </c>
      <c r="L3450" t="n">
        <v>0</v>
      </c>
      <c r="M3450" t="n">
        <v>0</v>
      </c>
      <c r="N3450" t="n">
        <v>0</v>
      </c>
      <c r="O3450" t="n">
        <v>0</v>
      </c>
      <c r="P3450" t="n">
        <v>0</v>
      </c>
      <c r="Q3450" t="n">
        <v>0</v>
      </c>
      <c r="R3450" s="2" t="inlineStr"/>
    </row>
    <row r="3451" ht="15" customHeight="1">
      <c r="A3451" t="inlineStr">
        <is>
          <t>A 65451-2020</t>
        </is>
      </c>
      <c r="B3451" s="1" t="n">
        <v>44169</v>
      </c>
      <c r="C3451" s="1" t="n">
        <v>45182</v>
      </c>
      <c r="D3451" t="inlineStr">
        <is>
          <t>JÄMTLANDS LÄN</t>
        </is>
      </c>
      <c r="E3451" t="inlineStr">
        <is>
          <t>KROKOM</t>
        </is>
      </c>
      <c r="G3451" t="n">
        <v>2.5</v>
      </c>
      <c r="H3451" t="n">
        <v>0</v>
      </c>
      <c r="I3451" t="n">
        <v>0</v>
      </c>
      <c r="J3451" t="n">
        <v>0</v>
      </c>
      <c r="K3451" t="n">
        <v>0</v>
      </c>
      <c r="L3451" t="n">
        <v>0</v>
      </c>
      <c r="M3451" t="n">
        <v>0</v>
      </c>
      <c r="N3451" t="n">
        <v>0</v>
      </c>
      <c r="O3451" t="n">
        <v>0</v>
      </c>
      <c r="P3451" t="n">
        <v>0</v>
      </c>
      <c r="Q3451" t="n">
        <v>0</v>
      </c>
      <c r="R3451" s="2" t="inlineStr"/>
    </row>
    <row r="3452" ht="15" customHeight="1">
      <c r="A3452" t="inlineStr">
        <is>
          <t>A 65266-2020</t>
        </is>
      </c>
      <c r="B3452" s="1" t="n">
        <v>44172</v>
      </c>
      <c r="C3452" s="1" t="n">
        <v>45182</v>
      </c>
      <c r="D3452" t="inlineStr">
        <is>
          <t>JÄMTLANDS LÄN</t>
        </is>
      </c>
      <c r="E3452" t="inlineStr">
        <is>
          <t>BERG</t>
        </is>
      </c>
      <c r="F3452" t="inlineStr">
        <is>
          <t>SCA</t>
        </is>
      </c>
      <c r="G3452" t="n">
        <v>5.3</v>
      </c>
      <c r="H3452" t="n">
        <v>0</v>
      </c>
      <c r="I3452" t="n">
        <v>0</v>
      </c>
      <c r="J3452" t="n">
        <v>0</v>
      </c>
      <c r="K3452" t="n">
        <v>0</v>
      </c>
      <c r="L3452" t="n">
        <v>0</v>
      </c>
      <c r="M3452" t="n">
        <v>0</v>
      </c>
      <c r="N3452" t="n">
        <v>0</v>
      </c>
      <c r="O3452" t="n">
        <v>0</v>
      </c>
      <c r="P3452" t="n">
        <v>0</v>
      </c>
      <c r="Q3452" t="n">
        <v>0</v>
      </c>
      <c r="R3452" s="2" t="inlineStr"/>
    </row>
    <row r="3453" ht="15" customHeight="1">
      <c r="A3453" t="inlineStr">
        <is>
          <t>A 65783-2020</t>
        </is>
      </c>
      <c r="B3453" s="1" t="n">
        <v>44172</v>
      </c>
      <c r="C3453" s="1" t="n">
        <v>45182</v>
      </c>
      <c r="D3453" t="inlineStr">
        <is>
          <t>JÄMTLANDS LÄN</t>
        </is>
      </c>
      <c r="E3453" t="inlineStr">
        <is>
          <t>KROKOM</t>
        </is>
      </c>
      <c r="G3453" t="n">
        <v>3.8</v>
      </c>
      <c r="H3453" t="n">
        <v>0</v>
      </c>
      <c r="I3453" t="n">
        <v>0</v>
      </c>
      <c r="J3453" t="n">
        <v>0</v>
      </c>
      <c r="K3453" t="n">
        <v>0</v>
      </c>
      <c r="L3453" t="n">
        <v>0</v>
      </c>
      <c r="M3453" t="n">
        <v>0</v>
      </c>
      <c r="N3453" t="n">
        <v>0</v>
      </c>
      <c r="O3453" t="n">
        <v>0</v>
      </c>
      <c r="P3453" t="n">
        <v>0</v>
      </c>
      <c r="Q3453" t="n">
        <v>0</v>
      </c>
      <c r="R3453" s="2" t="inlineStr"/>
    </row>
    <row r="3454" ht="15" customHeight="1">
      <c r="A3454" t="inlineStr">
        <is>
          <t>A 65787-2020</t>
        </is>
      </c>
      <c r="B3454" s="1" t="n">
        <v>44172</v>
      </c>
      <c r="C3454" s="1" t="n">
        <v>45182</v>
      </c>
      <c r="D3454" t="inlineStr">
        <is>
          <t>JÄMTLANDS LÄN</t>
        </is>
      </c>
      <c r="E3454" t="inlineStr">
        <is>
          <t>KROKOM</t>
        </is>
      </c>
      <c r="G3454" t="n">
        <v>5.8</v>
      </c>
      <c r="H3454" t="n">
        <v>0</v>
      </c>
      <c r="I3454" t="n">
        <v>0</v>
      </c>
      <c r="J3454" t="n">
        <v>0</v>
      </c>
      <c r="K3454" t="n">
        <v>0</v>
      </c>
      <c r="L3454" t="n">
        <v>0</v>
      </c>
      <c r="M3454" t="n">
        <v>0</v>
      </c>
      <c r="N3454" t="n">
        <v>0</v>
      </c>
      <c r="O3454" t="n">
        <v>0</v>
      </c>
      <c r="P3454" t="n">
        <v>0</v>
      </c>
      <c r="Q3454" t="n">
        <v>0</v>
      </c>
      <c r="R3454" s="2" t="inlineStr"/>
    </row>
    <row r="3455" ht="15" customHeight="1">
      <c r="A3455" t="inlineStr">
        <is>
          <t>A 66083-2020</t>
        </is>
      </c>
      <c r="B3455" s="1" t="n">
        <v>44172</v>
      </c>
      <c r="C3455" s="1" t="n">
        <v>45182</v>
      </c>
      <c r="D3455" t="inlineStr">
        <is>
          <t>JÄMTLANDS LÄN</t>
        </is>
      </c>
      <c r="E3455" t="inlineStr">
        <is>
          <t>ÅRE</t>
        </is>
      </c>
      <c r="G3455" t="n">
        <v>563.3</v>
      </c>
      <c r="H3455" t="n">
        <v>0</v>
      </c>
      <c r="I3455" t="n">
        <v>0</v>
      </c>
      <c r="J3455" t="n">
        <v>0</v>
      </c>
      <c r="K3455" t="n">
        <v>0</v>
      </c>
      <c r="L3455" t="n">
        <v>0</v>
      </c>
      <c r="M3455" t="n">
        <v>0</v>
      </c>
      <c r="N3455" t="n">
        <v>0</v>
      </c>
      <c r="O3455" t="n">
        <v>0</v>
      </c>
      <c r="P3455" t="n">
        <v>0</v>
      </c>
      <c r="Q3455" t="n">
        <v>0</v>
      </c>
      <c r="R3455" s="2" t="inlineStr"/>
    </row>
    <row r="3456" ht="15" customHeight="1">
      <c r="A3456" t="inlineStr">
        <is>
          <t>A 65260-2020</t>
        </is>
      </c>
      <c r="B3456" s="1" t="n">
        <v>44172</v>
      </c>
      <c r="C3456" s="1" t="n">
        <v>45182</v>
      </c>
      <c r="D3456" t="inlineStr">
        <is>
          <t>JÄMTLANDS LÄN</t>
        </is>
      </c>
      <c r="E3456" t="inlineStr">
        <is>
          <t>RAGUNDA</t>
        </is>
      </c>
      <c r="F3456" t="inlineStr">
        <is>
          <t>SCA</t>
        </is>
      </c>
      <c r="G3456" t="n">
        <v>7.8</v>
      </c>
      <c r="H3456" t="n">
        <v>0</v>
      </c>
      <c r="I3456" t="n">
        <v>0</v>
      </c>
      <c r="J3456" t="n">
        <v>0</v>
      </c>
      <c r="K3456" t="n">
        <v>0</v>
      </c>
      <c r="L3456" t="n">
        <v>0</v>
      </c>
      <c r="M3456" t="n">
        <v>0</v>
      </c>
      <c r="N3456" t="n">
        <v>0</v>
      </c>
      <c r="O3456" t="n">
        <v>0</v>
      </c>
      <c r="P3456" t="n">
        <v>0</v>
      </c>
      <c r="Q3456" t="n">
        <v>0</v>
      </c>
      <c r="R3456" s="2" t="inlineStr"/>
    </row>
    <row r="3457" ht="15" customHeight="1">
      <c r="A3457" t="inlineStr">
        <is>
          <t>A 65316-2020</t>
        </is>
      </c>
      <c r="B3457" s="1" t="n">
        <v>44173</v>
      </c>
      <c r="C3457" s="1" t="n">
        <v>45182</v>
      </c>
      <c r="D3457" t="inlineStr">
        <is>
          <t>JÄMTLANDS LÄN</t>
        </is>
      </c>
      <c r="E3457" t="inlineStr">
        <is>
          <t>KROKOM</t>
        </is>
      </c>
      <c r="F3457" t="inlineStr">
        <is>
          <t>Övriga Aktiebolag</t>
        </is>
      </c>
      <c r="G3457" t="n">
        <v>12.5</v>
      </c>
      <c r="H3457" t="n">
        <v>0</v>
      </c>
      <c r="I3457" t="n">
        <v>0</v>
      </c>
      <c r="J3457" t="n">
        <v>0</v>
      </c>
      <c r="K3457" t="n">
        <v>0</v>
      </c>
      <c r="L3457" t="n">
        <v>0</v>
      </c>
      <c r="M3457" t="n">
        <v>0</v>
      </c>
      <c r="N3457" t="n">
        <v>0</v>
      </c>
      <c r="O3457" t="n">
        <v>0</v>
      </c>
      <c r="P3457" t="n">
        <v>0</v>
      </c>
      <c r="Q3457" t="n">
        <v>0</v>
      </c>
      <c r="R3457" s="2" t="inlineStr"/>
    </row>
    <row r="3458" ht="15" customHeight="1">
      <c r="A3458" t="inlineStr">
        <is>
          <t>A 65341-2020</t>
        </is>
      </c>
      <c r="B3458" s="1" t="n">
        <v>44173</v>
      </c>
      <c r="C3458" s="1" t="n">
        <v>45182</v>
      </c>
      <c r="D3458" t="inlineStr">
        <is>
          <t>JÄMTLANDS LÄN</t>
        </is>
      </c>
      <c r="E3458" t="inlineStr">
        <is>
          <t>RAGUNDA</t>
        </is>
      </c>
      <c r="G3458" t="n">
        <v>2.6</v>
      </c>
      <c r="H3458" t="n">
        <v>0</v>
      </c>
      <c r="I3458" t="n">
        <v>0</v>
      </c>
      <c r="J3458" t="n">
        <v>0</v>
      </c>
      <c r="K3458" t="n">
        <v>0</v>
      </c>
      <c r="L3458" t="n">
        <v>0</v>
      </c>
      <c r="M3458" t="n">
        <v>0</v>
      </c>
      <c r="N3458" t="n">
        <v>0</v>
      </c>
      <c r="O3458" t="n">
        <v>0</v>
      </c>
      <c r="P3458" t="n">
        <v>0</v>
      </c>
      <c r="Q3458" t="n">
        <v>0</v>
      </c>
      <c r="R3458" s="2" t="inlineStr"/>
    </row>
    <row r="3459" ht="15" customHeight="1">
      <c r="A3459" t="inlineStr">
        <is>
          <t>A 65410-2020</t>
        </is>
      </c>
      <c r="B3459" s="1" t="n">
        <v>44173</v>
      </c>
      <c r="C3459" s="1" t="n">
        <v>45182</v>
      </c>
      <c r="D3459" t="inlineStr">
        <is>
          <t>JÄMTLANDS LÄN</t>
        </is>
      </c>
      <c r="E3459" t="inlineStr">
        <is>
          <t>ÖSTERSUND</t>
        </is>
      </c>
      <c r="F3459" t="inlineStr">
        <is>
          <t>Kommuner</t>
        </is>
      </c>
      <c r="G3459" t="n">
        <v>0.8</v>
      </c>
      <c r="H3459" t="n">
        <v>0</v>
      </c>
      <c r="I3459" t="n">
        <v>0</v>
      </c>
      <c r="J3459" t="n">
        <v>0</v>
      </c>
      <c r="K3459" t="n">
        <v>0</v>
      </c>
      <c r="L3459" t="n">
        <v>0</v>
      </c>
      <c r="M3459" t="n">
        <v>0</v>
      </c>
      <c r="N3459" t="n">
        <v>0</v>
      </c>
      <c r="O3459" t="n">
        <v>0</v>
      </c>
      <c r="P3459" t="n">
        <v>0</v>
      </c>
      <c r="Q3459" t="n">
        <v>0</v>
      </c>
      <c r="R3459" s="2" t="inlineStr"/>
    </row>
    <row r="3460" ht="15" customHeight="1">
      <c r="A3460" t="inlineStr">
        <is>
          <t>A 65530-2020</t>
        </is>
      </c>
      <c r="B3460" s="1" t="n">
        <v>44173</v>
      </c>
      <c r="C3460" s="1" t="n">
        <v>45182</v>
      </c>
      <c r="D3460" t="inlineStr">
        <is>
          <t>JÄMTLANDS LÄN</t>
        </is>
      </c>
      <c r="E3460" t="inlineStr">
        <is>
          <t>STRÖMSUND</t>
        </is>
      </c>
      <c r="F3460" t="inlineStr">
        <is>
          <t>Sveaskog</t>
        </is>
      </c>
      <c r="G3460" t="n">
        <v>1.5</v>
      </c>
      <c r="H3460" t="n">
        <v>0</v>
      </c>
      <c r="I3460" t="n">
        <v>0</v>
      </c>
      <c r="J3460" t="n">
        <v>0</v>
      </c>
      <c r="K3460" t="n">
        <v>0</v>
      </c>
      <c r="L3460" t="n">
        <v>0</v>
      </c>
      <c r="M3460" t="n">
        <v>0</v>
      </c>
      <c r="N3460" t="n">
        <v>0</v>
      </c>
      <c r="O3460" t="n">
        <v>0</v>
      </c>
      <c r="P3460" t="n">
        <v>0</v>
      </c>
      <c r="Q3460" t="n">
        <v>0</v>
      </c>
      <c r="R3460" s="2" t="inlineStr"/>
    </row>
    <row r="3461" ht="15" customHeight="1">
      <c r="A3461" t="inlineStr">
        <is>
          <t>A 65618-2020</t>
        </is>
      </c>
      <c r="B3461" s="1" t="n">
        <v>44173</v>
      </c>
      <c r="C3461" s="1" t="n">
        <v>45182</v>
      </c>
      <c r="D3461" t="inlineStr">
        <is>
          <t>JÄMTLANDS LÄN</t>
        </is>
      </c>
      <c r="E3461" t="inlineStr">
        <is>
          <t>STRÖMSUND</t>
        </is>
      </c>
      <c r="F3461" t="inlineStr">
        <is>
          <t>SCA</t>
        </is>
      </c>
      <c r="G3461" t="n">
        <v>1.6</v>
      </c>
      <c r="H3461" t="n">
        <v>0</v>
      </c>
      <c r="I3461" t="n">
        <v>0</v>
      </c>
      <c r="J3461" t="n">
        <v>0</v>
      </c>
      <c r="K3461" t="n">
        <v>0</v>
      </c>
      <c r="L3461" t="n">
        <v>0</v>
      </c>
      <c r="M3461" t="n">
        <v>0</v>
      </c>
      <c r="N3461" t="n">
        <v>0</v>
      </c>
      <c r="O3461" t="n">
        <v>0</v>
      </c>
      <c r="P3461" t="n">
        <v>0</v>
      </c>
      <c r="Q3461" t="n">
        <v>0</v>
      </c>
      <c r="R3461" s="2" t="inlineStr"/>
    </row>
    <row r="3462" ht="15" customHeight="1">
      <c r="A3462" t="inlineStr">
        <is>
          <t>A 65512-2020</t>
        </is>
      </c>
      <c r="B3462" s="1" t="n">
        <v>44173</v>
      </c>
      <c r="C3462" s="1" t="n">
        <v>45182</v>
      </c>
      <c r="D3462" t="inlineStr">
        <is>
          <t>JÄMTLANDS LÄN</t>
        </is>
      </c>
      <c r="E3462" t="inlineStr">
        <is>
          <t>ÅRE</t>
        </is>
      </c>
      <c r="G3462" t="n">
        <v>5.6</v>
      </c>
      <c r="H3462" t="n">
        <v>0</v>
      </c>
      <c r="I3462" t="n">
        <v>0</v>
      </c>
      <c r="J3462" t="n">
        <v>0</v>
      </c>
      <c r="K3462" t="n">
        <v>0</v>
      </c>
      <c r="L3462" t="n">
        <v>0</v>
      </c>
      <c r="M3462" t="n">
        <v>0</v>
      </c>
      <c r="N3462" t="n">
        <v>0</v>
      </c>
      <c r="O3462" t="n">
        <v>0</v>
      </c>
      <c r="P3462" t="n">
        <v>0</v>
      </c>
      <c r="Q3462" t="n">
        <v>0</v>
      </c>
      <c r="R3462" s="2" t="inlineStr"/>
    </row>
    <row r="3463" ht="15" customHeight="1">
      <c r="A3463" t="inlineStr">
        <is>
          <t>A 65439-2020</t>
        </is>
      </c>
      <c r="B3463" s="1" t="n">
        <v>44173</v>
      </c>
      <c r="C3463" s="1" t="n">
        <v>45182</v>
      </c>
      <c r="D3463" t="inlineStr">
        <is>
          <t>JÄMTLANDS LÄN</t>
        </is>
      </c>
      <c r="E3463" t="inlineStr">
        <is>
          <t>ÅRE</t>
        </is>
      </c>
      <c r="G3463" t="n">
        <v>6.2</v>
      </c>
      <c r="H3463" t="n">
        <v>0</v>
      </c>
      <c r="I3463" t="n">
        <v>0</v>
      </c>
      <c r="J3463" t="n">
        <v>0</v>
      </c>
      <c r="K3463" t="n">
        <v>0</v>
      </c>
      <c r="L3463" t="n">
        <v>0</v>
      </c>
      <c r="M3463" t="n">
        <v>0</v>
      </c>
      <c r="N3463" t="n">
        <v>0</v>
      </c>
      <c r="O3463" t="n">
        <v>0</v>
      </c>
      <c r="P3463" t="n">
        <v>0</v>
      </c>
      <c r="Q3463" t="n">
        <v>0</v>
      </c>
      <c r="R3463" s="2" t="inlineStr"/>
    </row>
    <row r="3464" ht="15" customHeight="1">
      <c r="A3464" t="inlineStr">
        <is>
          <t>A 65519-2020</t>
        </is>
      </c>
      <c r="B3464" s="1" t="n">
        <v>44173</v>
      </c>
      <c r="C3464" s="1" t="n">
        <v>45182</v>
      </c>
      <c r="D3464" t="inlineStr">
        <is>
          <t>JÄMTLANDS LÄN</t>
        </is>
      </c>
      <c r="E3464" t="inlineStr">
        <is>
          <t>ÅRE</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66276-2020</t>
        </is>
      </c>
      <c r="B3465" s="1" t="n">
        <v>44174</v>
      </c>
      <c r="C3465" s="1" t="n">
        <v>45182</v>
      </c>
      <c r="D3465" t="inlineStr">
        <is>
          <t>JÄMTLANDS LÄN</t>
        </is>
      </c>
      <c r="E3465" t="inlineStr">
        <is>
          <t>HÄRJEDALEN</t>
        </is>
      </c>
      <c r="G3465" t="n">
        <v>4</v>
      </c>
      <c r="H3465" t="n">
        <v>0</v>
      </c>
      <c r="I3465" t="n">
        <v>0</v>
      </c>
      <c r="J3465" t="n">
        <v>0</v>
      </c>
      <c r="K3465" t="n">
        <v>0</v>
      </c>
      <c r="L3465" t="n">
        <v>0</v>
      </c>
      <c r="M3465" t="n">
        <v>0</v>
      </c>
      <c r="N3465" t="n">
        <v>0</v>
      </c>
      <c r="O3465" t="n">
        <v>0</v>
      </c>
      <c r="P3465" t="n">
        <v>0</v>
      </c>
      <c r="Q3465" t="n">
        <v>0</v>
      </c>
      <c r="R3465" s="2" t="inlineStr"/>
    </row>
    <row r="3466" ht="15" customHeight="1">
      <c r="A3466" t="inlineStr">
        <is>
          <t>A 66269-2020</t>
        </is>
      </c>
      <c r="B3466" s="1" t="n">
        <v>44174</v>
      </c>
      <c r="C3466" s="1" t="n">
        <v>45182</v>
      </c>
      <c r="D3466" t="inlineStr">
        <is>
          <t>JÄMTLANDS LÄN</t>
        </is>
      </c>
      <c r="E3466" t="inlineStr">
        <is>
          <t>ÖSTERSUND</t>
        </is>
      </c>
      <c r="F3466" t="inlineStr">
        <is>
          <t>Övriga statliga verk och myndigheter</t>
        </is>
      </c>
      <c r="G3466" t="n">
        <v>10</v>
      </c>
      <c r="H3466" t="n">
        <v>0</v>
      </c>
      <c r="I3466" t="n">
        <v>0</v>
      </c>
      <c r="J3466" t="n">
        <v>0</v>
      </c>
      <c r="K3466" t="n">
        <v>0</v>
      </c>
      <c r="L3466" t="n">
        <v>0</v>
      </c>
      <c r="M3466" t="n">
        <v>0</v>
      </c>
      <c r="N3466" t="n">
        <v>0</v>
      </c>
      <c r="O3466" t="n">
        <v>0</v>
      </c>
      <c r="P3466" t="n">
        <v>0</v>
      </c>
      <c r="Q3466" t="n">
        <v>0</v>
      </c>
      <c r="R3466" s="2" t="inlineStr"/>
    </row>
    <row r="3467" ht="15" customHeight="1">
      <c r="A3467" t="inlineStr">
        <is>
          <t>A 65817-2020</t>
        </is>
      </c>
      <c r="B3467" s="1" t="n">
        <v>44174</v>
      </c>
      <c r="C3467" s="1" t="n">
        <v>45182</v>
      </c>
      <c r="D3467" t="inlineStr">
        <is>
          <t>JÄMTLANDS LÄN</t>
        </is>
      </c>
      <c r="E3467" t="inlineStr">
        <is>
          <t>HÄRJEDALEN</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66286-2020</t>
        </is>
      </c>
      <c r="B3468" s="1" t="n">
        <v>44174</v>
      </c>
      <c r="C3468" s="1" t="n">
        <v>45182</v>
      </c>
      <c r="D3468" t="inlineStr">
        <is>
          <t>JÄMTLANDS LÄN</t>
        </is>
      </c>
      <c r="E3468" t="inlineStr">
        <is>
          <t>ÖSTERSUND</t>
        </is>
      </c>
      <c r="F3468" t="inlineStr">
        <is>
          <t>Övriga statliga verk och myndigheter</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65762-2020</t>
        </is>
      </c>
      <c r="B3469" s="1" t="n">
        <v>44174</v>
      </c>
      <c r="C3469" s="1" t="n">
        <v>45182</v>
      </c>
      <c r="D3469" t="inlineStr">
        <is>
          <t>JÄMTLANDS LÄN</t>
        </is>
      </c>
      <c r="E3469" t="inlineStr">
        <is>
          <t>STRÖMSUND</t>
        </is>
      </c>
      <c r="F3469" t="inlineStr">
        <is>
          <t>Holmen skog AB</t>
        </is>
      </c>
      <c r="G3469" t="n">
        <v>8.5</v>
      </c>
      <c r="H3469" t="n">
        <v>0</v>
      </c>
      <c r="I3469" t="n">
        <v>0</v>
      </c>
      <c r="J3469" t="n">
        <v>0</v>
      </c>
      <c r="K3469" t="n">
        <v>0</v>
      </c>
      <c r="L3469" t="n">
        <v>0</v>
      </c>
      <c r="M3469" t="n">
        <v>0</v>
      </c>
      <c r="N3469" t="n">
        <v>0</v>
      </c>
      <c r="O3469" t="n">
        <v>0</v>
      </c>
      <c r="P3469" t="n">
        <v>0</v>
      </c>
      <c r="Q3469" t="n">
        <v>0</v>
      </c>
      <c r="R3469" s="2" t="inlineStr"/>
    </row>
    <row r="3470" ht="15" customHeight="1">
      <c r="A3470" t="inlineStr">
        <is>
          <t>A 65898-2020</t>
        </is>
      </c>
      <c r="B3470" s="1" t="n">
        <v>44174</v>
      </c>
      <c r="C3470" s="1" t="n">
        <v>45182</v>
      </c>
      <c r="D3470" t="inlineStr">
        <is>
          <t>JÄMTLANDS LÄN</t>
        </is>
      </c>
      <c r="E3470" t="inlineStr">
        <is>
          <t>RAGUNDA</t>
        </is>
      </c>
      <c r="F3470" t="inlineStr">
        <is>
          <t>SCA</t>
        </is>
      </c>
      <c r="G3470" t="n">
        <v>0.9</v>
      </c>
      <c r="H3470" t="n">
        <v>0</v>
      </c>
      <c r="I3470" t="n">
        <v>0</v>
      </c>
      <c r="J3470" t="n">
        <v>0</v>
      </c>
      <c r="K3470" t="n">
        <v>0</v>
      </c>
      <c r="L3470" t="n">
        <v>0</v>
      </c>
      <c r="M3470" t="n">
        <v>0</v>
      </c>
      <c r="N3470" t="n">
        <v>0</v>
      </c>
      <c r="O3470" t="n">
        <v>0</v>
      </c>
      <c r="P3470" t="n">
        <v>0</v>
      </c>
      <c r="Q3470" t="n">
        <v>0</v>
      </c>
      <c r="R3470" s="2" t="inlineStr"/>
    </row>
    <row r="3471" ht="15" customHeight="1">
      <c r="A3471" t="inlineStr">
        <is>
          <t>A 66288-2020</t>
        </is>
      </c>
      <c r="B3471" s="1" t="n">
        <v>44174</v>
      </c>
      <c r="C3471" s="1" t="n">
        <v>45182</v>
      </c>
      <c r="D3471" t="inlineStr">
        <is>
          <t>JÄMTLANDS LÄN</t>
        </is>
      </c>
      <c r="E3471" t="inlineStr">
        <is>
          <t>ÖSTERSUND</t>
        </is>
      </c>
      <c r="F3471" t="inlineStr">
        <is>
          <t>Övriga statliga verk och myndigheter</t>
        </is>
      </c>
      <c r="G3471" t="n">
        <v>1.2</v>
      </c>
      <c r="H3471" t="n">
        <v>0</v>
      </c>
      <c r="I3471" t="n">
        <v>0</v>
      </c>
      <c r="J3471" t="n">
        <v>0</v>
      </c>
      <c r="K3471" t="n">
        <v>0</v>
      </c>
      <c r="L3471" t="n">
        <v>0</v>
      </c>
      <c r="M3471" t="n">
        <v>0</v>
      </c>
      <c r="N3471" t="n">
        <v>0</v>
      </c>
      <c r="O3471" t="n">
        <v>0</v>
      </c>
      <c r="P3471" t="n">
        <v>0</v>
      </c>
      <c r="Q3471" t="n">
        <v>0</v>
      </c>
      <c r="R3471" s="2" t="inlineStr"/>
    </row>
    <row r="3472" ht="15" customHeight="1">
      <c r="A3472" t="inlineStr">
        <is>
          <t>A 65768-2020</t>
        </is>
      </c>
      <c r="B3472" s="1" t="n">
        <v>44174</v>
      </c>
      <c r="C3472" s="1" t="n">
        <v>45182</v>
      </c>
      <c r="D3472" t="inlineStr">
        <is>
          <t>JÄMTLANDS LÄN</t>
        </is>
      </c>
      <c r="E3472" t="inlineStr">
        <is>
          <t>STRÖMSUND</t>
        </is>
      </c>
      <c r="F3472" t="inlineStr">
        <is>
          <t>Holmen skog AB</t>
        </is>
      </c>
      <c r="G3472" t="n">
        <v>21.7</v>
      </c>
      <c r="H3472" t="n">
        <v>0</v>
      </c>
      <c r="I3472" t="n">
        <v>0</v>
      </c>
      <c r="J3472" t="n">
        <v>0</v>
      </c>
      <c r="K3472" t="n">
        <v>0</v>
      </c>
      <c r="L3472" t="n">
        <v>0</v>
      </c>
      <c r="M3472" t="n">
        <v>0</v>
      </c>
      <c r="N3472" t="n">
        <v>0</v>
      </c>
      <c r="O3472" t="n">
        <v>0</v>
      </c>
      <c r="P3472" t="n">
        <v>0</v>
      </c>
      <c r="Q3472" t="n">
        <v>0</v>
      </c>
      <c r="R3472" s="2" t="inlineStr"/>
    </row>
    <row r="3473" ht="15" customHeight="1">
      <c r="A3473" t="inlineStr">
        <is>
          <t>A 65797-2020</t>
        </is>
      </c>
      <c r="B3473" s="1" t="n">
        <v>44174</v>
      </c>
      <c r="C3473" s="1" t="n">
        <v>45182</v>
      </c>
      <c r="D3473" t="inlineStr">
        <is>
          <t>JÄMTLANDS LÄN</t>
        </is>
      </c>
      <c r="E3473" t="inlineStr">
        <is>
          <t>STRÖMSUND</t>
        </is>
      </c>
      <c r="F3473" t="inlineStr">
        <is>
          <t>Holmen skog AB</t>
        </is>
      </c>
      <c r="G3473" t="n">
        <v>24</v>
      </c>
      <c r="H3473" t="n">
        <v>0</v>
      </c>
      <c r="I3473" t="n">
        <v>0</v>
      </c>
      <c r="J3473" t="n">
        <v>0</v>
      </c>
      <c r="K3473" t="n">
        <v>0</v>
      </c>
      <c r="L3473" t="n">
        <v>0</v>
      </c>
      <c r="M3473" t="n">
        <v>0</v>
      </c>
      <c r="N3473" t="n">
        <v>0</v>
      </c>
      <c r="O3473" t="n">
        <v>0</v>
      </c>
      <c r="P3473" t="n">
        <v>0</v>
      </c>
      <c r="Q3473" t="n">
        <v>0</v>
      </c>
      <c r="R3473" s="2" t="inlineStr"/>
    </row>
    <row r="3474" ht="15" customHeight="1">
      <c r="A3474" t="inlineStr">
        <is>
          <t>A 66130-2020</t>
        </is>
      </c>
      <c r="B3474" s="1" t="n">
        <v>44175</v>
      </c>
      <c r="C3474" s="1" t="n">
        <v>45182</v>
      </c>
      <c r="D3474" t="inlineStr">
        <is>
          <t>JÄMTLANDS LÄN</t>
        </is>
      </c>
      <c r="E3474" t="inlineStr">
        <is>
          <t>STRÖMSUND</t>
        </is>
      </c>
      <c r="F3474" t="inlineStr">
        <is>
          <t>Holmen skog AB</t>
        </is>
      </c>
      <c r="G3474" t="n">
        <v>20.1</v>
      </c>
      <c r="H3474" t="n">
        <v>0</v>
      </c>
      <c r="I3474" t="n">
        <v>0</v>
      </c>
      <c r="J3474" t="n">
        <v>0</v>
      </c>
      <c r="K3474" t="n">
        <v>0</v>
      </c>
      <c r="L3474" t="n">
        <v>0</v>
      </c>
      <c r="M3474" t="n">
        <v>0</v>
      </c>
      <c r="N3474" t="n">
        <v>0</v>
      </c>
      <c r="O3474" t="n">
        <v>0</v>
      </c>
      <c r="P3474" t="n">
        <v>0</v>
      </c>
      <c r="Q3474" t="n">
        <v>0</v>
      </c>
      <c r="R3474" s="2" t="inlineStr"/>
    </row>
    <row r="3475" ht="15" customHeight="1">
      <c r="A3475" t="inlineStr">
        <is>
          <t>A 66248-2020</t>
        </is>
      </c>
      <c r="B3475" s="1" t="n">
        <v>44175</v>
      </c>
      <c r="C3475" s="1" t="n">
        <v>45182</v>
      </c>
      <c r="D3475" t="inlineStr">
        <is>
          <t>JÄMTLANDS LÄN</t>
        </is>
      </c>
      <c r="E3475" t="inlineStr">
        <is>
          <t>RAGUNDA</t>
        </is>
      </c>
      <c r="F3475" t="inlineStr">
        <is>
          <t>SCA</t>
        </is>
      </c>
      <c r="G3475" t="n">
        <v>5.6</v>
      </c>
      <c r="H3475" t="n">
        <v>0</v>
      </c>
      <c r="I3475" t="n">
        <v>0</v>
      </c>
      <c r="J3475" t="n">
        <v>0</v>
      </c>
      <c r="K3475" t="n">
        <v>0</v>
      </c>
      <c r="L3475" t="n">
        <v>0</v>
      </c>
      <c r="M3475" t="n">
        <v>0</v>
      </c>
      <c r="N3475" t="n">
        <v>0</v>
      </c>
      <c r="O3475" t="n">
        <v>0</v>
      </c>
      <c r="P3475" t="n">
        <v>0</v>
      </c>
      <c r="Q3475" t="n">
        <v>0</v>
      </c>
      <c r="R3475" s="2" t="inlineStr"/>
    </row>
    <row r="3476" ht="15" customHeight="1">
      <c r="A3476" t="inlineStr">
        <is>
          <t>A 66784-2020</t>
        </is>
      </c>
      <c r="B3476" s="1" t="n">
        <v>44175</v>
      </c>
      <c r="C3476" s="1" t="n">
        <v>45182</v>
      </c>
      <c r="D3476" t="inlineStr">
        <is>
          <t>JÄMTLANDS LÄN</t>
        </is>
      </c>
      <c r="E3476" t="inlineStr">
        <is>
          <t>KROKOM</t>
        </is>
      </c>
      <c r="G3476" t="n">
        <v>1.6</v>
      </c>
      <c r="H3476" t="n">
        <v>0</v>
      </c>
      <c r="I3476" t="n">
        <v>0</v>
      </c>
      <c r="J3476" t="n">
        <v>0</v>
      </c>
      <c r="K3476" t="n">
        <v>0</v>
      </c>
      <c r="L3476" t="n">
        <v>0</v>
      </c>
      <c r="M3476" t="n">
        <v>0</v>
      </c>
      <c r="N3476" t="n">
        <v>0</v>
      </c>
      <c r="O3476" t="n">
        <v>0</v>
      </c>
      <c r="P3476" t="n">
        <v>0</v>
      </c>
      <c r="Q3476" t="n">
        <v>0</v>
      </c>
      <c r="R3476" s="2" t="inlineStr"/>
    </row>
    <row r="3477" ht="15" customHeight="1">
      <c r="A3477" t="inlineStr">
        <is>
          <t>A 65997-2020</t>
        </is>
      </c>
      <c r="B3477" s="1" t="n">
        <v>44175</v>
      </c>
      <c r="C3477" s="1" t="n">
        <v>45182</v>
      </c>
      <c r="D3477" t="inlineStr">
        <is>
          <t>JÄMTLANDS LÄN</t>
        </is>
      </c>
      <c r="E3477" t="inlineStr">
        <is>
          <t>STRÖMSUND</t>
        </is>
      </c>
      <c r="F3477" t="inlineStr">
        <is>
          <t>Kyrkan</t>
        </is>
      </c>
      <c r="G3477" t="n">
        <v>3.7</v>
      </c>
      <c r="H3477" t="n">
        <v>0</v>
      </c>
      <c r="I3477" t="n">
        <v>0</v>
      </c>
      <c r="J3477" t="n">
        <v>0</v>
      </c>
      <c r="K3477" t="n">
        <v>0</v>
      </c>
      <c r="L3477" t="n">
        <v>0</v>
      </c>
      <c r="M3477" t="n">
        <v>0</v>
      </c>
      <c r="N3477" t="n">
        <v>0</v>
      </c>
      <c r="O3477" t="n">
        <v>0</v>
      </c>
      <c r="P3477" t="n">
        <v>0</v>
      </c>
      <c r="Q3477" t="n">
        <v>0</v>
      </c>
      <c r="R3477" s="2" t="inlineStr"/>
    </row>
    <row r="3478" ht="15" customHeight="1">
      <c r="A3478" t="inlineStr">
        <is>
          <t>A 66774-2020</t>
        </is>
      </c>
      <c r="B3478" s="1" t="n">
        <v>44175</v>
      </c>
      <c r="C3478" s="1" t="n">
        <v>45182</v>
      </c>
      <c r="D3478" t="inlineStr">
        <is>
          <t>JÄMTLANDS LÄN</t>
        </is>
      </c>
      <c r="E3478" t="inlineStr">
        <is>
          <t>KROKOM</t>
        </is>
      </c>
      <c r="G3478" t="n">
        <v>1.8</v>
      </c>
      <c r="H3478" t="n">
        <v>0</v>
      </c>
      <c r="I3478" t="n">
        <v>0</v>
      </c>
      <c r="J3478" t="n">
        <v>0</v>
      </c>
      <c r="K3478" t="n">
        <v>0</v>
      </c>
      <c r="L3478" t="n">
        <v>0</v>
      </c>
      <c r="M3478" t="n">
        <v>0</v>
      </c>
      <c r="N3478" t="n">
        <v>0</v>
      </c>
      <c r="O3478" t="n">
        <v>0</v>
      </c>
      <c r="P3478" t="n">
        <v>0</v>
      </c>
      <c r="Q3478" t="n">
        <v>0</v>
      </c>
      <c r="R3478" s="2" t="inlineStr"/>
    </row>
    <row r="3479" ht="15" customHeight="1">
      <c r="A3479" t="inlineStr">
        <is>
          <t>A 66443-2020</t>
        </is>
      </c>
      <c r="B3479" s="1" t="n">
        <v>44176</v>
      </c>
      <c r="C3479" s="1" t="n">
        <v>45182</v>
      </c>
      <c r="D3479" t="inlineStr">
        <is>
          <t>JÄMTLANDS LÄN</t>
        </is>
      </c>
      <c r="E3479" t="inlineStr">
        <is>
          <t>BRÄCKE</t>
        </is>
      </c>
      <c r="G3479" t="n">
        <v>2.8</v>
      </c>
      <c r="H3479" t="n">
        <v>0</v>
      </c>
      <c r="I3479" t="n">
        <v>0</v>
      </c>
      <c r="J3479" t="n">
        <v>0</v>
      </c>
      <c r="K3479" t="n">
        <v>0</v>
      </c>
      <c r="L3479" t="n">
        <v>0</v>
      </c>
      <c r="M3479" t="n">
        <v>0</v>
      </c>
      <c r="N3479" t="n">
        <v>0</v>
      </c>
      <c r="O3479" t="n">
        <v>0</v>
      </c>
      <c r="P3479" t="n">
        <v>0</v>
      </c>
      <c r="Q3479" t="n">
        <v>0</v>
      </c>
      <c r="R3479" s="2" t="inlineStr"/>
    </row>
    <row r="3480" ht="15" customHeight="1">
      <c r="A3480" t="inlineStr">
        <is>
          <t>A 66982-2020</t>
        </is>
      </c>
      <c r="B3480" s="1" t="n">
        <v>44176</v>
      </c>
      <c r="C3480" s="1" t="n">
        <v>45182</v>
      </c>
      <c r="D3480" t="inlineStr">
        <is>
          <t>JÄMTLANDS LÄN</t>
        </is>
      </c>
      <c r="E3480" t="inlineStr">
        <is>
          <t>STRÖMSUND</t>
        </is>
      </c>
      <c r="G3480" t="n">
        <v>2.4</v>
      </c>
      <c r="H3480" t="n">
        <v>0</v>
      </c>
      <c r="I3480" t="n">
        <v>0</v>
      </c>
      <c r="J3480" t="n">
        <v>0</v>
      </c>
      <c r="K3480" t="n">
        <v>0</v>
      </c>
      <c r="L3480" t="n">
        <v>0</v>
      </c>
      <c r="M3480" t="n">
        <v>0</v>
      </c>
      <c r="N3480" t="n">
        <v>0</v>
      </c>
      <c r="O3480" t="n">
        <v>0</v>
      </c>
      <c r="P3480" t="n">
        <v>0</v>
      </c>
      <c r="Q3480" t="n">
        <v>0</v>
      </c>
      <c r="R3480" s="2" t="inlineStr"/>
    </row>
    <row r="3481" ht="15" customHeight="1">
      <c r="A3481" t="inlineStr">
        <is>
          <t>A 66983-2020</t>
        </is>
      </c>
      <c r="B3481" s="1" t="n">
        <v>44176</v>
      </c>
      <c r="C3481" s="1" t="n">
        <v>45182</v>
      </c>
      <c r="D3481" t="inlineStr">
        <is>
          <t>JÄMTLANDS LÄN</t>
        </is>
      </c>
      <c r="E3481" t="inlineStr">
        <is>
          <t>STRÖMSUND</t>
        </is>
      </c>
      <c r="G3481" t="n">
        <v>4.8</v>
      </c>
      <c r="H3481" t="n">
        <v>0</v>
      </c>
      <c r="I3481" t="n">
        <v>0</v>
      </c>
      <c r="J3481" t="n">
        <v>0</v>
      </c>
      <c r="K3481" t="n">
        <v>0</v>
      </c>
      <c r="L3481" t="n">
        <v>0</v>
      </c>
      <c r="M3481" t="n">
        <v>0</v>
      </c>
      <c r="N3481" t="n">
        <v>0</v>
      </c>
      <c r="O3481" t="n">
        <v>0</v>
      </c>
      <c r="P3481" t="n">
        <v>0</v>
      </c>
      <c r="Q3481" t="n">
        <v>0</v>
      </c>
      <c r="R3481" s="2" t="inlineStr"/>
    </row>
    <row r="3482" ht="15" customHeight="1">
      <c r="A3482" t="inlineStr">
        <is>
          <t>A 67730-2020</t>
        </is>
      </c>
      <c r="B3482" s="1" t="n">
        <v>44179</v>
      </c>
      <c r="C3482" s="1" t="n">
        <v>45182</v>
      </c>
      <c r="D3482" t="inlineStr">
        <is>
          <t>JÄMTLANDS LÄN</t>
        </is>
      </c>
      <c r="E3482" t="inlineStr">
        <is>
          <t>KROKOM</t>
        </is>
      </c>
      <c r="G3482" t="n">
        <v>7.5</v>
      </c>
      <c r="H3482" t="n">
        <v>0</v>
      </c>
      <c r="I3482" t="n">
        <v>0</v>
      </c>
      <c r="J3482" t="n">
        <v>0</v>
      </c>
      <c r="K3482" t="n">
        <v>0</v>
      </c>
      <c r="L3482" t="n">
        <v>0</v>
      </c>
      <c r="M3482" t="n">
        <v>0</v>
      </c>
      <c r="N3482" t="n">
        <v>0</v>
      </c>
      <c r="O3482" t="n">
        <v>0</v>
      </c>
      <c r="P3482" t="n">
        <v>0</v>
      </c>
      <c r="Q3482" t="n">
        <v>0</v>
      </c>
      <c r="R3482" s="2" t="inlineStr"/>
    </row>
    <row r="3483" ht="15" customHeight="1">
      <c r="A3483" t="inlineStr">
        <is>
          <t>A 66790-2020</t>
        </is>
      </c>
      <c r="B3483" s="1" t="n">
        <v>44179</v>
      </c>
      <c r="C3483" s="1" t="n">
        <v>45182</v>
      </c>
      <c r="D3483" t="inlineStr">
        <is>
          <t>JÄMTLANDS LÄN</t>
        </is>
      </c>
      <c r="E3483" t="inlineStr">
        <is>
          <t>ÅRE</t>
        </is>
      </c>
      <c r="G3483" t="n">
        <v>2.3</v>
      </c>
      <c r="H3483" t="n">
        <v>0</v>
      </c>
      <c r="I3483" t="n">
        <v>0</v>
      </c>
      <c r="J3483" t="n">
        <v>0</v>
      </c>
      <c r="K3483" t="n">
        <v>0</v>
      </c>
      <c r="L3483" t="n">
        <v>0</v>
      </c>
      <c r="M3483" t="n">
        <v>0</v>
      </c>
      <c r="N3483" t="n">
        <v>0</v>
      </c>
      <c r="O3483" t="n">
        <v>0</v>
      </c>
      <c r="P3483" t="n">
        <v>0</v>
      </c>
      <c r="Q3483" t="n">
        <v>0</v>
      </c>
      <c r="R3483" s="2" t="inlineStr"/>
    </row>
    <row r="3484" ht="15" customHeight="1">
      <c r="A3484" t="inlineStr">
        <is>
          <t>A 66859-2020</t>
        </is>
      </c>
      <c r="B3484" s="1" t="n">
        <v>44179</v>
      </c>
      <c r="C3484" s="1" t="n">
        <v>45182</v>
      </c>
      <c r="D3484" t="inlineStr">
        <is>
          <t>JÄMTLANDS LÄN</t>
        </is>
      </c>
      <c r="E3484" t="inlineStr">
        <is>
          <t>BRÄCKE</t>
        </is>
      </c>
      <c r="F3484" t="inlineStr">
        <is>
          <t>SCA</t>
        </is>
      </c>
      <c r="G3484" t="n">
        <v>1.5</v>
      </c>
      <c r="H3484" t="n">
        <v>0</v>
      </c>
      <c r="I3484" t="n">
        <v>0</v>
      </c>
      <c r="J3484" t="n">
        <v>0</v>
      </c>
      <c r="K3484" t="n">
        <v>0</v>
      </c>
      <c r="L3484" t="n">
        <v>0</v>
      </c>
      <c r="M3484" t="n">
        <v>0</v>
      </c>
      <c r="N3484" t="n">
        <v>0</v>
      </c>
      <c r="O3484" t="n">
        <v>0</v>
      </c>
      <c r="P3484" t="n">
        <v>0</v>
      </c>
      <c r="Q3484" t="n">
        <v>0</v>
      </c>
      <c r="R3484" s="2" t="inlineStr"/>
    </row>
    <row r="3485" ht="15" customHeight="1">
      <c r="A3485" t="inlineStr">
        <is>
          <t>A 66592-2020</t>
        </is>
      </c>
      <c r="B3485" s="1" t="n">
        <v>44179</v>
      </c>
      <c r="C3485" s="1" t="n">
        <v>45182</v>
      </c>
      <c r="D3485" t="inlineStr">
        <is>
          <t>JÄMTLANDS LÄN</t>
        </is>
      </c>
      <c r="E3485" t="inlineStr">
        <is>
          <t>STRÖMSUND</t>
        </is>
      </c>
      <c r="F3485" t="inlineStr">
        <is>
          <t>Kyrkan</t>
        </is>
      </c>
      <c r="G3485" t="n">
        <v>29.6</v>
      </c>
      <c r="H3485" t="n">
        <v>0</v>
      </c>
      <c r="I3485" t="n">
        <v>0</v>
      </c>
      <c r="J3485" t="n">
        <v>0</v>
      </c>
      <c r="K3485" t="n">
        <v>0</v>
      </c>
      <c r="L3485" t="n">
        <v>0</v>
      </c>
      <c r="M3485" t="n">
        <v>0</v>
      </c>
      <c r="N3485" t="n">
        <v>0</v>
      </c>
      <c r="O3485" t="n">
        <v>0</v>
      </c>
      <c r="P3485" t="n">
        <v>0</v>
      </c>
      <c r="Q3485" t="n">
        <v>0</v>
      </c>
      <c r="R3485" s="2" t="inlineStr"/>
    </row>
    <row r="3486" ht="15" customHeight="1">
      <c r="A3486" t="inlineStr">
        <is>
          <t>A 66653-2020</t>
        </is>
      </c>
      <c r="B3486" s="1" t="n">
        <v>44179</v>
      </c>
      <c r="C3486" s="1" t="n">
        <v>45182</v>
      </c>
      <c r="D3486" t="inlineStr">
        <is>
          <t>JÄMTLANDS LÄN</t>
        </is>
      </c>
      <c r="E3486" t="inlineStr">
        <is>
          <t>STRÖMSUND</t>
        </is>
      </c>
      <c r="F3486" t="inlineStr">
        <is>
          <t>SCA</t>
        </is>
      </c>
      <c r="G3486" t="n">
        <v>27.7</v>
      </c>
      <c r="H3486" t="n">
        <v>0</v>
      </c>
      <c r="I3486" t="n">
        <v>0</v>
      </c>
      <c r="J3486" t="n">
        <v>0</v>
      </c>
      <c r="K3486" t="n">
        <v>0</v>
      </c>
      <c r="L3486" t="n">
        <v>0</v>
      </c>
      <c r="M3486" t="n">
        <v>0</v>
      </c>
      <c r="N3486" t="n">
        <v>0</v>
      </c>
      <c r="O3486" t="n">
        <v>0</v>
      </c>
      <c r="P3486" t="n">
        <v>0</v>
      </c>
      <c r="Q3486" t="n">
        <v>0</v>
      </c>
      <c r="R3486" s="2" t="inlineStr"/>
    </row>
    <row r="3487" ht="15" customHeight="1">
      <c r="A3487" t="inlineStr">
        <is>
          <t>A 66720-2020</t>
        </is>
      </c>
      <c r="B3487" s="1" t="n">
        <v>44179</v>
      </c>
      <c r="C3487" s="1" t="n">
        <v>45182</v>
      </c>
      <c r="D3487" t="inlineStr">
        <is>
          <t>JÄMTLANDS LÄN</t>
        </is>
      </c>
      <c r="E3487" t="inlineStr">
        <is>
          <t>HÄRJEDALEN</t>
        </is>
      </c>
      <c r="G3487" t="n">
        <v>2.2</v>
      </c>
      <c r="H3487" t="n">
        <v>0</v>
      </c>
      <c r="I3487" t="n">
        <v>0</v>
      </c>
      <c r="J3487" t="n">
        <v>0</v>
      </c>
      <c r="K3487" t="n">
        <v>0</v>
      </c>
      <c r="L3487" t="n">
        <v>0</v>
      </c>
      <c r="M3487" t="n">
        <v>0</v>
      </c>
      <c r="N3487" t="n">
        <v>0</v>
      </c>
      <c r="O3487" t="n">
        <v>0</v>
      </c>
      <c r="P3487" t="n">
        <v>0</v>
      </c>
      <c r="Q3487" t="n">
        <v>0</v>
      </c>
      <c r="R3487" s="2" t="inlineStr"/>
    </row>
    <row r="3488" ht="15" customHeight="1">
      <c r="A3488" t="inlineStr">
        <is>
          <t>A 66755-2020</t>
        </is>
      </c>
      <c r="B3488" s="1" t="n">
        <v>44179</v>
      </c>
      <c r="C3488" s="1" t="n">
        <v>45182</v>
      </c>
      <c r="D3488" t="inlineStr">
        <is>
          <t>JÄMTLANDS LÄN</t>
        </is>
      </c>
      <c r="E3488" t="inlineStr">
        <is>
          <t>ÅRE</t>
        </is>
      </c>
      <c r="G3488" t="n">
        <v>3.5</v>
      </c>
      <c r="H3488" t="n">
        <v>0</v>
      </c>
      <c r="I3488" t="n">
        <v>0</v>
      </c>
      <c r="J3488" t="n">
        <v>0</v>
      </c>
      <c r="K3488" t="n">
        <v>0</v>
      </c>
      <c r="L3488" t="n">
        <v>0</v>
      </c>
      <c r="M3488" t="n">
        <v>0</v>
      </c>
      <c r="N3488" t="n">
        <v>0</v>
      </c>
      <c r="O3488" t="n">
        <v>0</v>
      </c>
      <c r="P3488" t="n">
        <v>0</v>
      </c>
      <c r="Q3488" t="n">
        <v>0</v>
      </c>
      <c r="R3488" s="2" t="inlineStr"/>
    </row>
    <row r="3489" ht="15" customHeight="1">
      <c r="A3489" t="inlineStr">
        <is>
          <t>A 67080-2020</t>
        </is>
      </c>
      <c r="B3489" s="1" t="n">
        <v>44179</v>
      </c>
      <c r="C3489" s="1" t="n">
        <v>45182</v>
      </c>
      <c r="D3489" t="inlineStr">
        <is>
          <t>JÄMTLANDS LÄN</t>
        </is>
      </c>
      <c r="E3489" t="inlineStr">
        <is>
          <t>BRÄCKE</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67270-2020</t>
        </is>
      </c>
      <c r="B3490" s="1" t="n">
        <v>44179</v>
      </c>
      <c r="C3490" s="1" t="n">
        <v>45182</v>
      </c>
      <c r="D3490" t="inlineStr">
        <is>
          <t>JÄMTLANDS LÄN</t>
        </is>
      </c>
      <c r="E3490" t="inlineStr">
        <is>
          <t>ÅRE</t>
        </is>
      </c>
      <c r="G3490" t="n">
        <v>4.2</v>
      </c>
      <c r="H3490" t="n">
        <v>0</v>
      </c>
      <c r="I3490" t="n">
        <v>0</v>
      </c>
      <c r="J3490" t="n">
        <v>0</v>
      </c>
      <c r="K3490" t="n">
        <v>0</v>
      </c>
      <c r="L3490" t="n">
        <v>0</v>
      </c>
      <c r="M3490" t="n">
        <v>0</v>
      </c>
      <c r="N3490" t="n">
        <v>0</v>
      </c>
      <c r="O3490" t="n">
        <v>0</v>
      </c>
      <c r="P3490" t="n">
        <v>0</v>
      </c>
      <c r="Q3490" t="n">
        <v>0</v>
      </c>
      <c r="R3490" s="2" t="inlineStr"/>
    </row>
    <row r="3491" ht="15" customHeight="1">
      <c r="A3491" t="inlineStr">
        <is>
          <t>A 66702-2020</t>
        </is>
      </c>
      <c r="B3491" s="1" t="n">
        <v>44179</v>
      </c>
      <c r="C3491" s="1" t="n">
        <v>45182</v>
      </c>
      <c r="D3491" t="inlineStr">
        <is>
          <t>JÄMTLANDS LÄN</t>
        </is>
      </c>
      <c r="E3491" t="inlineStr">
        <is>
          <t>STRÖMSUND</t>
        </is>
      </c>
      <c r="F3491" t="inlineStr">
        <is>
          <t>SCA</t>
        </is>
      </c>
      <c r="G3491" t="n">
        <v>23.5</v>
      </c>
      <c r="H3491" t="n">
        <v>0</v>
      </c>
      <c r="I3491" t="n">
        <v>0</v>
      </c>
      <c r="J3491" t="n">
        <v>0</v>
      </c>
      <c r="K3491" t="n">
        <v>0</v>
      </c>
      <c r="L3491" t="n">
        <v>0</v>
      </c>
      <c r="M3491" t="n">
        <v>0</v>
      </c>
      <c r="N3491" t="n">
        <v>0</v>
      </c>
      <c r="O3491" t="n">
        <v>0</v>
      </c>
      <c r="P3491" t="n">
        <v>0</v>
      </c>
      <c r="Q3491" t="n">
        <v>0</v>
      </c>
      <c r="R3491" s="2" t="inlineStr"/>
    </row>
    <row r="3492" ht="15" customHeight="1">
      <c r="A3492" t="inlineStr">
        <is>
          <t>A 66739-2020</t>
        </is>
      </c>
      <c r="B3492" s="1" t="n">
        <v>44179</v>
      </c>
      <c r="C3492" s="1" t="n">
        <v>45182</v>
      </c>
      <c r="D3492" t="inlineStr">
        <is>
          <t>JÄMTLANDS LÄN</t>
        </is>
      </c>
      <c r="E3492" t="inlineStr">
        <is>
          <t>STRÖMSUND</t>
        </is>
      </c>
      <c r="F3492" t="inlineStr">
        <is>
          <t>SCA</t>
        </is>
      </c>
      <c r="G3492" t="n">
        <v>23.7</v>
      </c>
      <c r="H3492" t="n">
        <v>0</v>
      </c>
      <c r="I3492" t="n">
        <v>0</v>
      </c>
      <c r="J3492" t="n">
        <v>0</v>
      </c>
      <c r="K3492" t="n">
        <v>0</v>
      </c>
      <c r="L3492" t="n">
        <v>0</v>
      </c>
      <c r="M3492" t="n">
        <v>0</v>
      </c>
      <c r="N3492" t="n">
        <v>0</v>
      </c>
      <c r="O3492" t="n">
        <v>0</v>
      </c>
      <c r="P3492" t="n">
        <v>0</v>
      </c>
      <c r="Q3492" t="n">
        <v>0</v>
      </c>
      <c r="R3492" s="2" t="inlineStr"/>
    </row>
    <row r="3493" ht="15" customHeight="1">
      <c r="A3493" t="inlineStr">
        <is>
          <t>A 66770-2020</t>
        </is>
      </c>
      <c r="B3493" s="1" t="n">
        <v>44179</v>
      </c>
      <c r="C3493" s="1" t="n">
        <v>45182</v>
      </c>
      <c r="D3493" t="inlineStr">
        <is>
          <t>JÄMTLANDS LÄN</t>
        </is>
      </c>
      <c r="E3493" t="inlineStr">
        <is>
          <t>STRÖMSUND</t>
        </is>
      </c>
      <c r="F3493" t="inlineStr">
        <is>
          <t>Holmen skog AB</t>
        </is>
      </c>
      <c r="G3493" t="n">
        <v>17.9</v>
      </c>
      <c r="H3493" t="n">
        <v>0</v>
      </c>
      <c r="I3493" t="n">
        <v>0</v>
      </c>
      <c r="J3493" t="n">
        <v>0</v>
      </c>
      <c r="K3493" t="n">
        <v>0</v>
      </c>
      <c r="L3493" t="n">
        <v>0</v>
      </c>
      <c r="M3493" t="n">
        <v>0</v>
      </c>
      <c r="N3493" t="n">
        <v>0</v>
      </c>
      <c r="O3493" t="n">
        <v>0</v>
      </c>
      <c r="P3493" t="n">
        <v>0</v>
      </c>
      <c r="Q3493" t="n">
        <v>0</v>
      </c>
      <c r="R3493" s="2" t="inlineStr"/>
    </row>
    <row r="3494" ht="15" customHeight="1">
      <c r="A3494" t="inlineStr">
        <is>
          <t>A 67099-2020</t>
        </is>
      </c>
      <c r="B3494" s="1" t="n">
        <v>44180</v>
      </c>
      <c r="C3494" s="1" t="n">
        <v>45182</v>
      </c>
      <c r="D3494" t="inlineStr">
        <is>
          <t>JÄMTLANDS LÄN</t>
        </is>
      </c>
      <c r="E3494" t="inlineStr">
        <is>
          <t>HÄRJEDALEN</t>
        </is>
      </c>
      <c r="F3494" t="inlineStr">
        <is>
          <t>Holmen skog AB</t>
        </is>
      </c>
      <c r="G3494" t="n">
        <v>1.2</v>
      </c>
      <c r="H3494" t="n">
        <v>0</v>
      </c>
      <c r="I3494" t="n">
        <v>0</v>
      </c>
      <c r="J3494" t="n">
        <v>0</v>
      </c>
      <c r="K3494" t="n">
        <v>0</v>
      </c>
      <c r="L3494" t="n">
        <v>0</v>
      </c>
      <c r="M3494" t="n">
        <v>0</v>
      </c>
      <c r="N3494" t="n">
        <v>0</v>
      </c>
      <c r="O3494" t="n">
        <v>0</v>
      </c>
      <c r="P3494" t="n">
        <v>0</v>
      </c>
      <c r="Q3494" t="n">
        <v>0</v>
      </c>
      <c r="R3494" s="2" t="inlineStr"/>
    </row>
    <row r="3495" ht="15" customHeight="1">
      <c r="A3495" t="inlineStr">
        <is>
          <t>A 67144-2020</t>
        </is>
      </c>
      <c r="B3495" s="1" t="n">
        <v>44180</v>
      </c>
      <c r="C3495" s="1" t="n">
        <v>45182</v>
      </c>
      <c r="D3495" t="inlineStr">
        <is>
          <t>JÄMTLANDS LÄN</t>
        </is>
      </c>
      <c r="E3495" t="inlineStr">
        <is>
          <t>HÄRJEDALEN</t>
        </is>
      </c>
      <c r="F3495" t="inlineStr">
        <is>
          <t>Holmen skog AB</t>
        </is>
      </c>
      <c r="G3495" t="n">
        <v>9.5</v>
      </c>
      <c r="H3495" t="n">
        <v>0</v>
      </c>
      <c r="I3495" t="n">
        <v>0</v>
      </c>
      <c r="J3495" t="n">
        <v>0</v>
      </c>
      <c r="K3495" t="n">
        <v>0</v>
      </c>
      <c r="L3495" t="n">
        <v>0</v>
      </c>
      <c r="M3495" t="n">
        <v>0</v>
      </c>
      <c r="N3495" t="n">
        <v>0</v>
      </c>
      <c r="O3495" t="n">
        <v>0</v>
      </c>
      <c r="P3495" t="n">
        <v>0</v>
      </c>
      <c r="Q3495" t="n">
        <v>0</v>
      </c>
      <c r="R3495" s="2" t="inlineStr"/>
    </row>
    <row r="3496" ht="15" customHeight="1">
      <c r="A3496" t="inlineStr">
        <is>
          <t>A 67156-2020</t>
        </is>
      </c>
      <c r="B3496" s="1" t="n">
        <v>44180</v>
      </c>
      <c r="C3496" s="1" t="n">
        <v>45182</v>
      </c>
      <c r="D3496" t="inlineStr">
        <is>
          <t>JÄMTLANDS LÄN</t>
        </is>
      </c>
      <c r="E3496" t="inlineStr">
        <is>
          <t>HÄRJEDALEN</t>
        </is>
      </c>
      <c r="F3496" t="inlineStr">
        <is>
          <t>Holmen skog AB</t>
        </is>
      </c>
      <c r="G3496" t="n">
        <v>7.3</v>
      </c>
      <c r="H3496" t="n">
        <v>0</v>
      </c>
      <c r="I3496" t="n">
        <v>0</v>
      </c>
      <c r="J3496" t="n">
        <v>0</v>
      </c>
      <c r="K3496" t="n">
        <v>0</v>
      </c>
      <c r="L3496" t="n">
        <v>0</v>
      </c>
      <c r="M3496" t="n">
        <v>0</v>
      </c>
      <c r="N3496" t="n">
        <v>0</v>
      </c>
      <c r="O3496" t="n">
        <v>0</v>
      </c>
      <c r="P3496" t="n">
        <v>0</v>
      </c>
      <c r="Q3496" t="n">
        <v>0</v>
      </c>
      <c r="R3496" s="2" t="inlineStr"/>
    </row>
    <row r="3497" ht="15" customHeight="1">
      <c r="A3497" t="inlineStr">
        <is>
          <t>A 67180-2020</t>
        </is>
      </c>
      <c r="B3497" s="1" t="n">
        <v>44180</v>
      </c>
      <c r="C3497" s="1" t="n">
        <v>45182</v>
      </c>
      <c r="D3497" t="inlineStr">
        <is>
          <t>JÄMTLANDS LÄN</t>
        </is>
      </c>
      <c r="E3497" t="inlineStr">
        <is>
          <t>HÄRJEDALEN</t>
        </is>
      </c>
      <c r="G3497" t="n">
        <v>0</v>
      </c>
      <c r="H3497" t="n">
        <v>0</v>
      </c>
      <c r="I3497" t="n">
        <v>0</v>
      </c>
      <c r="J3497" t="n">
        <v>0</v>
      </c>
      <c r="K3497" t="n">
        <v>0</v>
      </c>
      <c r="L3497" t="n">
        <v>0</v>
      </c>
      <c r="M3497" t="n">
        <v>0</v>
      </c>
      <c r="N3497" t="n">
        <v>0</v>
      </c>
      <c r="O3497" t="n">
        <v>0</v>
      </c>
      <c r="P3497" t="n">
        <v>0</v>
      </c>
      <c r="Q3497" t="n">
        <v>0</v>
      </c>
      <c r="R3497" s="2" t="inlineStr"/>
    </row>
    <row r="3498" ht="15" customHeight="1">
      <c r="A3498" t="inlineStr">
        <is>
          <t>A 67110-2020</t>
        </is>
      </c>
      <c r="B3498" s="1" t="n">
        <v>44180</v>
      </c>
      <c r="C3498" s="1" t="n">
        <v>45182</v>
      </c>
      <c r="D3498" t="inlineStr">
        <is>
          <t>JÄMTLANDS LÄN</t>
        </is>
      </c>
      <c r="E3498" t="inlineStr">
        <is>
          <t>HÄRJEDALEN</t>
        </is>
      </c>
      <c r="F3498" t="inlineStr">
        <is>
          <t>Holmen skog AB</t>
        </is>
      </c>
      <c r="G3498" t="n">
        <v>1.6</v>
      </c>
      <c r="H3498" t="n">
        <v>0</v>
      </c>
      <c r="I3498" t="n">
        <v>0</v>
      </c>
      <c r="J3498" t="n">
        <v>0</v>
      </c>
      <c r="K3498" t="n">
        <v>0</v>
      </c>
      <c r="L3498" t="n">
        <v>0</v>
      </c>
      <c r="M3498" t="n">
        <v>0</v>
      </c>
      <c r="N3498" t="n">
        <v>0</v>
      </c>
      <c r="O3498" t="n">
        <v>0</v>
      </c>
      <c r="P3498" t="n">
        <v>0</v>
      </c>
      <c r="Q3498" t="n">
        <v>0</v>
      </c>
      <c r="R3498" s="2" t="inlineStr"/>
    </row>
    <row r="3499" ht="15" customHeight="1">
      <c r="A3499" t="inlineStr">
        <is>
          <t>A 67153-2020</t>
        </is>
      </c>
      <c r="B3499" s="1" t="n">
        <v>44180</v>
      </c>
      <c r="C3499" s="1" t="n">
        <v>45182</v>
      </c>
      <c r="D3499" t="inlineStr">
        <is>
          <t>JÄMTLANDS LÄN</t>
        </is>
      </c>
      <c r="E3499" t="inlineStr">
        <is>
          <t>HÄRJEDALEN</t>
        </is>
      </c>
      <c r="F3499" t="inlineStr">
        <is>
          <t>Holmen skog AB</t>
        </is>
      </c>
      <c r="G3499" t="n">
        <v>7.8</v>
      </c>
      <c r="H3499" t="n">
        <v>0</v>
      </c>
      <c r="I3499" t="n">
        <v>0</v>
      </c>
      <c r="J3499" t="n">
        <v>0</v>
      </c>
      <c r="K3499" t="n">
        <v>0</v>
      </c>
      <c r="L3499" t="n">
        <v>0</v>
      </c>
      <c r="M3499" t="n">
        <v>0</v>
      </c>
      <c r="N3499" t="n">
        <v>0</v>
      </c>
      <c r="O3499" t="n">
        <v>0</v>
      </c>
      <c r="P3499" t="n">
        <v>0</v>
      </c>
      <c r="Q3499" t="n">
        <v>0</v>
      </c>
      <c r="R3499" s="2" t="inlineStr"/>
    </row>
    <row r="3500" ht="15" customHeight="1">
      <c r="A3500" t="inlineStr">
        <is>
          <t>A 67646-2020</t>
        </is>
      </c>
      <c r="B3500" s="1" t="n">
        <v>44180</v>
      </c>
      <c r="C3500" s="1" t="n">
        <v>45182</v>
      </c>
      <c r="D3500" t="inlineStr">
        <is>
          <t>JÄMTLANDS LÄN</t>
        </is>
      </c>
      <c r="E3500" t="inlineStr">
        <is>
          <t>ÖSTERSUND</t>
        </is>
      </c>
      <c r="G3500" t="n">
        <v>1.9</v>
      </c>
      <c r="H3500" t="n">
        <v>0</v>
      </c>
      <c r="I3500" t="n">
        <v>0</v>
      </c>
      <c r="J3500" t="n">
        <v>0</v>
      </c>
      <c r="K3500" t="n">
        <v>0</v>
      </c>
      <c r="L3500" t="n">
        <v>0</v>
      </c>
      <c r="M3500" t="n">
        <v>0</v>
      </c>
      <c r="N3500" t="n">
        <v>0</v>
      </c>
      <c r="O3500" t="n">
        <v>0</v>
      </c>
      <c r="P3500" t="n">
        <v>0</v>
      </c>
      <c r="Q3500" t="n">
        <v>0</v>
      </c>
      <c r="R3500" s="2" t="inlineStr"/>
    </row>
    <row r="3501" ht="15" customHeight="1">
      <c r="A3501" t="inlineStr">
        <is>
          <t>A 67106-2020</t>
        </is>
      </c>
      <c r="B3501" s="1" t="n">
        <v>44180</v>
      </c>
      <c r="C3501" s="1" t="n">
        <v>45182</v>
      </c>
      <c r="D3501" t="inlineStr">
        <is>
          <t>JÄMTLANDS LÄN</t>
        </is>
      </c>
      <c r="E3501" t="inlineStr">
        <is>
          <t>HÄRJEDALEN</t>
        </is>
      </c>
      <c r="F3501" t="inlineStr">
        <is>
          <t>Holmen skog AB</t>
        </is>
      </c>
      <c r="G3501" t="n">
        <v>0.5</v>
      </c>
      <c r="H3501" t="n">
        <v>0</v>
      </c>
      <c r="I3501" t="n">
        <v>0</v>
      </c>
      <c r="J3501" t="n">
        <v>0</v>
      </c>
      <c r="K3501" t="n">
        <v>0</v>
      </c>
      <c r="L3501" t="n">
        <v>0</v>
      </c>
      <c r="M3501" t="n">
        <v>0</v>
      </c>
      <c r="N3501" t="n">
        <v>0</v>
      </c>
      <c r="O3501" t="n">
        <v>0</v>
      </c>
      <c r="P3501" t="n">
        <v>0</v>
      </c>
      <c r="Q3501" t="n">
        <v>0</v>
      </c>
      <c r="R3501" s="2" t="inlineStr"/>
    </row>
    <row r="3502" ht="15" customHeight="1">
      <c r="A3502" t="inlineStr">
        <is>
          <t>A 67182-2020</t>
        </is>
      </c>
      <c r="B3502" s="1" t="n">
        <v>44180</v>
      </c>
      <c r="C3502" s="1" t="n">
        <v>45182</v>
      </c>
      <c r="D3502" t="inlineStr">
        <is>
          <t>JÄMTLANDS LÄN</t>
        </is>
      </c>
      <c r="E3502" t="inlineStr">
        <is>
          <t>HÄRJEDALEN</t>
        </is>
      </c>
      <c r="G3502" t="n">
        <v>1</v>
      </c>
      <c r="H3502" t="n">
        <v>0</v>
      </c>
      <c r="I3502" t="n">
        <v>0</v>
      </c>
      <c r="J3502" t="n">
        <v>0</v>
      </c>
      <c r="K3502" t="n">
        <v>0</v>
      </c>
      <c r="L3502" t="n">
        <v>0</v>
      </c>
      <c r="M3502" t="n">
        <v>0</v>
      </c>
      <c r="N3502" t="n">
        <v>0</v>
      </c>
      <c r="O3502" t="n">
        <v>0</v>
      </c>
      <c r="P3502" t="n">
        <v>0</v>
      </c>
      <c r="Q3502" t="n">
        <v>0</v>
      </c>
      <c r="R3502" s="2" t="inlineStr"/>
    </row>
    <row r="3503" ht="15" customHeight="1">
      <c r="A3503" t="inlineStr">
        <is>
          <t>A 67194-2020</t>
        </is>
      </c>
      <c r="B3503" s="1" t="n">
        <v>44180</v>
      </c>
      <c r="C3503" s="1" t="n">
        <v>45182</v>
      </c>
      <c r="D3503" t="inlineStr">
        <is>
          <t>JÄMTLANDS LÄN</t>
        </is>
      </c>
      <c r="E3503" t="inlineStr">
        <is>
          <t>HÄRJEDALEN</t>
        </is>
      </c>
      <c r="F3503" t="inlineStr">
        <is>
          <t>Holmen skog AB</t>
        </is>
      </c>
      <c r="G3503" t="n">
        <v>8.5</v>
      </c>
      <c r="H3503" t="n">
        <v>0</v>
      </c>
      <c r="I3503" t="n">
        <v>0</v>
      </c>
      <c r="J3503" t="n">
        <v>0</v>
      </c>
      <c r="K3503" t="n">
        <v>0</v>
      </c>
      <c r="L3503" t="n">
        <v>0</v>
      </c>
      <c r="M3503" t="n">
        <v>0</v>
      </c>
      <c r="N3503" t="n">
        <v>0</v>
      </c>
      <c r="O3503" t="n">
        <v>0</v>
      </c>
      <c r="P3503" t="n">
        <v>0</v>
      </c>
      <c r="Q3503" t="n">
        <v>0</v>
      </c>
      <c r="R3503" s="2" t="inlineStr"/>
    </row>
    <row r="3504" ht="15" customHeight="1">
      <c r="A3504" t="inlineStr">
        <is>
          <t>A 67643-2020</t>
        </is>
      </c>
      <c r="B3504" s="1" t="n">
        <v>44180</v>
      </c>
      <c r="C3504" s="1" t="n">
        <v>45182</v>
      </c>
      <c r="D3504" t="inlineStr">
        <is>
          <t>JÄMTLANDS LÄN</t>
        </is>
      </c>
      <c r="E3504" t="inlineStr">
        <is>
          <t>ÖSTERSUND</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67411-2020</t>
        </is>
      </c>
      <c r="B3505" s="1" t="n">
        <v>44181</v>
      </c>
      <c r="C3505" s="1" t="n">
        <v>45182</v>
      </c>
      <c r="D3505" t="inlineStr">
        <is>
          <t>JÄMTLANDS LÄN</t>
        </is>
      </c>
      <c r="E3505" t="inlineStr">
        <is>
          <t>HÄRJEDALEN</t>
        </is>
      </c>
      <c r="F3505" t="inlineStr">
        <is>
          <t>Holmen skog AB</t>
        </is>
      </c>
      <c r="G3505" t="n">
        <v>5.9</v>
      </c>
      <c r="H3505" t="n">
        <v>0</v>
      </c>
      <c r="I3505" t="n">
        <v>0</v>
      </c>
      <c r="J3505" t="n">
        <v>0</v>
      </c>
      <c r="K3505" t="n">
        <v>0</v>
      </c>
      <c r="L3505" t="n">
        <v>0</v>
      </c>
      <c r="M3505" t="n">
        <v>0</v>
      </c>
      <c r="N3505" t="n">
        <v>0</v>
      </c>
      <c r="O3505" t="n">
        <v>0</v>
      </c>
      <c r="P3505" t="n">
        <v>0</v>
      </c>
      <c r="Q3505" t="n">
        <v>0</v>
      </c>
      <c r="R3505" s="2" t="inlineStr"/>
    </row>
    <row r="3506" ht="15" customHeight="1">
      <c r="A3506" t="inlineStr">
        <is>
          <t>A 67438-2020</t>
        </is>
      </c>
      <c r="B3506" s="1" t="n">
        <v>44181</v>
      </c>
      <c r="C3506" s="1" t="n">
        <v>45182</v>
      </c>
      <c r="D3506" t="inlineStr">
        <is>
          <t>JÄMTLANDS LÄN</t>
        </is>
      </c>
      <c r="E3506" t="inlineStr">
        <is>
          <t>HÄRJEDALEN</t>
        </is>
      </c>
      <c r="F3506" t="inlineStr">
        <is>
          <t>Holmen skog AB</t>
        </is>
      </c>
      <c r="G3506" t="n">
        <v>5.6</v>
      </c>
      <c r="H3506" t="n">
        <v>0</v>
      </c>
      <c r="I3506" t="n">
        <v>0</v>
      </c>
      <c r="J3506" t="n">
        <v>0</v>
      </c>
      <c r="K3506" t="n">
        <v>0</v>
      </c>
      <c r="L3506" t="n">
        <v>0</v>
      </c>
      <c r="M3506" t="n">
        <v>0</v>
      </c>
      <c r="N3506" t="n">
        <v>0</v>
      </c>
      <c r="O3506" t="n">
        <v>0</v>
      </c>
      <c r="P3506" t="n">
        <v>0</v>
      </c>
      <c r="Q3506" t="n">
        <v>0</v>
      </c>
      <c r="R3506" s="2" t="inlineStr"/>
    </row>
    <row r="3507" ht="15" customHeight="1">
      <c r="A3507" t="inlineStr">
        <is>
          <t>A 67447-2020</t>
        </is>
      </c>
      <c r="B3507" s="1" t="n">
        <v>44181</v>
      </c>
      <c r="C3507" s="1" t="n">
        <v>45182</v>
      </c>
      <c r="D3507" t="inlineStr">
        <is>
          <t>JÄMTLANDS LÄN</t>
        </is>
      </c>
      <c r="E3507" t="inlineStr">
        <is>
          <t>HÄRJEDALEN</t>
        </is>
      </c>
      <c r="F3507" t="inlineStr">
        <is>
          <t>Holmen skog AB</t>
        </is>
      </c>
      <c r="G3507" t="n">
        <v>8.6</v>
      </c>
      <c r="H3507" t="n">
        <v>0</v>
      </c>
      <c r="I3507" t="n">
        <v>0</v>
      </c>
      <c r="J3507" t="n">
        <v>0</v>
      </c>
      <c r="K3507" t="n">
        <v>0</v>
      </c>
      <c r="L3507" t="n">
        <v>0</v>
      </c>
      <c r="M3507" t="n">
        <v>0</v>
      </c>
      <c r="N3507" t="n">
        <v>0</v>
      </c>
      <c r="O3507" t="n">
        <v>0</v>
      </c>
      <c r="P3507" t="n">
        <v>0</v>
      </c>
      <c r="Q3507" t="n">
        <v>0</v>
      </c>
      <c r="R3507" s="2" t="inlineStr"/>
    </row>
    <row r="3508" ht="15" customHeight="1">
      <c r="A3508" t="inlineStr">
        <is>
          <t>A 67454-2020</t>
        </is>
      </c>
      <c r="B3508" s="1" t="n">
        <v>44181</v>
      </c>
      <c r="C3508" s="1" t="n">
        <v>45182</v>
      </c>
      <c r="D3508" t="inlineStr">
        <is>
          <t>JÄMTLANDS LÄN</t>
        </is>
      </c>
      <c r="E3508" t="inlineStr">
        <is>
          <t>HÄRJEDALEN</t>
        </is>
      </c>
      <c r="F3508" t="inlineStr">
        <is>
          <t>Holmen skog AB</t>
        </is>
      </c>
      <c r="G3508" t="n">
        <v>2.4</v>
      </c>
      <c r="H3508" t="n">
        <v>0</v>
      </c>
      <c r="I3508" t="n">
        <v>0</v>
      </c>
      <c r="J3508" t="n">
        <v>0</v>
      </c>
      <c r="K3508" t="n">
        <v>0</v>
      </c>
      <c r="L3508" t="n">
        <v>0</v>
      </c>
      <c r="M3508" t="n">
        <v>0</v>
      </c>
      <c r="N3508" t="n">
        <v>0</v>
      </c>
      <c r="O3508" t="n">
        <v>0</v>
      </c>
      <c r="P3508" t="n">
        <v>0</v>
      </c>
      <c r="Q3508" t="n">
        <v>0</v>
      </c>
      <c r="R3508" s="2" t="inlineStr"/>
    </row>
    <row r="3509" ht="15" customHeight="1">
      <c r="A3509" t="inlineStr">
        <is>
          <t>A 67529-2020</t>
        </is>
      </c>
      <c r="B3509" s="1" t="n">
        <v>44181</v>
      </c>
      <c r="C3509" s="1" t="n">
        <v>45182</v>
      </c>
      <c r="D3509" t="inlineStr">
        <is>
          <t>JÄMTLANDS LÄN</t>
        </is>
      </c>
      <c r="E3509" t="inlineStr">
        <is>
          <t>HÄRJEDALEN</t>
        </is>
      </c>
      <c r="F3509" t="inlineStr">
        <is>
          <t>Holmen skog AB</t>
        </is>
      </c>
      <c r="G3509" t="n">
        <v>5.4</v>
      </c>
      <c r="H3509" t="n">
        <v>0</v>
      </c>
      <c r="I3509" t="n">
        <v>0</v>
      </c>
      <c r="J3509" t="n">
        <v>0</v>
      </c>
      <c r="K3509" t="n">
        <v>0</v>
      </c>
      <c r="L3509" t="n">
        <v>0</v>
      </c>
      <c r="M3509" t="n">
        <v>0</v>
      </c>
      <c r="N3509" t="n">
        <v>0</v>
      </c>
      <c r="O3509" t="n">
        <v>0</v>
      </c>
      <c r="P3509" t="n">
        <v>0</v>
      </c>
      <c r="Q3509" t="n">
        <v>0</v>
      </c>
      <c r="R3509" s="2" t="inlineStr"/>
    </row>
    <row r="3510" ht="15" customHeight="1">
      <c r="A3510" t="inlineStr">
        <is>
          <t>A 67618-2020</t>
        </is>
      </c>
      <c r="B3510" s="1" t="n">
        <v>44181</v>
      </c>
      <c r="C3510" s="1" t="n">
        <v>45182</v>
      </c>
      <c r="D3510" t="inlineStr">
        <is>
          <t>JÄMTLANDS LÄN</t>
        </is>
      </c>
      <c r="E3510" t="inlineStr">
        <is>
          <t>STRÖMSUND</t>
        </is>
      </c>
      <c r="F3510" t="inlineStr">
        <is>
          <t>SCA</t>
        </is>
      </c>
      <c r="G3510" t="n">
        <v>8.4</v>
      </c>
      <c r="H3510" t="n">
        <v>0</v>
      </c>
      <c r="I3510" t="n">
        <v>0</v>
      </c>
      <c r="J3510" t="n">
        <v>0</v>
      </c>
      <c r="K3510" t="n">
        <v>0</v>
      </c>
      <c r="L3510" t="n">
        <v>0</v>
      </c>
      <c r="M3510" t="n">
        <v>0</v>
      </c>
      <c r="N3510" t="n">
        <v>0</v>
      </c>
      <c r="O3510" t="n">
        <v>0</v>
      </c>
      <c r="P3510" t="n">
        <v>0</v>
      </c>
      <c r="Q3510" t="n">
        <v>0</v>
      </c>
      <c r="R3510" s="2" t="inlineStr"/>
    </row>
    <row r="3511" ht="15" customHeight="1">
      <c r="A3511" t="inlineStr">
        <is>
          <t>A 67416-2020</t>
        </is>
      </c>
      <c r="B3511" s="1" t="n">
        <v>44181</v>
      </c>
      <c r="C3511" s="1" t="n">
        <v>45182</v>
      </c>
      <c r="D3511" t="inlineStr">
        <is>
          <t>JÄMTLANDS LÄN</t>
        </is>
      </c>
      <c r="E3511" t="inlineStr">
        <is>
          <t>HÄRJEDALEN</t>
        </is>
      </c>
      <c r="F3511" t="inlineStr">
        <is>
          <t>Holmen skog AB</t>
        </is>
      </c>
      <c r="G3511" t="n">
        <v>9.199999999999999</v>
      </c>
      <c r="H3511" t="n">
        <v>0</v>
      </c>
      <c r="I3511" t="n">
        <v>0</v>
      </c>
      <c r="J3511" t="n">
        <v>0</v>
      </c>
      <c r="K3511" t="n">
        <v>0</v>
      </c>
      <c r="L3511" t="n">
        <v>0</v>
      </c>
      <c r="M3511" t="n">
        <v>0</v>
      </c>
      <c r="N3511" t="n">
        <v>0</v>
      </c>
      <c r="O3511" t="n">
        <v>0</v>
      </c>
      <c r="P3511" t="n">
        <v>0</v>
      </c>
      <c r="Q3511" t="n">
        <v>0</v>
      </c>
      <c r="R3511" s="2" t="inlineStr"/>
    </row>
    <row r="3512" ht="15" customHeight="1">
      <c r="A3512" t="inlineStr">
        <is>
          <t>A 67445-2020</t>
        </is>
      </c>
      <c r="B3512" s="1" t="n">
        <v>44181</v>
      </c>
      <c r="C3512" s="1" t="n">
        <v>45182</v>
      </c>
      <c r="D3512" t="inlineStr">
        <is>
          <t>JÄMTLANDS LÄN</t>
        </is>
      </c>
      <c r="E3512" t="inlineStr">
        <is>
          <t>HÄRJEDALEN</t>
        </is>
      </c>
      <c r="F3512" t="inlineStr">
        <is>
          <t>Holmen skog AB</t>
        </is>
      </c>
      <c r="G3512" t="n">
        <v>1.4</v>
      </c>
      <c r="H3512" t="n">
        <v>0</v>
      </c>
      <c r="I3512" t="n">
        <v>0</v>
      </c>
      <c r="J3512" t="n">
        <v>0</v>
      </c>
      <c r="K3512" t="n">
        <v>0</v>
      </c>
      <c r="L3512" t="n">
        <v>0</v>
      </c>
      <c r="M3512" t="n">
        <v>0</v>
      </c>
      <c r="N3512" t="n">
        <v>0</v>
      </c>
      <c r="O3512" t="n">
        <v>0</v>
      </c>
      <c r="P3512" t="n">
        <v>0</v>
      </c>
      <c r="Q3512" t="n">
        <v>0</v>
      </c>
      <c r="R3512" s="2" t="inlineStr"/>
    </row>
    <row r="3513" ht="15" customHeight="1">
      <c r="A3513" t="inlineStr">
        <is>
          <t>A 67459-2020</t>
        </is>
      </c>
      <c r="B3513" s="1" t="n">
        <v>44181</v>
      </c>
      <c r="C3513" s="1" t="n">
        <v>45182</v>
      </c>
      <c r="D3513" t="inlineStr">
        <is>
          <t>JÄMTLANDS LÄN</t>
        </is>
      </c>
      <c r="E3513" t="inlineStr">
        <is>
          <t>HÄRJEDALEN</t>
        </is>
      </c>
      <c r="F3513" t="inlineStr">
        <is>
          <t>Holmen skog AB</t>
        </is>
      </c>
      <c r="G3513" t="n">
        <v>17.7</v>
      </c>
      <c r="H3513" t="n">
        <v>0</v>
      </c>
      <c r="I3513" t="n">
        <v>0</v>
      </c>
      <c r="J3513" t="n">
        <v>0</v>
      </c>
      <c r="K3513" t="n">
        <v>0</v>
      </c>
      <c r="L3513" t="n">
        <v>0</v>
      </c>
      <c r="M3513" t="n">
        <v>0</v>
      </c>
      <c r="N3513" t="n">
        <v>0</v>
      </c>
      <c r="O3513" t="n">
        <v>0</v>
      </c>
      <c r="P3513" t="n">
        <v>0</v>
      </c>
      <c r="Q3513" t="n">
        <v>0</v>
      </c>
      <c r="R3513" s="2" t="inlineStr"/>
    </row>
    <row r="3514" ht="15" customHeight="1">
      <c r="A3514" t="inlineStr">
        <is>
          <t>A 67526-2020</t>
        </is>
      </c>
      <c r="B3514" s="1" t="n">
        <v>44181</v>
      </c>
      <c r="C3514" s="1" t="n">
        <v>45182</v>
      </c>
      <c r="D3514" t="inlineStr">
        <is>
          <t>JÄMTLANDS LÄN</t>
        </is>
      </c>
      <c r="E3514" t="inlineStr">
        <is>
          <t>HÄRJEDALEN</t>
        </is>
      </c>
      <c r="F3514" t="inlineStr">
        <is>
          <t>Holmen skog AB</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67581-2020</t>
        </is>
      </c>
      <c r="B3515" s="1" t="n">
        <v>44181</v>
      </c>
      <c r="C3515" s="1" t="n">
        <v>45182</v>
      </c>
      <c r="D3515" t="inlineStr">
        <is>
          <t>JÄMTLANDS LÄN</t>
        </is>
      </c>
      <c r="E3515" t="inlineStr">
        <is>
          <t>BRÄCKE</t>
        </is>
      </c>
      <c r="G3515" t="n">
        <v>1.6</v>
      </c>
      <c r="H3515" t="n">
        <v>0</v>
      </c>
      <c r="I3515" t="n">
        <v>0</v>
      </c>
      <c r="J3515" t="n">
        <v>0</v>
      </c>
      <c r="K3515" t="n">
        <v>0</v>
      </c>
      <c r="L3515" t="n">
        <v>0</v>
      </c>
      <c r="M3515" t="n">
        <v>0</v>
      </c>
      <c r="N3515" t="n">
        <v>0</v>
      </c>
      <c r="O3515" t="n">
        <v>0</v>
      </c>
      <c r="P3515" t="n">
        <v>0</v>
      </c>
      <c r="Q3515" t="n">
        <v>0</v>
      </c>
      <c r="R3515" s="2" t="inlineStr"/>
    </row>
    <row r="3516" ht="15" customHeight="1">
      <c r="A3516" t="inlineStr">
        <is>
          <t>A 67612-2020</t>
        </is>
      </c>
      <c r="B3516" s="1" t="n">
        <v>44181</v>
      </c>
      <c r="C3516" s="1" t="n">
        <v>45182</v>
      </c>
      <c r="D3516" t="inlineStr">
        <is>
          <t>JÄMTLANDS LÄN</t>
        </is>
      </c>
      <c r="E3516" t="inlineStr">
        <is>
          <t>BRÄCKE</t>
        </is>
      </c>
      <c r="G3516" t="n">
        <v>1.8</v>
      </c>
      <c r="H3516" t="n">
        <v>0</v>
      </c>
      <c r="I3516" t="n">
        <v>0</v>
      </c>
      <c r="J3516" t="n">
        <v>0</v>
      </c>
      <c r="K3516" t="n">
        <v>0</v>
      </c>
      <c r="L3516" t="n">
        <v>0</v>
      </c>
      <c r="M3516" t="n">
        <v>0</v>
      </c>
      <c r="N3516" t="n">
        <v>0</v>
      </c>
      <c r="O3516" t="n">
        <v>0</v>
      </c>
      <c r="P3516" t="n">
        <v>0</v>
      </c>
      <c r="Q3516" t="n">
        <v>0</v>
      </c>
      <c r="R3516" s="2" t="inlineStr"/>
    </row>
    <row r="3517" ht="15" customHeight="1">
      <c r="A3517" t="inlineStr">
        <is>
          <t>A 67621-2020</t>
        </is>
      </c>
      <c r="B3517" s="1" t="n">
        <v>44181</v>
      </c>
      <c r="C3517" s="1" t="n">
        <v>45182</v>
      </c>
      <c r="D3517" t="inlineStr">
        <is>
          <t>JÄMTLANDS LÄN</t>
        </is>
      </c>
      <c r="E3517" t="inlineStr">
        <is>
          <t>STRÖMSUND</t>
        </is>
      </c>
      <c r="F3517" t="inlineStr">
        <is>
          <t>SCA</t>
        </is>
      </c>
      <c r="G3517" t="n">
        <v>7</v>
      </c>
      <c r="H3517" t="n">
        <v>0</v>
      </c>
      <c r="I3517" t="n">
        <v>0</v>
      </c>
      <c r="J3517" t="n">
        <v>0</v>
      </c>
      <c r="K3517" t="n">
        <v>0</v>
      </c>
      <c r="L3517" t="n">
        <v>0</v>
      </c>
      <c r="M3517" t="n">
        <v>0</v>
      </c>
      <c r="N3517" t="n">
        <v>0</v>
      </c>
      <c r="O3517" t="n">
        <v>0</v>
      </c>
      <c r="P3517" t="n">
        <v>0</v>
      </c>
      <c r="Q3517" t="n">
        <v>0</v>
      </c>
      <c r="R3517" s="2" t="inlineStr"/>
    </row>
    <row r="3518" ht="15" customHeight="1">
      <c r="A3518" t="inlineStr">
        <is>
          <t>A 67409-2020</t>
        </is>
      </c>
      <c r="B3518" s="1" t="n">
        <v>44181</v>
      </c>
      <c r="C3518" s="1" t="n">
        <v>45182</v>
      </c>
      <c r="D3518" t="inlineStr">
        <is>
          <t>JÄMTLANDS LÄN</t>
        </is>
      </c>
      <c r="E3518" t="inlineStr">
        <is>
          <t>HÄRJEDALEN</t>
        </is>
      </c>
      <c r="F3518" t="inlineStr">
        <is>
          <t>Holmen skog AB</t>
        </is>
      </c>
      <c r="G3518" t="n">
        <v>3.1</v>
      </c>
      <c r="H3518" t="n">
        <v>0</v>
      </c>
      <c r="I3518" t="n">
        <v>0</v>
      </c>
      <c r="J3518" t="n">
        <v>0</v>
      </c>
      <c r="K3518" t="n">
        <v>0</v>
      </c>
      <c r="L3518" t="n">
        <v>0</v>
      </c>
      <c r="M3518" t="n">
        <v>0</v>
      </c>
      <c r="N3518" t="n">
        <v>0</v>
      </c>
      <c r="O3518" t="n">
        <v>0</v>
      </c>
      <c r="P3518" t="n">
        <v>0</v>
      </c>
      <c r="Q3518" t="n">
        <v>0</v>
      </c>
      <c r="R3518" s="2" t="inlineStr"/>
    </row>
    <row r="3519" ht="15" customHeight="1">
      <c r="A3519" t="inlineStr">
        <is>
          <t>A 67522-2020</t>
        </is>
      </c>
      <c r="B3519" s="1" t="n">
        <v>44181</v>
      </c>
      <c r="C3519" s="1" t="n">
        <v>45182</v>
      </c>
      <c r="D3519" t="inlineStr">
        <is>
          <t>JÄMTLANDS LÄN</t>
        </is>
      </c>
      <c r="E3519" t="inlineStr">
        <is>
          <t>HÄRJEDALEN</t>
        </is>
      </c>
      <c r="F3519" t="inlineStr">
        <is>
          <t>Holmen skog AB</t>
        </is>
      </c>
      <c r="G3519" t="n">
        <v>7.7</v>
      </c>
      <c r="H3519" t="n">
        <v>0</v>
      </c>
      <c r="I3519" t="n">
        <v>0</v>
      </c>
      <c r="J3519" t="n">
        <v>0</v>
      </c>
      <c r="K3519" t="n">
        <v>0</v>
      </c>
      <c r="L3519" t="n">
        <v>0</v>
      </c>
      <c r="M3519" t="n">
        <v>0</v>
      </c>
      <c r="N3519" t="n">
        <v>0</v>
      </c>
      <c r="O3519" t="n">
        <v>0</v>
      </c>
      <c r="P3519" t="n">
        <v>0</v>
      </c>
      <c r="Q3519" t="n">
        <v>0</v>
      </c>
      <c r="R3519" s="2" t="inlineStr"/>
    </row>
    <row r="3520" ht="15" customHeight="1">
      <c r="A3520" t="inlineStr">
        <is>
          <t>A 67613-2020</t>
        </is>
      </c>
      <c r="B3520" s="1" t="n">
        <v>44181</v>
      </c>
      <c r="C3520" s="1" t="n">
        <v>45182</v>
      </c>
      <c r="D3520" t="inlineStr">
        <is>
          <t>JÄMTLANDS LÄN</t>
        </is>
      </c>
      <c r="E3520" t="inlineStr">
        <is>
          <t>BRÄCKE</t>
        </is>
      </c>
      <c r="G3520" t="n">
        <v>1.2</v>
      </c>
      <c r="H3520" t="n">
        <v>0</v>
      </c>
      <c r="I3520" t="n">
        <v>0</v>
      </c>
      <c r="J3520" t="n">
        <v>0</v>
      </c>
      <c r="K3520" t="n">
        <v>0</v>
      </c>
      <c r="L3520" t="n">
        <v>0</v>
      </c>
      <c r="M3520" t="n">
        <v>0</v>
      </c>
      <c r="N3520" t="n">
        <v>0</v>
      </c>
      <c r="O3520" t="n">
        <v>0</v>
      </c>
      <c r="P3520" t="n">
        <v>0</v>
      </c>
      <c r="Q3520" t="n">
        <v>0</v>
      </c>
      <c r="R3520" s="2" t="inlineStr"/>
    </row>
    <row r="3521" ht="15" customHeight="1">
      <c r="A3521" t="inlineStr">
        <is>
          <t>A 67622-2020</t>
        </is>
      </c>
      <c r="B3521" s="1" t="n">
        <v>44181</v>
      </c>
      <c r="C3521" s="1" t="n">
        <v>45182</v>
      </c>
      <c r="D3521" t="inlineStr">
        <is>
          <t>JÄMTLANDS LÄN</t>
        </is>
      </c>
      <c r="E3521" t="inlineStr">
        <is>
          <t>BRÄCKE</t>
        </is>
      </c>
      <c r="F3521" t="inlineStr">
        <is>
          <t>SCA</t>
        </is>
      </c>
      <c r="G3521" t="n">
        <v>1.9</v>
      </c>
      <c r="H3521" t="n">
        <v>0</v>
      </c>
      <c r="I3521" t="n">
        <v>0</v>
      </c>
      <c r="J3521" t="n">
        <v>0</v>
      </c>
      <c r="K3521" t="n">
        <v>0</v>
      </c>
      <c r="L3521" t="n">
        <v>0</v>
      </c>
      <c r="M3521" t="n">
        <v>0</v>
      </c>
      <c r="N3521" t="n">
        <v>0</v>
      </c>
      <c r="O3521" t="n">
        <v>0</v>
      </c>
      <c r="P3521" t="n">
        <v>0</v>
      </c>
      <c r="Q3521" t="n">
        <v>0</v>
      </c>
      <c r="R3521" s="2" t="inlineStr"/>
    </row>
    <row r="3522" ht="15" customHeight="1">
      <c r="A3522" t="inlineStr">
        <is>
          <t>A 67457-2020</t>
        </is>
      </c>
      <c r="B3522" s="1" t="n">
        <v>44181</v>
      </c>
      <c r="C3522" s="1" t="n">
        <v>45182</v>
      </c>
      <c r="D3522" t="inlineStr">
        <is>
          <t>JÄMTLANDS LÄN</t>
        </is>
      </c>
      <c r="E3522" t="inlineStr">
        <is>
          <t>HÄRJEDALEN</t>
        </is>
      </c>
      <c r="F3522" t="inlineStr">
        <is>
          <t>Holmen skog AB</t>
        </is>
      </c>
      <c r="G3522" t="n">
        <v>30</v>
      </c>
      <c r="H3522" t="n">
        <v>0</v>
      </c>
      <c r="I3522" t="n">
        <v>0</v>
      </c>
      <c r="J3522" t="n">
        <v>0</v>
      </c>
      <c r="K3522" t="n">
        <v>0</v>
      </c>
      <c r="L3522" t="n">
        <v>0</v>
      </c>
      <c r="M3522" t="n">
        <v>0</v>
      </c>
      <c r="N3522" t="n">
        <v>0</v>
      </c>
      <c r="O3522" t="n">
        <v>0</v>
      </c>
      <c r="P3522" t="n">
        <v>0</v>
      </c>
      <c r="Q3522" t="n">
        <v>0</v>
      </c>
      <c r="R3522" s="2" t="inlineStr"/>
    </row>
    <row r="3523" ht="15" customHeight="1">
      <c r="A3523" t="inlineStr">
        <is>
          <t>A 67498-2020</t>
        </is>
      </c>
      <c r="B3523" s="1" t="n">
        <v>44181</v>
      </c>
      <c r="C3523" s="1" t="n">
        <v>45182</v>
      </c>
      <c r="D3523" t="inlineStr">
        <is>
          <t>JÄMTLANDS LÄN</t>
        </is>
      </c>
      <c r="E3523" t="inlineStr">
        <is>
          <t>HÄRJEDALEN</t>
        </is>
      </c>
      <c r="F3523" t="inlineStr">
        <is>
          <t>Holmen skog AB</t>
        </is>
      </c>
      <c r="G3523" t="n">
        <v>15.9</v>
      </c>
      <c r="H3523" t="n">
        <v>0</v>
      </c>
      <c r="I3523" t="n">
        <v>0</v>
      </c>
      <c r="J3523" t="n">
        <v>0</v>
      </c>
      <c r="K3523" t="n">
        <v>0</v>
      </c>
      <c r="L3523" t="n">
        <v>0</v>
      </c>
      <c r="M3523" t="n">
        <v>0</v>
      </c>
      <c r="N3523" t="n">
        <v>0</v>
      </c>
      <c r="O3523" t="n">
        <v>0</v>
      </c>
      <c r="P3523" t="n">
        <v>0</v>
      </c>
      <c r="Q3523" t="n">
        <v>0</v>
      </c>
      <c r="R3523" s="2" t="inlineStr"/>
    </row>
    <row r="3524" ht="15" customHeight="1">
      <c r="A3524" t="inlineStr">
        <is>
          <t>A 67507-2020</t>
        </is>
      </c>
      <c r="B3524" s="1" t="n">
        <v>44181</v>
      </c>
      <c r="C3524" s="1" t="n">
        <v>45182</v>
      </c>
      <c r="D3524" t="inlineStr">
        <is>
          <t>JÄMTLANDS LÄN</t>
        </is>
      </c>
      <c r="E3524" t="inlineStr">
        <is>
          <t>HÄRJEDALEN</t>
        </is>
      </c>
      <c r="F3524" t="inlineStr">
        <is>
          <t>Holmen skog AB</t>
        </is>
      </c>
      <c r="G3524" t="n">
        <v>2.3</v>
      </c>
      <c r="H3524" t="n">
        <v>0</v>
      </c>
      <c r="I3524" t="n">
        <v>0</v>
      </c>
      <c r="J3524" t="n">
        <v>0</v>
      </c>
      <c r="K3524" t="n">
        <v>0</v>
      </c>
      <c r="L3524" t="n">
        <v>0</v>
      </c>
      <c r="M3524" t="n">
        <v>0</v>
      </c>
      <c r="N3524" t="n">
        <v>0</v>
      </c>
      <c r="O3524" t="n">
        <v>0</v>
      </c>
      <c r="P3524" t="n">
        <v>0</v>
      </c>
      <c r="Q3524" t="n">
        <v>0</v>
      </c>
      <c r="R3524" s="2" t="inlineStr"/>
    </row>
    <row r="3525" ht="15" customHeight="1">
      <c r="A3525" t="inlineStr">
        <is>
          <t>A 67620-2020</t>
        </is>
      </c>
      <c r="B3525" s="1" t="n">
        <v>44181</v>
      </c>
      <c r="C3525" s="1" t="n">
        <v>45182</v>
      </c>
      <c r="D3525" t="inlineStr">
        <is>
          <t>JÄMTLANDS LÄN</t>
        </is>
      </c>
      <c r="E3525" t="inlineStr">
        <is>
          <t>STRÖMSUND</t>
        </is>
      </c>
      <c r="F3525" t="inlineStr">
        <is>
          <t>SCA</t>
        </is>
      </c>
      <c r="G3525" t="n">
        <v>2.5</v>
      </c>
      <c r="H3525" t="n">
        <v>0</v>
      </c>
      <c r="I3525" t="n">
        <v>0</v>
      </c>
      <c r="J3525" t="n">
        <v>0</v>
      </c>
      <c r="K3525" t="n">
        <v>0</v>
      </c>
      <c r="L3525" t="n">
        <v>0</v>
      </c>
      <c r="M3525" t="n">
        <v>0</v>
      </c>
      <c r="N3525" t="n">
        <v>0</v>
      </c>
      <c r="O3525" t="n">
        <v>0</v>
      </c>
      <c r="P3525" t="n">
        <v>0</v>
      </c>
      <c r="Q3525" t="n">
        <v>0</v>
      </c>
      <c r="R3525" s="2" t="inlineStr"/>
    </row>
    <row r="3526" ht="15" customHeight="1">
      <c r="A3526" t="inlineStr">
        <is>
          <t>A 67697-2020</t>
        </is>
      </c>
      <c r="B3526" s="1" t="n">
        <v>44182</v>
      </c>
      <c r="C3526" s="1" t="n">
        <v>45182</v>
      </c>
      <c r="D3526" t="inlineStr">
        <is>
          <t>JÄMTLANDS LÄN</t>
        </is>
      </c>
      <c r="E3526" t="inlineStr">
        <is>
          <t>HÄRJEDALEN</t>
        </is>
      </c>
      <c r="F3526" t="inlineStr">
        <is>
          <t>Holmen skog AB</t>
        </is>
      </c>
      <c r="G3526" t="n">
        <v>4</v>
      </c>
      <c r="H3526" t="n">
        <v>0</v>
      </c>
      <c r="I3526" t="n">
        <v>0</v>
      </c>
      <c r="J3526" t="n">
        <v>0</v>
      </c>
      <c r="K3526" t="n">
        <v>0</v>
      </c>
      <c r="L3526" t="n">
        <v>0</v>
      </c>
      <c r="M3526" t="n">
        <v>0</v>
      </c>
      <c r="N3526" t="n">
        <v>0</v>
      </c>
      <c r="O3526" t="n">
        <v>0</v>
      </c>
      <c r="P3526" t="n">
        <v>0</v>
      </c>
      <c r="Q3526" t="n">
        <v>0</v>
      </c>
      <c r="R3526" s="2" t="inlineStr"/>
    </row>
    <row r="3527" ht="15" customHeight="1">
      <c r="A3527" t="inlineStr">
        <is>
          <t>A 67720-2020</t>
        </is>
      </c>
      <c r="B3527" s="1" t="n">
        <v>44182</v>
      </c>
      <c r="C3527" s="1" t="n">
        <v>45182</v>
      </c>
      <c r="D3527" t="inlineStr">
        <is>
          <t>JÄMTLANDS LÄN</t>
        </is>
      </c>
      <c r="E3527" t="inlineStr">
        <is>
          <t>HÄRJEDALEN</t>
        </is>
      </c>
      <c r="F3527" t="inlineStr">
        <is>
          <t>Holmen skog AB</t>
        </is>
      </c>
      <c r="G3527" t="n">
        <v>6</v>
      </c>
      <c r="H3527" t="n">
        <v>0</v>
      </c>
      <c r="I3527" t="n">
        <v>0</v>
      </c>
      <c r="J3527" t="n">
        <v>0</v>
      </c>
      <c r="K3527" t="n">
        <v>0</v>
      </c>
      <c r="L3527" t="n">
        <v>0</v>
      </c>
      <c r="M3527" t="n">
        <v>0</v>
      </c>
      <c r="N3527" t="n">
        <v>0</v>
      </c>
      <c r="O3527" t="n">
        <v>0</v>
      </c>
      <c r="P3527" t="n">
        <v>0</v>
      </c>
      <c r="Q3527" t="n">
        <v>0</v>
      </c>
      <c r="R3527" s="2" t="inlineStr"/>
    </row>
    <row r="3528" ht="15" customHeight="1">
      <c r="A3528" t="inlineStr">
        <is>
          <t>A 67972-2020</t>
        </is>
      </c>
      <c r="B3528" s="1" t="n">
        <v>44182</v>
      </c>
      <c r="C3528" s="1" t="n">
        <v>45182</v>
      </c>
      <c r="D3528" t="inlineStr">
        <is>
          <t>JÄMTLANDS LÄN</t>
        </is>
      </c>
      <c r="E3528" t="inlineStr">
        <is>
          <t>ÅRE</t>
        </is>
      </c>
      <c r="G3528" t="n">
        <v>6</v>
      </c>
      <c r="H3528" t="n">
        <v>0</v>
      </c>
      <c r="I3528" t="n">
        <v>0</v>
      </c>
      <c r="J3528" t="n">
        <v>0</v>
      </c>
      <c r="K3528" t="n">
        <v>0</v>
      </c>
      <c r="L3528" t="n">
        <v>0</v>
      </c>
      <c r="M3528" t="n">
        <v>0</v>
      </c>
      <c r="N3528" t="n">
        <v>0</v>
      </c>
      <c r="O3528" t="n">
        <v>0</v>
      </c>
      <c r="P3528" t="n">
        <v>0</v>
      </c>
      <c r="Q3528" t="n">
        <v>0</v>
      </c>
      <c r="R3528" s="2" t="inlineStr"/>
    </row>
    <row r="3529" ht="15" customHeight="1">
      <c r="A3529" t="inlineStr">
        <is>
          <t>A 68006-2020</t>
        </is>
      </c>
      <c r="B3529" s="1" t="n">
        <v>44182</v>
      </c>
      <c r="C3529" s="1" t="n">
        <v>45182</v>
      </c>
      <c r="D3529" t="inlineStr">
        <is>
          <t>JÄMTLANDS LÄN</t>
        </is>
      </c>
      <c r="E3529" t="inlineStr">
        <is>
          <t>STRÖMSUND</t>
        </is>
      </c>
      <c r="G3529" t="n">
        <v>1.3</v>
      </c>
      <c r="H3529" t="n">
        <v>0</v>
      </c>
      <c r="I3529" t="n">
        <v>0</v>
      </c>
      <c r="J3529" t="n">
        <v>0</v>
      </c>
      <c r="K3529" t="n">
        <v>0</v>
      </c>
      <c r="L3529" t="n">
        <v>0</v>
      </c>
      <c r="M3529" t="n">
        <v>0</v>
      </c>
      <c r="N3529" t="n">
        <v>0</v>
      </c>
      <c r="O3529" t="n">
        <v>0</v>
      </c>
      <c r="P3529" t="n">
        <v>0</v>
      </c>
      <c r="Q3529" t="n">
        <v>0</v>
      </c>
      <c r="R3529" s="2" t="inlineStr"/>
    </row>
    <row r="3530" ht="15" customHeight="1">
      <c r="A3530" t="inlineStr">
        <is>
          <t>A 67654-2020</t>
        </is>
      </c>
      <c r="B3530" s="1" t="n">
        <v>44182</v>
      </c>
      <c r="C3530" s="1" t="n">
        <v>45182</v>
      </c>
      <c r="D3530" t="inlineStr">
        <is>
          <t>JÄMTLANDS LÄN</t>
        </is>
      </c>
      <c r="E3530" t="inlineStr">
        <is>
          <t>HÄRJEDALEN</t>
        </is>
      </c>
      <c r="F3530" t="inlineStr">
        <is>
          <t>Holmen skog AB</t>
        </is>
      </c>
      <c r="G3530" t="n">
        <v>0.6</v>
      </c>
      <c r="H3530" t="n">
        <v>0</v>
      </c>
      <c r="I3530" t="n">
        <v>0</v>
      </c>
      <c r="J3530" t="n">
        <v>0</v>
      </c>
      <c r="K3530" t="n">
        <v>0</v>
      </c>
      <c r="L3530" t="n">
        <v>0</v>
      </c>
      <c r="M3530" t="n">
        <v>0</v>
      </c>
      <c r="N3530" t="n">
        <v>0</v>
      </c>
      <c r="O3530" t="n">
        <v>0</v>
      </c>
      <c r="P3530" t="n">
        <v>0</v>
      </c>
      <c r="Q3530" t="n">
        <v>0</v>
      </c>
      <c r="R3530" s="2" t="inlineStr"/>
    </row>
    <row r="3531" ht="15" customHeight="1">
      <c r="A3531" t="inlineStr">
        <is>
          <t>A 67714-2020</t>
        </is>
      </c>
      <c r="B3531" s="1" t="n">
        <v>44182</v>
      </c>
      <c r="C3531" s="1" t="n">
        <v>45182</v>
      </c>
      <c r="D3531" t="inlineStr">
        <is>
          <t>JÄMTLANDS LÄN</t>
        </is>
      </c>
      <c r="E3531" t="inlineStr">
        <is>
          <t>HÄRJEDALEN</t>
        </is>
      </c>
      <c r="F3531" t="inlineStr">
        <is>
          <t>Holmen skog AB</t>
        </is>
      </c>
      <c r="G3531" t="n">
        <v>1.3</v>
      </c>
      <c r="H3531" t="n">
        <v>0</v>
      </c>
      <c r="I3531" t="n">
        <v>0</v>
      </c>
      <c r="J3531" t="n">
        <v>0</v>
      </c>
      <c r="K3531" t="n">
        <v>0</v>
      </c>
      <c r="L3531" t="n">
        <v>0</v>
      </c>
      <c r="M3531" t="n">
        <v>0</v>
      </c>
      <c r="N3531" t="n">
        <v>0</v>
      </c>
      <c r="O3531" t="n">
        <v>0</v>
      </c>
      <c r="P3531" t="n">
        <v>0</v>
      </c>
      <c r="Q3531" t="n">
        <v>0</v>
      </c>
      <c r="R3531" s="2" t="inlineStr"/>
    </row>
    <row r="3532" ht="15" customHeight="1">
      <c r="A3532" t="inlineStr">
        <is>
          <t>A 67821-2020</t>
        </is>
      </c>
      <c r="B3532" s="1" t="n">
        <v>44182</v>
      </c>
      <c r="C3532" s="1" t="n">
        <v>45182</v>
      </c>
      <c r="D3532" t="inlineStr">
        <is>
          <t>JÄMTLANDS LÄN</t>
        </is>
      </c>
      <c r="E3532" t="inlineStr">
        <is>
          <t>HÄRJEDALEN</t>
        </is>
      </c>
      <c r="G3532" t="n">
        <v>0.6</v>
      </c>
      <c r="H3532" t="n">
        <v>0</v>
      </c>
      <c r="I3532" t="n">
        <v>0</v>
      </c>
      <c r="J3532" t="n">
        <v>0</v>
      </c>
      <c r="K3532" t="n">
        <v>0</v>
      </c>
      <c r="L3532" t="n">
        <v>0</v>
      </c>
      <c r="M3532" t="n">
        <v>0</v>
      </c>
      <c r="N3532" t="n">
        <v>0</v>
      </c>
      <c r="O3532" t="n">
        <v>0</v>
      </c>
      <c r="P3532" t="n">
        <v>0</v>
      </c>
      <c r="Q3532" t="n">
        <v>0</v>
      </c>
      <c r="R3532" s="2" t="inlineStr"/>
    </row>
    <row r="3533" ht="15" customHeight="1">
      <c r="A3533" t="inlineStr">
        <is>
          <t>A 68060-2020</t>
        </is>
      </c>
      <c r="B3533" s="1" t="n">
        <v>44183</v>
      </c>
      <c r="C3533" s="1" t="n">
        <v>45182</v>
      </c>
      <c r="D3533" t="inlineStr">
        <is>
          <t>JÄMTLANDS LÄN</t>
        </is>
      </c>
      <c r="E3533" t="inlineStr">
        <is>
          <t>KROKOM</t>
        </is>
      </c>
      <c r="G3533" t="n">
        <v>2.2</v>
      </c>
      <c r="H3533" t="n">
        <v>0</v>
      </c>
      <c r="I3533" t="n">
        <v>0</v>
      </c>
      <c r="J3533" t="n">
        <v>0</v>
      </c>
      <c r="K3533" t="n">
        <v>0</v>
      </c>
      <c r="L3533" t="n">
        <v>0</v>
      </c>
      <c r="M3533" t="n">
        <v>0</v>
      </c>
      <c r="N3533" t="n">
        <v>0</v>
      </c>
      <c r="O3533" t="n">
        <v>0</v>
      </c>
      <c r="P3533" t="n">
        <v>0</v>
      </c>
      <c r="Q3533" t="n">
        <v>0</v>
      </c>
      <c r="R3533" s="2" t="inlineStr"/>
    </row>
    <row r="3534" ht="15" customHeight="1">
      <c r="A3534" t="inlineStr">
        <is>
          <t>A 68387-2020</t>
        </is>
      </c>
      <c r="B3534" s="1" t="n">
        <v>44183</v>
      </c>
      <c r="C3534" s="1" t="n">
        <v>45182</v>
      </c>
      <c r="D3534" t="inlineStr">
        <is>
          <t>JÄMTLANDS LÄN</t>
        </is>
      </c>
      <c r="E3534" t="inlineStr">
        <is>
          <t>KROKOM</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68433-2020</t>
        </is>
      </c>
      <c r="B3535" s="1" t="n">
        <v>44183</v>
      </c>
      <c r="C3535" s="1" t="n">
        <v>45182</v>
      </c>
      <c r="D3535" t="inlineStr">
        <is>
          <t>JÄMTLANDS LÄN</t>
        </is>
      </c>
      <c r="E3535" t="inlineStr">
        <is>
          <t>KROKOM</t>
        </is>
      </c>
      <c r="G3535" t="n">
        <v>7.4</v>
      </c>
      <c r="H3535" t="n">
        <v>0</v>
      </c>
      <c r="I3535" t="n">
        <v>0</v>
      </c>
      <c r="J3535" t="n">
        <v>0</v>
      </c>
      <c r="K3535" t="n">
        <v>0</v>
      </c>
      <c r="L3535" t="n">
        <v>0</v>
      </c>
      <c r="M3535" t="n">
        <v>0</v>
      </c>
      <c r="N3535" t="n">
        <v>0</v>
      </c>
      <c r="O3535" t="n">
        <v>0</v>
      </c>
      <c r="P3535" t="n">
        <v>0</v>
      </c>
      <c r="Q3535" t="n">
        <v>0</v>
      </c>
      <c r="R3535" s="2" t="inlineStr"/>
    </row>
    <row r="3536" ht="15" customHeight="1">
      <c r="A3536" t="inlineStr">
        <is>
          <t>A 68395-2020</t>
        </is>
      </c>
      <c r="B3536" s="1" t="n">
        <v>44183</v>
      </c>
      <c r="C3536" s="1" t="n">
        <v>45182</v>
      </c>
      <c r="D3536" t="inlineStr">
        <is>
          <t>JÄMTLANDS LÄN</t>
        </is>
      </c>
      <c r="E3536" t="inlineStr">
        <is>
          <t>KROKOM</t>
        </is>
      </c>
      <c r="G3536" t="n">
        <v>0.5</v>
      </c>
      <c r="H3536" t="n">
        <v>0</v>
      </c>
      <c r="I3536" t="n">
        <v>0</v>
      </c>
      <c r="J3536" t="n">
        <v>0</v>
      </c>
      <c r="K3536" t="n">
        <v>0</v>
      </c>
      <c r="L3536" t="n">
        <v>0</v>
      </c>
      <c r="M3536" t="n">
        <v>0</v>
      </c>
      <c r="N3536" t="n">
        <v>0</v>
      </c>
      <c r="O3536" t="n">
        <v>0</v>
      </c>
      <c r="P3536" t="n">
        <v>0</v>
      </c>
      <c r="Q3536" t="n">
        <v>0</v>
      </c>
      <c r="R3536" s="2" t="inlineStr"/>
    </row>
    <row r="3537" ht="15" customHeight="1">
      <c r="A3537" t="inlineStr">
        <is>
          <t>A 68141-2020</t>
        </is>
      </c>
      <c r="B3537" s="1" t="n">
        <v>44183</v>
      </c>
      <c r="C3537" s="1" t="n">
        <v>45182</v>
      </c>
      <c r="D3537" t="inlineStr">
        <is>
          <t>JÄMTLANDS LÄN</t>
        </is>
      </c>
      <c r="E3537" t="inlineStr">
        <is>
          <t>HÄRJEDALEN</t>
        </is>
      </c>
      <c r="G3537" t="n">
        <v>3.1</v>
      </c>
      <c r="H3537" t="n">
        <v>0</v>
      </c>
      <c r="I3537" t="n">
        <v>0</v>
      </c>
      <c r="J3537" t="n">
        <v>0</v>
      </c>
      <c r="K3537" t="n">
        <v>0</v>
      </c>
      <c r="L3537" t="n">
        <v>0</v>
      </c>
      <c r="M3537" t="n">
        <v>0</v>
      </c>
      <c r="N3537" t="n">
        <v>0</v>
      </c>
      <c r="O3537" t="n">
        <v>0</v>
      </c>
      <c r="P3537" t="n">
        <v>0</v>
      </c>
      <c r="Q3537" t="n">
        <v>0</v>
      </c>
      <c r="R3537" s="2" t="inlineStr"/>
    </row>
    <row r="3538" ht="15" customHeight="1">
      <c r="A3538" t="inlineStr">
        <is>
          <t>A 68393-2020</t>
        </is>
      </c>
      <c r="B3538" s="1" t="n">
        <v>44183</v>
      </c>
      <c r="C3538" s="1" t="n">
        <v>45182</v>
      </c>
      <c r="D3538" t="inlineStr">
        <is>
          <t>JÄMTLANDS LÄN</t>
        </is>
      </c>
      <c r="E3538" t="inlineStr">
        <is>
          <t>KROKOM</t>
        </is>
      </c>
      <c r="G3538" t="n">
        <v>0.4</v>
      </c>
      <c r="H3538" t="n">
        <v>0</v>
      </c>
      <c r="I3538" t="n">
        <v>0</v>
      </c>
      <c r="J3538" t="n">
        <v>0</v>
      </c>
      <c r="K3538" t="n">
        <v>0</v>
      </c>
      <c r="L3538" t="n">
        <v>0</v>
      </c>
      <c r="M3538" t="n">
        <v>0</v>
      </c>
      <c r="N3538" t="n">
        <v>0</v>
      </c>
      <c r="O3538" t="n">
        <v>0</v>
      </c>
      <c r="P3538" t="n">
        <v>0</v>
      </c>
      <c r="Q3538" t="n">
        <v>0</v>
      </c>
      <c r="R3538" s="2" t="inlineStr"/>
    </row>
    <row r="3539" ht="15" customHeight="1">
      <c r="A3539" t="inlineStr">
        <is>
          <t>A 68362-2020</t>
        </is>
      </c>
      <c r="B3539" s="1" t="n">
        <v>44186</v>
      </c>
      <c r="C3539" s="1" t="n">
        <v>45182</v>
      </c>
      <c r="D3539" t="inlineStr">
        <is>
          <t>JÄMTLANDS LÄN</t>
        </is>
      </c>
      <c r="E3539" t="inlineStr">
        <is>
          <t>BRÄCKE</t>
        </is>
      </c>
      <c r="G3539" t="n">
        <v>4.5</v>
      </c>
      <c r="H3539" t="n">
        <v>0</v>
      </c>
      <c r="I3539" t="n">
        <v>0</v>
      </c>
      <c r="J3539" t="n">
        <v>0</v>
      </c>
      <c r="K3539" t="n">
        <v>0</v>
      </c>
      <c r="L3539" t="n">
        <v>0</v>
      </c>
      <c r="M3539" t="n">
        <v>0</v>
      </c>
      <c r="N3539" t="n">
        <v>0</v>
      </c>
      <c r="O3539" t="n">
        <v>0</v>
      </c>
      <c r="P3539" t="n">
        <v>0</v>
      </c>
      <c r="Q3539" t="n">
        <v>0</v>
      </c>
      <c r="R3539" s="2" t="inlineStr"/>
    </row>
    <row r="3540" ht="15" customHeight="1">
      <c r="A3540" t="inlineStr">
        <is>
          <t>A 68764-2020</t>
        </is>
      </c>
      <c r="B3540" s="1" t="n">
        <v>44186</v>
      </c>
      <c r="C3540" s="1" t="n">
        <v>45182</v>
      </c>
      <c r="D3540" t="inlineStr">
        <is>
          <t>JÄMTLANDS LÄN</t>
        </is>
      </c>
      <c r="E3540" t="inlineStr">
        <is>
          <t>KROKOM</t>
        </is>
      </c>
      <c r="G3540" t="n">
        <v>0.3</v>
      </c>
      <c r="H3540" t="n">
        <v>0</v>
      </c>
      <c r="I3540" t="n">
        <v>0</v>
      </c>
      <c r="J3540" t="n">
        <v>0</v>
      </c>
      <c r="K3540" t="n">
        <v>0</v>
      </c>
      <c r="L3540" t="n">
        <v>0</v>
      </c>
      <c r="M3540" t="n">
        <v>0</v>
      </c>
      <c r="N3540" t="n">
        <v>0</v>
      </c>
      <c r="O3540" t="n">
        <v>0</v>
      </c>
      <c r="P3540" t="n">
        <v>0</v>
      </c>
      <c r="Q3540" t="n">
        <v>0</v>
      </c>
      <c r="R3540" s="2" t="inlineStr"/>
    </row>
    <row r="3541" ht="15" customHeight="1">
      <c r="A3541" t="inlineStr">
        <is>
          <t>A 68408-2020</t>
        </is>
      </c>
      <c r="B3541" s="1" t="n">
        <v>44186</v>
      </c>
      <c r="C3541" s="1" t="n">
        <v>45182</v>
      </c>
      <c r="D3541" t="inlineStr">
        <is>
          <t>JÄMTLANDS LÄN</t>
        </is>
      </c>
      <c r="E3541" t="inlineStr">
        <is>
          <t>ÖSTERSUND</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68518-2020</t>
        </is>
      </c>
      <c r="B3542" s="1" t="n">
        <v>44186</v>
      </c>
      <c r="C3542" s="1" t="n">
        <v>45182</v>
      </c>
      <c r="D3542" t="inlineStr">
        <is>
          <t>JÄMTLANDS LÄN</t>
        </is>
      </c>
      <c r="E3542" t="inlineStr">
        <is>
          <t>ÅRE</t>
        </is>
      </c>
      <c r="G3542" t="n">
        <v>9.300000000000001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68594-2020</t>
        </is>
      </c>
      <c r="B3543" s="1" t="n">
        <v>44186</v>
      </c>
      <c r="C3543" s="1" t="n">
        <v>45182</v>
      </c>
      <c r="D3543" t="inlineStr">
        <is>
          <t>JÄMTLANDS LÄN</t>
        </is>
      </c>
      <c r="E3543" t="inlineStr">
        <is>
          <t>ÅRE</t>
        </is>
      </c>
      <c r="G3543" t="n">
        <v>2.8</v>
      </c>
      <c r="H3543" t="n">
        <v>0</v>
      </c>
      <c r="I3543" t="n">
        <v>0</v>
      </c>
      <c r="J3543" t="n">
        <v>0</v>
      </c>
      <c r="K3543" t="n">
        <v>0</v>
      </c>
      <c r="L3543" t="n">
        <v>0</v>
      </c>
      <c r="M3543" t="n">
        <v>0</v>
      </c>
      <c r="N3543" t="n">
        <v>0</v>
      </c>
      <c r="O3543" t="n">
        <v>0</v>
      </c>
      <c r="P3543" t="n">
        <v>0</v>
      </c>
      <c r="Q3543" t="n">
        <v>0</v>
      </c>
      <c r="R3543" s="2" t="inlineStr"/>
    </row>
    <row r="3544" ht="15" customHeight="1">
      <c r="A3544" t="inlineStr">
        <is>
          <t>A 68658-2020</t>
        </is>
      </c>
      <c r="B3544" s="1" t="n">
        <v>44186</v>
      </c>
      <c r="C3544" s="1" t="n">
        <v>45182</v>
      </c>
      <c r="D3544" t="inlineStr">
        <is>
          <t>JÄMTLANDS LÄN</t>
        </is>
      </c>
      <c r="E3544" t="inlineStr">
        <is>
          <t>KROKOM</t>
        </is>
      </c>
      <c r="G3544" t="n">
        <v>1.3</v>
      </c>
      <c r="H3544" t="n">
        <v>0</v>
      </c>
      <c r="I3544" t="n">
        <v>0</v>
      </c>
      <c r="J3544" t="n">
        <v>0</v>
      </c>
      <c r="K3544" t="n">
        <v>0</v>
      </c>
      <c r="L3544" t="n">
        <v>0</v>
      </c>
      <c r="M3544" t="n">
        <v>0</v>
      </c>
      <c r="N3544" t="n">
        <v>0</v>
      </c>
      <c r="O3544" t="n">
        <v>0</v>
      </c>
      <c r="P3544" t="n">
        <v>0</v>
      </c>
      <c r="Q3544" t="n">
        <v>0</v>
      </c>
      <c r="R3544" s="2" t="inlineStr"/>
    </row>
    <row r="3545" ht="15" customHeight="1">
      <c r="A3545" t="inlineStr">
        <is>
          <t>A 68537-2020</t>
        </is>
      </c>
      <c r="B3545" s="1" t="n">
        <v>44186</v>
      </c>
      <c r="C3545" s="1" t="n">
        <v>45182</v>
      </c>
      <c r="D3545" t="inlineStr">
        <is>
          <t>JÄMTLANDS LÄN</t>
        </is>
      </c>
      <c r="E3545" t="inlineStr">
        <is>
          <t>ÅRE</t>
        </is>
      </c>
      <c r="G3545" t="n">
        <v>9.800000000000001</v>
      </c>
      <c r="H3545" t="n">
        <v>0</v>
      </c>
      <c r="I3545" t="n">
        <v>0</v>
      </c>
      <c r="J3545" t="n">
        <v>0</v>
      </c>
      <c r="K3545" t="n">
        <v>0</v>
      </c>
      <c r="L3545" t="n">
        <v>0</v>
      </c>
      <c r="M3545" t="n">
        <v>0</v>
      </c>
      <c r="N3545" t="n">
        <v>0</v>
      </c>
      <c r="O3545" t="n">
        <v>0</v>
      </c>
      <c r="P3545" t="n">
        <v>0</v>
      </c>
      <c r="Q3545" t="n">
        <v>0</v>
      </c>
      <c r="R3545" s="2" t="inlineStr"/>
    </row>
    <row r="3546" ht="15" customHeight="1">
      <c r="A3546" t="inlineStr">
        <is>
          <t>A 68568-2020</t>
        </is>
      </c>
      <c r="B3546" s="1" t="n">
        <v>44186</v>
      </c>
      <c r="C3546" s="1" t="n">
        <v>45182</v>
      </c>
      <c r="D3546" t="inlineStr">
        <is>
          <t>JÄMTLANDS LÄN</t>
        </is>
      </c>
      <c r="E3546" t="inlineStr">
        <is>
          <t>STRÖMSUND</t>
        </is>
      </c>
      <c r="F3546" t="inlineStr">
        <is>
          <t>Holmen skog AB</t>
        </is>
      </c>
      <c r="G3546" t="n">
        <v>39.3</v>
      </c>
      <c r="H3546" t="n">
        <v>0</v>
      </c>
      <c r="I3546" t="n">
        <v>0</v>
      </c>
      <c r="J3546" t="n">
        <v>0</v>
      </c>
      <c r="K3546" t="n">
        <v>0</v>
      </c>
      <c r="L3546" t="n">
        <v>0</v>
      </c>
      <c r="M3546" t="n">
        <v>0</v>
      </c>
      <c r="N3546" t="n">
        <v>0</v>
      </c>
      <c r="O3546" t="n">
        <v>0</v>
      </c>
      <c r="P3546" t="n">
        <v>0</v>
      </c>
      <c r="Q3546" t="n">
        <v>0</v>
      </c>
      <c r="R3546" s="2" t="inlineStr"/>
    </row>
    <row r="3547" ht="15" customHeight="1">
      <c r="A3547" t="inlineStr">
        <is>
          <t>A 68653-2020</t>
        </is>
      </c>
      <c r="B3547" s="1" t="n">
        <v>44186</v>
      </c>
      <c r="C3547" s="1" t="n">
        <v>45182</v>
      </c>
      <c r="D3547" t="inlineStr">
        <is>
          <t>JÄMTLANDS LÄN</t>
        </is>
      </c>
      <c r="E3547" t="inlineStr">
        <is>
          <t>STRÖMSUND</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68522-2020</t>
        </is>
      </c>
      <c r="B3548" s="1" t="n">
        <v>44186</v>
      </c>
      <c r="C3548" s="1" t="n">
        <v>45182</v>
      </c>
      <c r="D3548" t="inlineStr">
        <is>
          <t>JÄMTLANDS LÄN</t>
        </is>
      </c>
      <c r="E3548" t="inlineStr">
        <is>
          <t>STRÖMSUND</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68545-2020</t>
        </is>
      </c>
      <c r="B3549" s="1" t="n">
        <v>44186</v>
      </c>
      <c r="C3549" s="1" t="n">
        <v>45182</v>
      </c>
      <c r="D3549" t="inlineStr">
        <is>
          <t>JÄMTLANDS LÄN</t>
        </is>
      </c>
      <c r="E3549" t="inlineStr">
        <is>
          <t>ÅRE</t>
        </is>
      </c>
      <c r="G3549" t="n">
        <v>8.699999999999999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68783-2020</t>
        </is>
      </c>
      <c r="B3550" s="1" t="n">
        <v>44186</v>
      </c>
      <c r="C3550" s="1" t="n">
        <v>45182</v>
      </c>
      <c r="D3550" t="inlineStr">
        <is>
          <t>JÄMTLANDS LÄN</t>
        </is>
      </c>
      <c r="E3550" t="inlineStr">
        <is>
          <t>STRÖMSUND</t>
        </is>
      </c>
      <c r="G3550" t="n">
        <v>0.5</v>
      </c>
      <c r="H3550" t="n">
        <v>0</v>
      </c>
      <c r="I3550" t="n">
        <v>0</v>
      </c>
      <c r="J3550" t="n">
        <v>0</v>
      </c>
      <c r="K3550" t="n">
        <v>0</v>
      </c>
      <c r="L3550" t="n">
        <v>0</v>
      </c>
      <c r="M3550" t="n">
        <v>0</v>
      </c>
      <c r="N3550" t="n">
        <v>0</v>
      </c>
      <c r="O3550" t="n">
        <v>0</v>
      </c>
      <c r="P3550" t="n">
        <v>0</v>
      </c>
      <c r="Q3550" t="n">
        <v>0</v>
      </c>
      <c r="R3550" s="2" t="inlineStr"/>
    </row>
    <row r="3551" ht="15" customHeight="1">
      <c r="A3551" t="inlineStr">
        <is>
          <t>A 68937-2020</t>
        </is>
      </c>
      <c r="B3551" s="1" t="n">
        <v>44187</v>
      </c>
      <c r="C3551" s="1" t="n">
        <v>45182</v>
      </c>
      <c r="D3551" t="inlineStr">
        <is>
          <t>JÄMTLANDS LÄN</t>
        </is>
      </c>
      <c r="E3551" t="inlineStr">
        <is>
          <t>ÖSTERSUND</t>
        </is>
      </c>
      <c r="G3551" t="n">
        <v>4.7</v>
      </c>
      <c r="H3551" t="n">
        <v>0</v>
      </c>
      <c r="I3551" t="n">
        <v>0</v>
      </c>
      <c r="J3551" t="n">
        <v>0</v>
      </c>
      <c r="K3551" t="n">
        <v>0</v>
      </c>
      <c r="L3551" t="n">
        <v>0</v>
      </c>
      <c r="M3551" t="n">
        <v>0</v>
      </c>
      <c r="N3551" t="n">
        <v>0</v>
      </c>
      <c r="O3551" t="n">
        <v>0</v>
      </c>
      <c r="P3551" t="n">
        <v>0</v>
      </c>
      <c r="Q3551" t="n">
        <v>0</v>
      </c>
      <c r="R3551" s="2" t="inlineStr"/>
    </row>
    <row r="3552" ht="15" customHeight="1">
      <c r="A3552" t="inlineStr">
        <is>
          <t>A 68968-2020</t>
        </is>
      </c>
      <c r="B3552" s="1" t="n">
        <v>44187</v>
      </c>
      <c r="C3552" s="1" t="n">
        <v>45182</v>
      </c>
      <c r="D3552" t="inlineStr">
        <is>
          <t>JÄMTLANDS LÄN</t>
        </is>
      </c>
      <c r="E3552" t="inlineStr">
        <is>
          <t>BRÄCKE</t>
        </is>
      </c>
      <c r="G3552" t="n">
        <v>14.2</v>
      </c>
      <c r="H3552" t="n">
        <v>0</v>
      </c>
      <c r="I3552" t="n">
        <v>0</v>
      </c>
      <c r="J3552" t="n">
        <v>0</v>
      </c>
      <c r="K3552" t="n">
        <v>0</v>
      </c>
      <c r="L3552" t="n">
        <v>0</v>
      </c>
      <c r="M3552" t="n">
        <v>0</v>
      </c>
      <c r="N3552" t="n">
        <v>0</v>
      </c>
      <c r="O3552" t="n">
        <v>0</v>
      </c>
      <c r="P3552" t="n">
        <v>0</v>
      </c>
      <c r="Q3552" t="n">
        <v>0</v>
      </c>
      <c r="R3552" s="2" t="inlineStr"/>
    </row>
    <row r="3553" ht="15" customHeight="1">
      <c r="A3553" t="inlineStr">
        <is>
          <t>A 68896-2020</t>
        </is>
      </c>
      <c r="B3553" s="1" t="n">
        <v>44187</v>
      </c>
      <c r="C3553" s="1" t="n">
        <v>45182</v>
      </c>
      <c r="D3553" t="inlineStr">
        <is>
          <t>JÄMTLANDS LÄN</t>
        </is>
      </c>
      <c r="E3553" t="inlineStr">
        <is>
          <t>BERG</t>
        </is>
      </c>
      <c r="G3553" t="n">
        <v>9.6</v>
      </c>
      <c r="H3553" t="n">
        <v>0</v>
      </c>
      <c r="I3553" t="n">
        <v>0</v>
      </c>
      <c r="J3553" t="n">
        <v>0</v>
      </c>
      <c r="K3553" t="n">
        <v>0</v>
      </c>
      <c r="L3553" t="n">
        <v>0</v>
      </c>
      <c r="M3553" t="n">
        <v>0</v>
      </c>
      <c r="N3553" t="n">
        <v>0</v>
      </c>
      <c r="O3553" t="n">
        <v>0</v>
      </c>
      <c r="P3553" t="n">
        <v>0</v>
      </c>
      <c r="Q3553" t="n">
        <v>0</v>
      </c>
      <c r="R3553" s="2" t="inlineStr"/>
    </row>
    <row r="3554" ht="15" customHeight="1">
      <c r="A3554" t="inlineStr">
        <is>
          <t>A 69101-2020</t>
        </is>
      </c>
      <c r="B3554" s="1" t="n">
        <v>44188</v>
      </c>
      <c r="C3554" s="1" t="n">
        <v>45182</v>
      </c>
      <c r="D3554" t="inlineStr">
        <is>
          <t>JÄMTLANDS LÄN</t>
        </is>
      </c>
      <c r="E3554" t="inlineStr">
        <is>
          <t>HÄRJEDALEN</t>
        </is>
      </c>
      <c r="G3554" t="n">
        <v>3.1</v>
      </c>
      <c r="H3554" t="n">
        <v>0</v>
      </c>
      <c r="I3554" t="n">
        <v>0</v>
      </c>
      <c r="J3554" t="n">
        <v>0</v>
      </c>
      <c r="K3554" t="n">
        <v>0</v>
      </c>
      <c r="L3554" t="n">
        <v>0</v>
      </c>
      <c r="M3554" t="n">
        <v>0</v>
      </c>
      <c r="N3554" t="n">
        <v>0</v>
      </c>
      <c r="O3554" t="n">
        <v>0</v>
      </c>
      <c r="P3554" t="n">
        <v>0</v>
      </c>
      <c r="Q3554" t="n">
        <v>0</v>
      </c>
      <c r="R3554" s="2" t="inlineStr"/>
    </row>
    <row r="3555" ht="15" customHeight="1">
      <c r="A3555" t="inlineStr">
        <is>
          <t>A 69174-2020</t>
        </is>
      </c>
      <c r="B3555" s="1" t="n">
        <v>44188</v>
      </c>
      <c r="C3555" s="1" t="n">
        <v>45182</v>
      </c>
      <c r="D3555" t="inlineStr">
        <is>
          <t>JÄMTLANDS LÄN</t>
        </is>
      </c>
      <c r="E3555" t="inlineStr">
        <is>
          <t>RAGUNDA</t>
        </is>
      </c>
      <c r="F3555" t="inlineStr">
        <is>
          <t>SCA</t>
        </is>
      </c>
      <c r="G3555" t="n">
        <v>4.1</v>
      </c>
      <c r="H3555" t="n">
        <v>0</v>
      </c>
      <c r="I3555" t="n">
        <v>0</v>
      </c>
      <c r="J3555" t="n">
        <v>0</v>
      </c>
      <c r="K3555" t="n">
        <v>0</v>
      </c>
      <c r="L3555" t="n">
        <v>0</v>
      </c>
      <c r="M3555" t="n">
        <v>0</v>
      </c>
      <c r="N3555" t="n">
        <v>0</v>
      </c>
      <c r="O3555" t="n">
        <v>0</v>
      </c>
      <c r="P3555" t="n">
        <v>0</v>
      </c>
      <c r="Q3555" t="n">
        <v>0</v>
      </c>
      <c r="R3555" s="2" t="inlineStr"/>
    </row>
    <row r="3556" ht="15" customHeight="1">
      <c r="A3556" t="inlineStr">
        <is>
          <t>A 69108-2020</t>
        </is>
      </c>
      <c r="B3556" s="1" t="n">
        <v>44188</v>
      </c>
      <c r="C3556" s="1" t="n">
        <v>45182</v>
      </c>
      <c r="D3556" t="inlineStr">
        <is>
          <t>JÄMTLANDS LÄN</t>
        </is>
      </c>
      <c r="E3556" t="inlineStr">
        <is>
          <t>HÄRJEDALEN</t>
        </is>
      </c>
      <c r="G3556" t="n">
        <v>0.9</v>
      </c>
      <c r="H3556" t="n">
        <v>0</v>
      </c>
      <c r="I3556" t="n">
        <v>0</v>
      </c>
      <c r="J3556" t="n">
        <v>0</v>
      </c>
      <c r="K3556" t="n">
        <v>0</v>
      </c>
      <c r="L3556" t="n">
        <v>0</v>
      </c>
      <c r="M3556" t="n">
        <v>0</v>
      </c>
      <c r="N3556" t="n">
        <v>0</v>
      </c>
      <c r="O3556" t="n">
        <v>0</v>
      </c>
      <c r="P3556" t="n">
        <v>0</v>
      </c>
      <c r="Q3556" t="n">
        <v>0</v>
      </c>
      <c r="R3556" s="2" t="inlineStr"/>
    </row>
    <row r="3557" ht="15" customHeight="1">
      <c r="A3557" t="inlineStr">
        <is>
          <t>A 69168-2020</t>
        </is>
      </c>
      <c r="B3557" s="1" t="n">
        <v>44188</v>
      </c>
      <c r="C3557" s="1" t="n">
        <v>45182</v>
      </c>
      <c r="D3557" t="inlineStr">
        <is>
          <t>JÄMTLANDS LÄN</t>
        </is>
      </c>
      <c r="E3557" t="inlineStr">
        <is>
          <t>HÄRJEDALEN</t>
        </is>
      </c>
      <c r="F3557" t="inlineStr">
        <is>
          <t>Sveaskog</t>
        </is>
      </c>
      <c r="G3557" t="n">
        <v>20</v>
      </c>
      <c r="H3557" t="n">
        <v>0</v>
      </c>
      <c r="I3557" t="n">
        <v>0</v>
      </c>
      <c r="J3557" t="n">
        <v>0</v>
      </c>
      <c r="K3557" t="n">
        <v>0</v>
      </c>
      <c r="L3557" t="n">
        <v>0</v>
      </c>
      <c r="M3557" t="n">
        <v>0</v>
      </c>
      <c r="N3557" t="n">
        <v>0</v>
      </c>
      <c r="O3557" t="n">
        <v>0</v>
      </c>
      <c r="P3557" t="n">
        <v>0</v>
      </c>
      <c r="Q3557" t="n">
        <v>0</v>
      </c>
      <c r="R3557" s="2" t="inlineStr"/>
    </row>
    <row r="3558" ht="15" customHeight="1">
      <c r="A3558" t="inlineStr">
        <is>
          <t>A 69120-2020</t>
        </is>
      </c>
      <c r="B3558" s="1" t="n">
        <v>44188</v>
      </c>
      <c r="C3558" s="1" t="n">
        <v>45182</v>
      </c>
      <c r="D3558" t="inlineStr">
        <is>
          <t>JÄMTLANDS LÄN</t>
        </is>
      </c>
      <c r="E3558" t="inlineStr">
        <is>
          <t>KROKOM</t>
        </is>
      </c>
      <c r="G3558" t="n">
        <v>4.1</v>
      </c>
      <c r="H3558" t="n">
        <v>0</v>
      </c>
      <c r="I3558" t="n">
        <v>0</v>
      </c>
      <c r="J3558" t="n">
        <v>0</v>
      </c>
      <c r="K3558" t="n">
        <v>0</v>
      </c>
      <c r="L3558" t="n">
        <v>0</v>
      </c>
      <c r="M3558" t="n">
        <v>0</v>
      </c>
      <c r="N3558" t="n">
        <v>0</v>
      </c>
      <c r="O3558" t="n">
        <v>0</v>
      </c>
      <c r="P3558" t="n">
        <v>0</v>
      </c>
      <c r="Q3558" t="n">
        <v>0</v>
      </c>
      <c r="R3558" s="2" t="inlineStr"/>
    </row>
    <row r="3559" ht="15" customHeight="1">
      <c r="A3559" t="inlineStr">
        <is>
          <t>A 69282-2020</t>
        </is>
      </c>
      <c r="B3559" s="1" t="n">
        <v>44188</v>
      </c>
      <c r="C3559" s="1" t="n">
        <v>45182</v>
      </c>
      <c r="D3559" t="inlineStr">
        <is>
          <t>JÄMTLANDS LÄN</t>
        </is>
      </c>
      <c r="E3559" t="inlineStr">
        <is>
          <t>STRÖMSUND</t>
        </is>
      </c>
      <c r="G3559" t="n">
        <v>13.8</v>
      </c>
      <c r="H3559" t="n">
        <v>0</v>
      </c>
      <c r="I3559" t="n">
        <v>0</v>
      </c>
      <c r="J3559" t="n">
        <v>0</v>
      </c>
      <c r="K3559" t="n">
        <v>0</v>
      </c>
      <c r="L3559" t="n">
        <v>0</v>
      </c>
      <c r="M3559" t="n">
        <v>0</v>
      </c>
      <c r="N3559" t="n">
        <v>0</v>
      </c>
      <c r="O3559" t="n">
        <v>0</v>
      </c>
      <c r="P3559" t="n">
        <v>0</v>
      </c>
      <c r="Q3559" t="n">
        <v>0</v>
      </c>
      <c r="R3559" s="2" t="inlineStr"/>
    </row>
    <row r="3560" ht="15" customHeight="1">
      <c r="A3560" t="inlineStr">
        <is>
          <t>A 69346-2020</t>
        </is>
      </c>
      <c r="B3560" s="1" t="n">
        <v>44193</v>
      </c>
      <c r="C3560" s="1" t="n">
        <v>45182</v>
      </c>
      <c r="D3560" t="inlineStr">
        <is>
          <t>JÄMTLANDS LÄN</t>
        </is>
      </c>
      <c r="E3560" t="inlineStr">
        <is>
          <t>STRÖMSUND</t>
        </is>
      </c>
      <c r="G3560" t="n">
        <v>1.6</v>
      </c>
      <c r="H3560" t="n">
        <v>0</v>
      </c>
      <c r="I3560" t="n">
        <v>0</v>
      </c>
      <c r="J3560" t="n">
        <v>0</v>
      </c>
      <c r="K3560" t="n">
        <v>0</v>
      </c>
      <c r="L3560" t="n">
        <v>0</v>
      </c>
      <c r="M3560" t="n">
        <v>0</v>
      </c>
      <c r="N3560" t="n">
        <v>0</v>
      </c>
      <c r="O3560" t="n">
        <v>0</v>
      </c>
      <c r="P3560" t="n">
        <v>0</v>
      </c>
      <c r="Q3560" t="n">
        <v>0</v>
      </c>
      <c r="R3560" s="2" t="inlineStr"/>
    </row>
    <row r="3561" ht="15" customHeight="1">
      <c r="A3561" t="inlineStr">
        <is>
          <t>A 69506-2020</t>
        </is>
      </c>
      <c r="B3561" s="1" t="n">
        <v>44193</v>
      </c>
      <c r="C3561" s="1" t="n">
        <v>45182</v>
      </c>
      <c r="D3561" t="inlineStr">
        <is>
          <t>JÄMTLANDS LÄN</t>
        </is>
      </c>
      <c r="E3561" t="inlineStr">
        <is>
          <t>STRÖMSUND</t>
        </is>
      </c>
      <c r="F3561" t="inlineStr">
        <is>
          <t>Övriga statliga verk och myndigheter</t>
        </is>
      </c>
      <c r="G3561" t="n">
        <v>14.1</v>
      </c>
      <c r="H3561" t="n">
        <v>0</v>
      </c>
      <c r="I3561" t="n">
        <v>0</v>
      </c>
      <c r="J3561" t="n">
        <v>0</v>
      </c>
      <c r="K3561" t="n">
        <v>0</v>
      </c>
      <c r="L3561" t="n">
        <v>0</v>
      </c>
      <c r="M3561" t="n">
        <v>0</v>
      </c>
      <c r="N3561" t="n">
        <v>0</v>
      </c>
      <c r="O3561" t="n">
        <v>0</v>
      </c>
      <c r="P3561" t="n">
        <v>0</v>
      </c>
      <c r="Q3561" t="n">
        <v>0</v>
      </c>
      <c r="R3561" s="2" t="inlineStr"/>
    </row>
    <row r="3562" ht="15" customHeight="1">
      <c r="A3562" t="inlineStr">
        <is>
          <t>A 69508-2020</t>
        </is>
      </c>
      <c r="B3562" s="1" t="n">
        <v>44193</v>
      </c>
      <c r="C3562" s="1" t="n">
        <v>45182</v>
      </c>
      <c r="D3562" t="inlineStr">
        <is>
          <t>JÄMTLANDS LÄN</t>
        </is>
      </c>
      <c r="E3562" t="inlineStr">
        <is>
          <t>STRÖMSUND</t>
        </is>
      </c>
      <c r="F3562" t="inlineStr">
        <is>
          <t>Övriga statliga verk och myndigheter</t>
        </is>
      </c>
      <c r="G3562" t="n">
        <v>6.1</v>
      </c>
      <c r="H3562" t="n">
        <v>0</v>
      </c>
      <c r="I3562" t="n">
        <v>0</v>
      </c>
      <c r="J3562" t="n">
        <v>0</v>
      </c>
      <c r="K3562" t="n">
        <v>0</v>
      </c>
      <c r="L3562" t="n">
        <v>0</v>
      </c>
      <c r="M3562" t="n">
        <v>0</v>
      </c>
      <c r="N3562" t="n">
        <v>0</v>
      </c>
      <c r="O3562" t="n">
        <v>0</v>
      </c>
      <c r="P3562" t="n">
        <v>0</v>
      </c>
      <c r="Q3562" t="n">
        <v>0</v>
      </c>
      <c r="R3562" s="2" t="inlineStr"/>
    </row>
    <row r="3563" ht="15" customHeight="1">
      <c r="A3563" t="inlineStr">
        <is>
          <t>A 69481-2020</t>
        </is>
      </c>
      <c r="B3563" s="1" t="n">
        <v>44194</v>
      </c>
      <c r="C3563" s="1" t="n">
        <v>45182</v>
      </c>
      <c r="D3563" t="inlineStr">
        <is>
          <t>JÄMTLANDS LÄN</t>
        </is>
      </c>
      <c r="E3563" t="inlineStr">
        <is>
          <t>RAGUNDA</t>
        </is>
      </c>
      <c r="G3563" t="n">
        <v>1</v>
      </c>
      <c r="H3563" t="n">
        <v>0</v>
      </c>
      <c r="I3563" t="n">
        <v>0</v>
      </c>
      <c r="J3563" t="n">
        <v>0</v>
      </c>
      <c r="K3563" t="n">
        <v>0</v>
      </c>
      <c r="L3563" t="n">
        <v>0</v>
      </c>
      <c r="M3563" t="n">
        <v>0</v>
      </c>
      <c r="N3563" t="n">
        <v>0</v>
      </c>
      <c r="O3563" t="n">
        <v>0</v>
      </c>
      <c r="P3563" t="n">
        <v>0</v>
      </c>
      <c r="Q3563" t="n">
        <v>0</v>
      </c>
      <c r="R3563" s="2" t="inlineStr"/>
    </row>
    <row r="3564" ht="15" customHeight="1">
      <c r="A3564" t="inlineStr">
        <is>
          <t>A 108-2021</t>
        </is>
      </c>
      <c r="B3564" s="1" t="n">
        <v>44195</v>
      </c>
      <c r="C3564" s="1" t="n">
        <v>45182</v>
      </c>
      <c r="D3564" t="inlineStr">
        <is>
          <t>JÄMTLANDS LÄN</t>
        </is>
      </c>
      <c r="E3564" t="inlineStr">
        <is>
          <t>STRÖMSUND</t>
        </is>
      </c>
      <c r="G3564" t="n">
        <v>3.3</v>
      </c>
      <c r="H3564" t="n">
        <v>0</v>
      </c>
      <c r="I3564" t="n">
        <v>0</v>
      </c>
      <c r="J3564" t="n">
        <v>0</v>
      </c>
      <c r="K3564" t="n">
        <v>0</v>
      </c>
      <c r="L3564" t="n">
        <v>0</v>
      </c>
      <c r="M3564" t="n">
        <v>0</v>
      </c>
      <c r="N3564" t="n">
        <v>0</v>
      </c>
      <c r="O3564" t="n">
        <v>0</v>
      </c>
      <c r="P3564" t="n">
        <v>0</v>
      </c>
      <c r="Q3564" t="n">
        <v>0</v>
      </c>
      <c r="R3564" s="2" t="inlineStr"/>
    </row>
    <row r="3565" ht="15" customHeight="1">
      <c r="A3565" t="inlineStr">
        <is>
          <t>A 69618-2020</t>
        </is>
      </c>
      <c r="B3565" s="1" t="n">
        <v>44195</v>
      </c>
      <c r="C3565" s="1" t="n">
        <v>45182</v>
      </c>
      <c r="D3565" t="inlineStr">
        <is>
          <t>JÄMTLANDS LÄN</t>
        </is>
      </c>
      <c r="E3565" t="inlineStr">
        <is>
          <t>RAGUNDA</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142-2021</t>
        </is>
      </c>
      <c r="B3566" s="1" t="n">
        <v>44196</v>
      </c>
      <c r="C3566" s="1" t="n">
        <v>45182</v>
      </c>
      <c r="D3566" t="inlineStr">
        <is>
          <t>JÄMTLANDS LÄN</t>
        </is>
      </c>
      <c r="E3566" t="inlineStr">
        <is>
          <t>STRÖMSUND</t>
        </is>
      </c>
      <c r="G3566" t="n">
        <v>6.1</v>
      </c>
      <c r="H3566" t="n">
        <v>0</v>
      </c>
      <c r="I3566" t="n">
        <v>0</v>
      </c>
      <c r="J3566" t="n">
        <v>0</v>
      </c>
      <c r="K3566" t="n">
        <v>0</v>
      </c>
      <c r="L3566" t="n">
        <v>0</v>
      </c>
      <c r="M3566" t="n">
        <v>0</v>
      </c>
      <c r="N3566" t="n">
        <v>0</v>
      </c>
      <c r="O3566" t="n">
        <v>0</v>
      </c>
      <c r="P3566" t="n">
        <v>0</v>
      </c>
      <c r="Q3566" t="n">
        <v>0</v>
      </c>
      <c r="R3566" s="2" t="inlineStr"/>
    </row>
    <row r="3567" ht="15" customHeight="1">
      <c r="A3567" t="inlineStr">
        <is>
          <t>A 138-2021</t>
        </is>
      </c>
      <c r="B3567" s="1" t="n">
        <v>44196</v>
      </c>
      <c r="C3567" s="1" t="n">
        <v>45182</v>
      </c>
      <c r="D3567" t="inlineStr">
        <is>
          <t>JÄMTLANDS LÄN</t>
        </is>
      </c>
      <c r="E3567" t="inlineStr">
        <is>
          <t>STRÖMSUND</t>
        </is>
      </c>
      <c r="G3567" t="n">
        <v>3.3</v>
      </c>
      <c r="H3567" t="n">
        <v>0</v>
      </c>
      <c r="I3567" t="n">
        <v>0</v>
      </c>
      <c r="J3567" t="n">
        <v>0</v>
      </c>
      <c r="K3567" t="n">
        <v>0</v>
      </c>
      <c r="L3567" t="n">
        <v>0</v>
      </c>
      <c r="M3567" t="n">
        <v>0</v>
      </c>
      <c r="N3567" t="n">
        <v>0</v>
      </c>
      <c r="O3567" t="n">
        <v>0</v>
      </c>
      <c r="P3567" t="n">
        <v>0</v>
      </c>
      <c r="Q3567" t="n">
        <v>0</v>
      </c>
      <c r="R3567" s="2" t="inlineStr"/>
    </row>
    <row r="3568" ht="15" customHeight="1">
      <c r="A3568" t="inlineStr">
        <is>
          <t>A 135-2021</t>
        </is>
      </c>
      <c r="B3568" s="1" t="n">
        <v>44196</v>
      </c>
      <c r="C3568" s="1" t="n">
        <v>45182</v>
      </c>
      <c r="D3568" t="inlineStr">
        <is>
          <t>JÄMTLANDS LÄN</t>
        </is>
      </c>
      <c r="E3568" t="inlineStr">
        <is>
          <t>STRÖMSUND</t>
        </is>
      </c>
      <c r="G3568" t="n">
        <v>2.5</v>
      </c>
      <c r="H3568" t="n">
        <v>0</v>
      </c>
      <c r="I3568" t="n">
        <v>0</v>
      </c>
      <c r="J3568" t="n">
        <v>0</v>
      </c>
      <c r="K3568" t="n">
        <v>0</v>
      </c>
      <c r="L3568" t="n">
        <v>0</v>
      </c>
      <c r="M3568" t="n">
        <v>0</v>
      </c>
      <c r="N3568" t="n">
        <v>0</v>
      </c>
      <c r="O3568" t="n">
        <v>0</v>
      </c>
      <c r="P3568" t="n">
        <v>0</v>
      </c>
      <c r="Q3568" t="n">
        <v>0</v>
      </c>
      <c r="R3568" s="2" t="inlineStr"/>
    </row>
    <row r="3569" ht="15" customHeight="1">
      <c r="A3569" t="inlineStr">
        <is>
          <t>A 501-2021</t>
        </is>
      </c>
      <c r="B3569" s="1" t="n">
        <v>44200</v>
      </c>
      <c r="C3569" s="1" t="n">
        <v>45182</v>
      </c>
      <c r="D3569" t="inlineStr">
        <is>
          <t>JÄMTLANDS LÄN</t>
        </is>
      </c>
      <c r="E3569" t="inlineStr">
        <is>
          <t>ÖSTERSUND</t>
        </is>
      </c>
      <c r="G3569" t="n">
        <v>0.5</v>
      </c>
      <c r="H3569" t="n">
        <v>0</v>
      </c>
      <c r="I3569" t="n">
        <v>0</v>
      </c>
      <c r="J3569" t="n">
        <v>0</v>
      </c>
      <c r="K3569" t="n">
        <v>0</v>
      </c>
      <c r="L3569" t="n">
        <v>0</v>
      </c>
      <c r="M3569" t="n">
        <v>0</v>
      </c>
      <c r="N3569" t="n">
        <v>0</v>
      </c>
      <c r="O3569" t="n">
        <v>0</v>
      </c>
      <c r="P3569" t="n">
        <v>0</v>
      </c>
      <c r="Q3569" t="n">
        <v>0</v>
      </c>
      <c r="R3569" s="2" t="inlineStr"/>
    </row>
    <row r="3570" ht="15" customHeight="1">
      <c r="A3570" t="inlineStr">
        <is>
          <t>A 126-2021</t>
        </is>
      </c>
      <c r="B3570" s="1" t="n">
        <v>44200</v>
      </c>
      <c r="C3570" s="1" t="n">
        <v>45182</v>
      </c>
      <c r="D3570" t="inlineStr">
        <is>
          <t>JÄMTLANDS LÄN</t>
        </is>
      </c>
      <c r="E3570" t="inlineStr">
        <is>
          <t>ÖSTERSUND</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327-2021</t>
        </is>
      </c>
      <c r="B3571" s="1" t="n">
        <v>44200</v>
      </c>
      <c r="C3571" s="1" t="n">
        <v>45182</v>
      </c>
      <c r="D3571" t="inlineStr">
        <is>
          <t>JÄMTLANDS LÄN</t>
        </is>
      </c>
      <c r="E3571" t="inlineStr">
        <is>
          <t>KROKOM</t>
        </is>
      </c>
      <c r="G3571" t="n">
        <v>0.2</v>
      </c>
      <c r="H3571" t="n">
        <v>0</v>
      </c>
      <c r="I3571" t="n">
        <v>0</v>
      </c>
      <c r="J3571" t="n">
        <v>0</v>
      </c>
      <c r="K3571" t="n">
        <v>0</v>
      </c>
      <c r="L3571" t="n">
        <v>0</v>
      </c>
      <c r="M3571" t="n">
        <v>0</v>
      </c>
      <c r="N3571" t="n">
        <v>0</v>
      </c>
      <c r="O3571" t="n">
        <v>0</v>
      </c>
      <c r="P3571" t="n">
        <v>0</v>
      </c>
      <c r="Q3571" t="n">
        <v>0</v>
      </c>
      <c r="R3571" s="2" t="inlineStr"/>
    </row>
    <row r="3572" ht="15" customHeight="1">
      <c r="A3572" t="inlineStr">
        <is>
          <t>A 575-2021</t>
        </is>
      </c>
      <c r="B3572" s="1" t="n">
        <v>44201</v>
      </c>
      <c r="C3572" s="1" t="n">
        <v>45182</v>
      </c>
      <c r="D3572" t="inlineStr">
        <is>
          <t>JÄMTLANDS LÄN</t>
        </is>
      </c>
      <c r="E3572" t="inlineStr">
        <is>
          <t>STRÖMSUND</t>
        </is>
      </c>
      <c r="G3572" t="n">
        <v>32.5</v>
      </c>
      <c r="H3572" t="n">
        <v>0</v>
      </c>
      <c r="I3572" t="n">
        <v>0</v>
      </c>
      <c r="J3572" t="n">
        <v>0</v>
      </c>
      <c r="K3572" t="n">
        <v>0</v>
      </c>
      <c r="L3572" t="n">
        <v>0</v>
      </c>
      <c r="M3572" t="n">
        <v>0</v>
      </c>
      <c r="N3572" t="n">
        <v>0</v>
      </c>
      <c r="O3572" t="n">
        <v>0</v>
      </c>
      <c r="P3572" t="n">
        <v>0</v>
      </c>
      <c r="Q3572" t="n">
        <v>0</v>
      </c>
      <c r="R3572" s="2" t="inlineStr"/>
    </row>
    <row r="3573" ht="15" customHeight="1">
      <c r="A3573" t="inlineStr">
        <is>
          <t>A 363-2021</t>
        </is>
      </c>
      <c r="B3573" s="1" t="n">
        <v>44201</v>
      </c>
      <c r="C3573" s="1" t="n">
        <v>45182</v>
      </c>
      <c r="D3573" t="inlineStr">
        <is>
          <t>JÄMTLANDS LÄN</t>
        </is>
      </c>
      <c r="E3573" t="inlineStr">
        <is>
          <t>STRÖMSUND</t>
        </is>
      </c>
      <c r="F3573" t="inlineStr">
        <is>
          <t>SCA</t>
        </is>
      </c>
      <c r="G3573" t="n">
        <v>52.4</v>
      </c>
      <c r="H3573" t="n">
        <v>0</v>
      </c>
      <c r="I3573" t="n">
        <v>0</v>
      </c>
      <c r="J3573" t="n">
        <v>0</v>
      </c>
      <c r="K3573" t="n">
        <v>0</v>
      </c>
      <c r="L3573" t="n">
        <v>0</v>
      </c>
      <c r="M3573" t="n">
        <v>0</v>
      </c>
      <c r="N3573" t="n">
        <v>0</v>
      </c>
      <c r="O3573" t="n">
        <v>0</v>
      </c>
      <c r="P3573" t="n">
        <v>0</v>
      </c>
      <c r="Q3573" t="n">
        <v>0</v>
      </c>
      <c r="R3573" s="2" t="inlineStr"/>
    </row>
    <row r="3574" ht="15" customHeight="1">
      <c r="A3574" t="inlineStr">
        <is>
          <t>A 326-2021</t>
        </is>
      </c>
      <c r="B3574" s="1" t="n">
        <v>44201</v>
      </c>
      <c r="C3574" s="1" t="n">
        <v>45182</v>
      </c>
      <c r="D3574" t="inlineStr">
        <is>
          <t>JÄMTLANDS LÄN</t>
        </is>
      </c>
      <c r="E3574" t="inlineStr">
        <is>
          <t>STRÖMSUND</t>
        </is>
      </c>
      <c r="F3574" t="inlineStr">
        <is>
          <t>SCA</t>
        </is>
      </c>
      <c r="G3574" t="n">
        <v>88.09999999999999</v>
      </c>
      <c r="H3574" t="n">
        <v>0</v>
      </c>
      <c r="I3574" t="n">
        <v>0</v>
      </c>
      <c r="J3574" t="n">
        <v>0</v>
      </c>
      <c r="K3574" t="n">
        <v>0</v>
      </c>
      <c r="L3574" t="n">
        <v>0</v>
      </c>
      <c r="M3574" t="n">
        <v>0</v>
      </c>
      <c r="N3574" t="n">
        <v>0</v>
      </c>
      <c r="O3574" t="n">
        <v>0</v>
      </c>
      <c r="P3574" t="n">
        <v>0</v>
      </c>
      <c r="Q3574" t="n">
        <v>0</v>
      </c>
      <c r="R3574" s="2" t="inlineStr"/>
    </row>
    <row r="3575" ht="15" customHeight="1">
      <c r="A3575" t="inlineStr">
        <is>
          <t>A 592-2021</t>
        </is>
      </c>
      <c r="B3575" s="1" t="n">
        <v>44201</v>
      </c>
      <c r="C3575" s="1" t="n">
        <v>45182</v>
      </c>
      <c r="D3575" t="inlineStr">
        <is>
          <t>JÄMTLANDS LÄN</t>
        </is>
      </c>
      <c r="E3575" t="inlineStr">
        <is>
          <t>BERG</t>
        </is>
      </c>
      <c r="G3575" t="n">
        <v>1</v>
      </c>
      <c r="H3575" t="n">
        <v>0</v>
      </c>
      <c r="I3575" t="n">
        <v>0</v>
      </c>
      <c r="J3575" t="n">
        <v>0</v>
      </c>
      <c r="K3575" t="n">
        <v>0</v>
      </c>
      <c r="L3575" t="n">
        <v>0</v>
      </c>
      <c r="M3575" t="n">
        <v>0</v>
      </c>
      <c r="N3575" t="n">
        <v>0</v>
      </c>
      <c r="O3575" t="n">
        <v>0</v>
      </c>
      <c r="P3575" t="n">
        <v>0</v>
      </c>
      <c r="Q3575" t="n">
        <v>0</v>
      </c>
      <c r="R3575" s="2" t="inlineStr"/>
    </row>
    <row r="3576" ht="15" customHeight="1">
      <c r="A3576" t="inlineStr">
        <is>
          <t>A 457-2021</t>
        </is>
      </c>
      <c r="B3576" s="1" t="n">
        <v>44202</v>
      </c>
      <c r="C3576" s="1" t="n">
        <v>45182</v>
      </c>
      <c r="D3576" t="inlineStr">
        <is>
          <t>JÄMTLANDS LÄN</t>
        </is>
      </c>
      <c r="E3576" t="inlineStr">
        <is>
          <t>STRÖMSUND</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692-2021</t>
        </is>
      </c>
      <c r="B3577" s="1" t="n">
        <v>44203</v>
      </c>
      <c r="C3577" s="1" t="n">
        <v>45182</v>
      </c>
      <c r="D3577" t="inlineStr">
        <is>
          <t>JÄMTLANDS LÄN</t>
        </is>
      </c>
      <c r="E3577" t="inlineStr">
        <is>
          <t>BERG</t>
        </is>
      </c>
      <c r="G3577" t="n">
        <v>0.7</v>
      </c>
      <c r="H3577" t="n">
        <v>0</v>
      </c>
      <c r="I3577" t="n">
        <v>0</v>
      </c>
      <c r="J3577" t="n">
        <v>0</v>
      </c>
      <c r="K3577" t="n">
        <v>0</v>
      </c>
      <c r="L3577" t="n">
        <v>0</v>
      </c>
      <c r="M3577" t="n">
        <v>0</v>
      </c>
      <c r="N3577" t="n">
        <v>0</v>
      </c>
      <c r="O3577" t="n">
        <v>0</v>
      </c>
      <c r="P3577" t="n">
        <v>0</v>
      </c>
      <c r="Q3577" t="n">
        <v>0</v>
      </c>
      <c r="R3577" s="2" t="inlineStr"/>
    </row>
    <row r="3578" ht="15" customHeight="1">
      <c r="A3578" t="inlineStr">
        <is>
          <t>A 582-2021</t>
        </is>
      </c>
      <c r="B3578" s="1" t="n">
        <v>44203</v>
      </c>
      <c r="C3578" s="1" t="n">
        <v>45182</v>
      </c>
      <c r="D3578" t="inlineStr">
        <is>
          <t>JÄMTLANDS LÄN</t>
        </is>
      </c>
      <c r="E3578" t="inlineStr">
        <is>
          <t>STRÖMSUND</t>
        </is>
      </c>
      <c r="F3578" t="inlineStr">
        <is>
          <t>SCA</t>
        </is>
      </c>
      <c r="G3578" t="n">
        <v>54.9</v>
      </c>
      <c r="H3578" t="n">
        <v>0</v>
      </c>
      <c r="I3578" t="n">
        <v>0</v>
      </c>
      <c r="J3578" t="n">
        <v>0</v>
      </c>
      <c r="K3578" t="n">
        <v>0</v>
      </c>
      <c r="L3578" t="n">
        <v>0</v>
      </c>
      <c r="M3578" t="n">
        <v>0</v>
      </c>
      <c r="N3578" t="n">
        <v>0</v>
      </c>
      <c r="O3578" t="n">
        <v>0</v>
      </c>
      <c r="P3578" t="n">
        <v>0</v>
      </c>
      <c r="Q3578" t="n">
        <v>0</v>
      </c>
      <c r="R3578" s="2" t="inlineStr"/>
    </row>
    <row r="3579" ht="15" customHeight="1">
      <c r="A3579" t="inlineStr">
        <is>
          <t>A 688-2021</t>
        </is>
      </c>
      <c r="B3579" s="1" t="n">
        <v>44203</v>
      </c>
      <c r="C3579" s="1" t="n">
        <v>45182</v>
      </c>
      <c r="D3579" t="inlineStr">
        <is>
          <t>JÄMTLANDS LÄN</t>
        </is>
      </c>
      <c r="E3579" t="inlineStr">
        <is>
          <t>KROKOM</t>
        </is>
      </c>
      <c r="G3579" t="n">
        <v>7.8</v>
      </c>
      <c r="H3579" t="n">
        <v>0</v>
      </c>
      <c r="I3579" t="n">
        <v>0</v>
      </c>
      <c r="J3579" t="n">
        <v>0</v>
      </c>
      <c r="K3579" t="n">
        <v>0</v>
      </c>
      <c r="L3579" t="n">
        <v>0</v>
      </c>
      <c r="M3579" t="n">
        <v>0</v>
      </c>
      <c r="N3579" t="n">
        <v>0</v>
      </c>
      <c r="O3579" t="n">
        <v>0</v>
      </c>
      <c r="P3579" t="n">
        <v>0</v>
      </c>
      <c r="Q3579" t="n">
        <v>0</v>
      </c>
      <c r="R3579" s="2" t="inlineStr"/>
    </row>
    <row r="3580" ht="15" customHeight="1">
      <c r="A3580" t="inlineStr">
        <is>
          <t>A 702-2021</t>
        </is>
      </c>
      <c r="B3580" s="1" t="n">
        <v>44203</v>
      </c>
      <c r="C3580" s="1" t="n">
        <v>45182</v>
      </c>
      <c r="D3580" t="inlineStr">
        <is>
          <t>JÄMTLANDS LÄN</t>
        </is>
      </c>
      <c r="E3580" t="inlineStr">
        <is>
          <t>BERG</t>
        </is>
      </c>
      <c r="F3580" t="inlineStr">
        <is>
          <t>SCA</t>
        </is>
      </c>
      <c r="G3580" t="n">
        <v>4.7</v>
      </c>
      <c r="H3580" t="n">
        <v>0</v>
      </c>
      <c r="I3580" t="n">
        <v>0</v>
      </c>
      <c r="J3580" t="n">
        <v>0</v>
      </c>
      <c r="K3580" t="n">
        <v>0</v>
      </c>
      <c r="L3580" t="n">
        <v>0</v>
      </c>
      <c r="M3580" t="n">
        <v>0</v>
      </c>
      <c r="N3580" t="n">
        <v>0</v>
      </c>
      <c r="O3580" t="n">
        <v>0</v>
      </c>
      <c r="P3580" t="n">
        <v>0</v>
      </c>
      <c r="Q3580" t="n">
        <v>0</v>
      </c>
      <c r="R3580" s="2" t="inlineStr"/>
    </row>
    <row r="3581" ht="15" customHeight="1">
      <c r="A3581" t="inlineStr">
        <is>
          <t>A 647-2021</t>
        </is>
      </c>
      <c r="B3581" s="1" t="n">
        <v>44203</v>
      </c>
      <c r="C3581" s="1" t="n">
        <v>45182</v>
      </c>
      <c r="D3581" t="inlineStr">
        <is>
          <t>JÄMTLANDS LÄN</t>
        </is>
      </c>
      <c r="E3581" t="inlineStr">
        <is>
          <t>STRÖMSUND</t>
        </is>
      </c>
      <c r="F3581" t="inlineStr">
        <is>
          <t>SCA</t>
        </is>
      </c>
      <c r="G3581" t="n">
        <v>151.3</v>
      </c>
      <c r="H3581" t="n">
        <v>0</v>
      </c>
      <c r="I3581" t="n">
        <v>0</v>
      </c>
      <c r="J3581" t="n">
        <v>0</v>
      </c>
      <c r="K3581" t="n">
        <v>0</v>
      </c>
      <c r="L3581" t="n">
        <v>0</v>
      </c>
      <c r="M3581" t="n">
        <v>0</v>
      </c>
      <c r="N3581" t="n">
        <v>0</v>
      </c>
      <c r="O3581" t="n">
        <v>0</v>
      </c>
      <c r="P3581" t="n">
        <v>0</v>
      </c>
      <c r="Q3581" t="n">
        <v>0</v>
      </c>
      <c r="R3581" s="2" t="inlineStr"/>
    </row>
    <row r="3582" ht="15" customHeight="1">
      <c r="A3582" t="inlineStr">
        <is>
          <t>A 742-2021</t>
        </is>
      </c>
      <c r="B3582" s="1" t="n">
        <v>44204</v>
      </c>
      <c r="C3582" s="1" t="n">
        <v>45182</v>
      </c>
      <c r="D3582" t="inlineStr">
        <is>
          <t>JÄMTLANDS LÄN</t>
        </is>
      </c>
      <c r="E3582" t="inlineStr">
        <is>
          <t>STRÖMSUND</t>
        </is>
      </c>
      <c r="F3582" t="inlineStr">
        <is>
          <t>SCA</t>
        </is>
      </c>
      <c r="G3582" t="n">
        <v>22.8</v>
      </c>
      <c r="H3582" t="n">
        <v>0</v>
      </c>
      <c r="I3582" t="n">
        <v>0</v>
      </c>
      <c r="J3582" t="n">
        <v>0</v>
      </c>
      <c r="K3582" t="n">
        <v>0</v>
      </c>
      <c r="L3582" t="n">
        <v>0</v>
      </c>
      <c r="M3582" t="n">
        <v>0</v>
      </c>
      <c r="N3582" t="n">
        <v>0</v>
      </c>
      <c r="O3582" t="n">
        <v>0</v>
      </c>
      <c r="P3582" t="n">
        <v>0</v>
      </c>
      <c r="Q3582" t="n">
        <v>0</v>
      </c>
      <c r="R3582" s="2" t="inlineStr"/>
    </row>
    <row r="3583" ht="15" customHeight="1">
      <c r="A3583" t="inlineStr">
        <is>
          <t>A 884-2021</t>
        </is>
      </c>
      <c r="B3583" s="1" t="n">
        <v>44206</v>
      </c>
      <c r="C3583" s="1" t="n">
        <v>45182</v>
      </c>
      <c r="D3583" t="inlineStr">
        <is>
          <t>JÄMTLANDS LÄN</t>
        </is>
      </c>
      <c r="E3583" t="inlineStr">
        <is>
          <t>KROKOM</t>
        </is>
      </c>
      <c r="G3583" t="n">
        <v>0.2</v>
      </c>
      <c r="H3583" t="n">
        <v>0</v>
      </c>
      <c r="I3583" t="n">
        <v>0</v>
      </c>
      <c r="J3583" t="n">
        <v>0</v>
      </c>
      <c r="K3583" t="n">
        <v>0</v>
      </c>
      <c r="L3583" t="n">
        <v>0</v>
      </c>
      <c r="M3583" t="n">
        <v>0</v>
      </c>
      <c r="N3583" t="n">
        <v>0</v>
      </c>
      <c r="O3583" t="n">
        <v>0</v>
      </c>
      <c r="P3583" t="n">
        <v>0</v>
      </c>
      <c r="Q3583" t="n">
        <v>0</v>
      </c>
      <c r="R3583" s="2" t="inlineStr"/>
    </row>
    <row r="3584" ht="15" customHeight="1">
      <c r="A3584" t="inlineStr">
        <is>
          <t>A 915-2021</t>
        </is>
      </c>
      <c r="B3584" s="1" t="n">
        <v>44207</v>
      </c>
      <c r="C3584" s="1" t="n">
        <v>45182</v>
      </c>
      <c r="D3584" t="inlineStr">
        <is>
          <t>JÄMTLANDS LÄN</t>
        </is>
      </c>
      <c r="E3584" t="inlineStr">
        <is>
          <t>KROKOM</t>
        </is>
      </c>
      <c r="F3584" t="inlineStr">
        <is>
          <t>Övriga Aktiebolag</t>
        </is>
      </c>
      <c r="G3584" t="n">
        <v>107.9</v>
      </c>
      <c r="H3584" t="n">
        <v>0</v>
      </c>
      <c r="I3584" t="n">
        <v>0</v>
      </c>
      <c r="J3584" t="n">
        <v>0</v>
      </c>
      <c r="K3584" t="n">
        <v>0</v>
      </c>
      <c r="L3584" t="n">
        <v>0</v>
      </c>
      <c r="M3584" t="n">
        <v>0</v>
      </c>
      <c r="N3584" t="n">
        <v>0</v>
      </c>
      <c r="O3584" t="n">
        <v>0</v>
      </c>
      <c r="P3584" t="n">
        <v>0</v>
      </c>
      <c r="Q3584" t="n">
        <v>0</v>
      </c>
      <c r="R3584" s="2" t="inlineStr"/>
    </row>
    <row r="3585" ht="15" customHeight="1">
      <c r="A3585" t="inlineStr">
        <is>
          <t>A 981-2021</t>
        </is>
      </c>
      <c r="B3585" s="1" t="n">
        <v>44207</v>
      </c>
      <c r="C3585" s="1" t="n">
        <v>45182</v>
      </c>
      <c r="D3585" t="inlineStr">
        <is>
          <t>JÄMTLANDS LÄN</t>
        </is>
      </c>
      <c r="E3585" t="inlineStr">
        <is>
          <t>KROKOM</t>
        </is>
      </c>
      <c r="G3585" t="n">
        <v>3.5</v>
      </c>
      <c r="H3585" t="n">
        <v>0</v>
      </c>
      <c r="I3585" t="n">
        <v>0</v>
      </c>
      <c r="J3585" t="n">
        <v>0</v>
      </c>
      <c r="K3585" t="n">
        <v>0</v>
      </c>
      <c r="L3585" t="n">
        <v>0</v>
      </c>
      <c r="M3585" t="n">
        <v>0</v>
      </c>
      <c r="N3585" t="n">
        <v>0</v>
      </c>
      <c r="O3585" t="n">
        <v>0</v>
      </c>
      <c r="P3585" t="n">
        <v>0</v>
      </c>
      <c r="Q3585" t="n">
        <v>0</v>
      </c>
      <c r="R3585" s="2" t="inlineStr"/>
    </row>
    <row r="3586" ht="15" customHeight="1">
      <c r="A3586" t="inlineStr">
        <is>
          <t>A 1027-2021</t>
        </is>
      </c>
      <c r="B3586" s="1" t="n">
        <v>44207</v>
      </c>
      <c r="C3586" s="1" t="n">
        <v>45182</v>
      </c>
      <c r="D3586" t="inlineStr">
        <is>
          <t>JÄMTLANDS LÄN</t>
        </is>
      </c>
      <c r="E3586" t="inlineStr">
        <is>
          <t>BRÄCKE</t>
        </is>
      </c>
      <c r="G3586" t="n">
        <v>2.7</v>
      </c>
      <c r="H3586" t="n">
        <v>0</v>
      </c>
      <c r="I3586" t="n">
        <v>0</v>
      </c>
      <c r="J3586" t="n">
        <v>0</v>
      </c>
      <c r="K3586" t="n">
        <v>0</v>
      </c>
      <c r="L3586" t="n">
        <v>0</v>
      </c>
      <c r="M3586" t="n">
        <v>0</v>
      </c>
      <c r="N3586" t="n">
        <v>0</v>
      </c>
      <c r="O3586" t="n">
        <v>0</v>
      </c>
      <c r="P3586" t="n">
        <v>0</v>
      </c>
      <c r="Q3586" t="n">
        <v>0</v>
      </c>
      <c r="R3586" s="2" t="inlineStr"/>
    </row>
    <row r="3587" ht="15" customHeight="1">
      <c r="A3587" t="inlineStr">
        <is>
          <t>A 1088-2021</t>
        </is>
      </c>
      <c r="B3587" s="1" t="n">
        <v>44207</v>
      </c>
      <c r="C3587" s="1" t="n">
        <v>45182</v>
      </c>
      <c r="D3587" t="inlineStr">
        <is>
          <t>JÄMTLANDS LÄN</t>
        </is>
      </c>
      <c r="E3587" t="inlineStr">
        <is>
          <t>HÄRJEDALEN</t>
        </is>
      </c>
      <c r="F3587" t="inlineStr">
        <is>
          <t>Sveaskog</t>
        </is>
      </c>
      <c r="G3587" t="n">
        <v>2.2</v>
      </c>
      <c r="H3587" t="n">
        <v>0</v>
      </c>
      <c r="I3587" t="n">
        <v>0</v>
      </c>
      <c r="J3587" t="n">
        <v>0</v>
      </c>
      <c r="K3587" t="n">
        <v>0</v>
      </c>
      <c r="L3587" t="n">
        <v>0</v>
      </c>
      <c r="M3587" t="n">
        <v>0</v>
      </c>
      <c r="N3587" t="n">
        <v>0</v>
      </c>
      <c r="O3587" t="n">
        <v>0</v>
      </c>
      <c r="P3587" t="n">
        <v>0</v>
      </c>
      <c r="Q3587" t="n">
        <v>0</v>
      </c>
      <c r="R3587" s="2" t="inlineStr"/>
    </row>
    <row r="3588" ht="15" customHeight="1">
      <c r="A3588" t="inlineStr">
        <is>
          <t>A 1305-2021</t>
        </is>
      </c>
      <c r="B3588" s="1" t="n">
        <v>44207</v>
      </c>
      <c r="C3588" s="1" t="n">
        <v>45182</v>
      </c>
      <c r="D3588" t="inlineStr">
        <is>
          <t>JÄMTLANDS LÄN</t>
        </is>
      </c>
      <c r="E3588" t="inlineStr">
        <is>
          <t>STRÖMSUND</t>
        </is>
      </c>
      <c r="G3588" t="n">
        <v>0.8</v>
      </c>
      <c r="H3588" t="n">
        <v>0</v>
      </c>
      <c r="I3588" t="n">
        <v>0</v>
      </c>
      <c r="J3588" t="n">
        <v>0</v>
      </c>
      <c r="K3588" t="n">
        <v>0</v>
      </c>
      <c r="L3588" t="n">
        <v>0</v>
      </c>
      <c r="M3588" t="n">
        <v>0</v>
      </c>
      <c r="N3588" t="n">
        <v>0</v>
      </c>
      <c r="O3588" t="n">
        <v>0</v>
      </c>
      <c r="P3588" t="n">
        <v>0</v>
      </c>
      <c r="Q3588" t="n">
        <v>0</v>
      </c>
      <c r="R3588" s="2" t="inlineStr"/>
    </row>
    <row r="3589" ht="15" customHeight="1">
      <c r="A3589" t="inlineStr">
        <is>
          <t>A 1032-2021</t>
        </is>
      </c>
      <c r="B3589" s="1" t="n">
        <v>44207</v>
      </c>
      <c r="C3589" s="1" t="n">
        <v>45182</v>
      </c>
      <c r="D3589" t="inlineStr">
        <is>
          <t>JÄMTLANDS LÄN</t>
        </is>
      </c>
      <c r="E3589" t="inlineStr">
        <is>
          <t>BERG</t>
        </is>
      </c>
      <c r="G3589" t="n">
        <v>3.4</v>
      </c>
      <c r="H3589" t="n">
        <v>0</v>
      </c>
      <c r="I3589" t="n">
        <v>0</v>
      </c>
      <c r="J3589" t="n">
        <v>0</v>
      </c>
      <c r="K3589" t="n">
        <v>0</v>
      </c>
      <c r="L3589" t="n">
        <v>0</v>
      </c>
      <c r="M3589" t="n">
        <v>0</v>
      </c>
      <c r="N3589" t="n">
        <v>0</v>
      </c>
      <c r="O3589" t="n">
        <v>0</v>
      </c>
      <c r="P3589" t="n">
        <v>0</v>
      </c>
      <c r="Q3589" t="n">
        <v>0</v>
      </c>
      <c r="R3589" s="2" t="inlineStr"/>
    </row>
    <row r="3590" ht="15" customHeight="1">
      <c r="A3590" t="inlineStr">
        <is>
          <t>A 913-2021</t>
        </is>
      </c>
      <c r="B3590" s="1" t="n">
        <v>44207</v>
      </c>
      <c r="C3590" s="1" t="n">
        <v>45182</v>
      </c>
      <c r="D3590" t="inlineStr">
        <is>
          <t>JÄMTLANDS LÄN</t>
        </is>
      </c>
      <c r="E3590" t="inlineStr">
        <is>
          <t>KROKOM</t>
        </is>
      </c>
      <c r="F3590" t="inlineStr">
        <is>
          <t>Övriga Aktiebolag</t>
        </is>
      </c>
      <c r="G3590" t="n">
        <v>50.8</v>
      </c>
      <c r="H3590" t="n">
        <v>0</v>
      </c>
      <c r="I3590" t="n">
        <v>0</v>
      </c>
      <c r="J3590" t="n">
        <v>0</v>
      </c>
      <c r="K3590" t="n">
        <v>0</v>
      </c>
      <c r="L3590" t="n">
        <v>0</v>
      </c>
      <c r="M3590" t="n">
        <v>0</v>
      </c>
      <c r="N3590" t="n">
        <v>0</v>
      </c>
      <c r="O3590" t="n">
        <v>0</v>
      </c>
      <c r="P3590" t="n">
        <v>0</v>
      </c>
      <c r="Q3590" t="n">
        <v>0</v>
      </c>
      <c r="R3590" s="2" t="inlineStr"/>
    </row>
    <row r="3591" ht="15" customHeight="1">
      <c r="A3591" t="inlineStr">
        <is>
          <t>A 1287-2021</t>
        </is>
      </c>
      <c r="B3591" s="1" t="n">
        <v>44207</v>
      </c>
      <c r="C3591" s="1" t="n">
        <v>45182</v>
      </c>
      <c r="D3591" t="inlineStr">
        <is>
          <t>JÄMTLANDS LÄN</t>
        </is>
      </c>
      <c r="E3591" t="inlineStr">
        <is>
          <t>KROKOM</t>
        </is>
      </c>
      <c r="G3591" t="n">
        <v>2.5</v>
      </c>
      <c r="H3591" t="n">
        <v>0</v>
      </c>
      <c r="I3591" t="n">
        <v>0</v>
      </c>
      <c r="J3591" t="n">
        <v>0</v>
      </c>
      <c r="K3591" t="n">
        <v>0</v>
      </c>
      <c r="L3591" t="n">
        <v>0</v>
      </c>
      <c r="M3591" t="n">
        <v>0</v>
      </c>
      <c r="N3591" t="n">
        <v>0</v>
      </c>
      <c r="O3591" t="n">
        <v>0</v>
      </c>
      <c r="P3591" t="n">
        <v>0</v>
      </c>
      <c r="Q3591" t="n">
        <v>0</v>
      </c>
      <c r="R3591" s="2" t="inlineStr"/>
    </row>
    <row r="3592" ht="15" customHeight="1">
      <c r="A3592" t="inlineStr">
        <is>
          <t>A 1339-2021</t>
        </is>
      </c>
      <c r="B3592" s="1" t="n">
        <v>44208</v>
      </c>
      <c r="C3592" s="1" t="n">
        <v>45182</v>
      </c>
      <c r="D3592" t="inlineStr">
        <is>
          <t>JÄMTLANDS LÄN</t>
        </is>
      </c>
      <c r="E3592" t="inlineStr">
        <is>
          <t>ÅRE</t>
        </is>
      </c>
      <c r="G3592" t="n">
        <v>0.9</v>
      </c>
      <c r="H3592" t="n">
        <v>0</v>
      </c>
      <c r="I3592" t="n">
        <v>0</v>
      </c>
      <c r="J3592" t="n">
        <v>0</v>
      </c>
      <c r="K3592" t="n">
        <v>0</v>
      </c>
      <c r="L3592" t="n">
        <v>0</v>
      </c>
      <c r="M3592" t="n">
        <v>0</v>
      </c>
      <c r="N3592" t="n">
        <v>0</v>
      </c>
      <c r="O3592" t="n">
        <v>0</v>
      </c>
      <c r="P3592" t="n">
        <v>0</v>
      </c>
      <c r="Q3592" t="n">
        <v>0</v>
      </c>
      <c r="R3592" s="2" t="inlineStr"/>
    </row>
    <row r="3593" ht="15" customHeight="1">
      <c r="A3593" t="inlineStr">
        <is>
          <t>A 1478-2021</t>
        </is>
      </c>
      <c r="B3593" s="1" t="n">
        <v>44208</v>
      </c>
      <c r="C3593" s="1" t="n">
        <v>45182</v>
      </c>
      <c r="D3593" t="inlineStr">
        <is>
          <t>JÄMTLANDS LÄN</t>
        </is>
      </c>
      <c r="E3593" t="inlineStr">
        <is>
          <t>HÄRJEDALEN</t>
        </is>
      </c>
      <c r="F3593" t="inlineStr">
        <is>
          <t>SCA</t>
        </is>
      </c>
      <c r="G3593" t="n">
        <v>0.9</v>
      </c>
      <c r="H3593" t="n">
        <v>0</v>
      </c>
      <c r="I3593" t="n">
        <v>0</v>
      </c>
      <c r="J3593" t="n">
        <v>0</v>
      </c>
      <c r="K3593" t="n">
        <v>0</v>
      </c>
      <c r="L3593" t="n">
        <v>0</v>
      </c>
      <c r="M3593" t="n">
        <v>0</v>
      </c>
      <c r="N3593" t="n">
        <v>0</v>
      </c>
      <c r="O3593" t="n">
        <v>0</v>
      </c>
      <c r="P3593" t="n">
        <v>0</v>
      </c>
      <c r="Q3593" t="n">
        <v>0</v>
      </c>
      <c r="R3593" s="2" t="inlineStr"/>
    </row>
    <row r="3594" ht="15" customHeight="1">
      <c r="A3594" t="inlineStr">
        <is>
          <t>A 1414-2021</t>
        </is>
      </c>
      <c r="B3594" s="1" t="n">
        <v>44208</v>
      </c>
      <c r="C3594" s="1" t="n">
        <v>45182</v>
      </c>
      <c r="D3594" t="inlineStr">
        <is>
          <t>JÄMTLANDS LÄN</t>
        </is>
      </c>
      <c r="E3594" t="inlineStr">
        <is>
          <t>STRÖMSUND</t>
        </is>
      </c>
      <c r="G3594" t="n">
        <v>15.7</v>
      </c>
      <c r="H3594" t="n">
        <v>0</v>
      </c>
      <c r="I3594" t="n">
        <v>0</v>
      </c>
      <c r="J3594" t="n">
        <v>0</v>
      </c>
      <c r="K3594" t="n">
        <v>0</v>
      </c>
      <c r="L3594" t="n">
        <v>0</v>
      </c>
      <c r="M3594" t="n">
        <v>0</v>
      </c>
      <c r="N3594" t="n">
        <v>0</v>
      </c>
      <c r="O3594" t="n">
        <v>0</v>
      </c>
      <c r="P3594" t="n">
        <v>0</v>
      </c>
      <c r="Q3594" t="n">
        <v>0</v>
      </c>
      <c r="R3594" s="2" t="inlineStr"/>
    </row>
    <row r="3595" ht="15" customHeight="1">
      <c r="A3595" t="inlineStr">
        <is>
          <t>A 1322-2021</t>
        </is>
      </c>
      <c r="B3595" s="1" t="n">
        <v>44208</v>
      </c>
      <c r="C3595" s="1" t="n">
        <v>45182</v>
      </c>
      <c r="D3595" t="inlineStr">
        <is>
          <t>JÄMTLANDS LÄN</t>
        </is>
      </c>
      <c r="E3595" t="inlineStr">
        <is>
          <t>ÖSTERSUND</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1558-2021</t>
        </is>
      </c>
      <c r="B3596" s="1" t="n">
        <v>44209</v>
      </c>
      <c r="C3596" s="1" t="n">
        <v>45182</v>
      </c>
      <c r="D3596" t="inlineStr">
        <is>
          <t>JÄMTLANDS LÄN</t>
        </is>
      </c>
      <c r="E3596" t="inlineStr">
        <is>
          <t>HÄRJEDALEN</t>
        </is>
      </c>
      <c r="F3596" t="inlineStr">
        <is>
          <t>Bergvik skog väst AB</t>
        </is>
      </c>
      <c r="G3596" t="n">
        <v>7.2</v>
      </c>
      <c r="H3596" t="n">
        <v>0</v>
      </c>
      <c r="I3596" t="n">
        <v>0</v>
      </c>
      <c r="J3596" t="n">
        <v>0</v>
      </c>
      <c r="K3596" t="n">
        <v>0</v>
      </c>
      <c r="L3596" t="n">
        <v>0</v>
      </c>
      <c r="M3596" t="n">
        <v>0</v>
      </c>
      <c r="N3596" t="n">
        <v>0</v>
      </c>
      <c r="O3596" t="n">
        <v>0</v>
      </c>
      <c r="P3596" t="n">
        <v>0</v>
      </c>
      <c r="Q3596" t="n">
        <v>0</v>
      </c>
      <c r="R3596" s="2" t="inlineStr"/>
    </row>
    <row r="3597" ht="15" customHeight="1">
      <c r="A3597" t="inlineStr">
        <is>
          <t>A 1651-2021</t>
        </is>
      </c>
      <c r="B3597" s="1" t="n">
        <v>44209</v>
      </c>
      <c r="C3597" s="1" t="n">
        <v>45182</v>
      </c>
      <c r="D3597" t="inlineStr">
        <is>
          <t>JÄMTLANDS LÄN</t>
        </is>
      </c>
      <c r="E3597" t="inlineStr">
        <is>
          <t>BERG</t>
        </is>
      </c>
      <c r="G3597" t="n">
        <v>0.1</v>
      </c>
      <c r="H3597" t="n">
        <v>0</v>
      </c>
      <c r="I3597" t="n">
        <v>0</v>
      </c>
      <c r="J3597" t="n">
        <v>0</v>
      </c>
      <c r="K3597" t="n">
        <v>0</v>
      </c>
      <c r="L3597" t="n">
        <v>0</v>
      </c>
      <c r="M3597" t="n">
        <v>0</v>
      </c>
      <c r="N3597" t="n">
        <v>0</v>
      </c>
      <c r="O3597" t="n">
        <v>0</v>
      </c>
      <c r="P3597" t="n">
        <v>0</v>
      </c>
      <c r="Q3597" t="n">
        <v>0</v>
      </c>
      <c r="R3597" s="2" t="inlineStr"/>
    </row>
    <row r="3598" ht="15" customHeight="1">
      <c r="A3598" t="inlineStr">
        <is>
          <t>A 1753-2021</t>
        </is>
      </c>
      <c r="B3598" s="1" t="n">
        <v>44209</v>
      </c>
      <c r="C3598" s="1" t="n">
        <v>45182</v>
      </c>
      <c r="D3598" t="inlineStr">
        <is>
          <t>JÄMTLANDS LÄN</t>
        </is>
      </c>
      <c r="E3598" t="inlineStr">
        <is>
          <t>KROKOM</t>
        </is>
      </c>
      <c r="G3598" t="n">
        <v>17.2</v>
      </c>
      <c r="H3598" t="n">
        <v>0</v>
      </c>
      <c r="I3598" t="n">
        <v>0</v>
      </c>
      <c r="J3598" t="n">
        <v>0</v>
      </c>
      <c r="K3598" t="n">
        <v>0</v>
      </c>
      <c r="L3598" t="n">
        <v>0</v>
      </c>
      <c r="M3598" t="n">
        <v>0</v>
      </c>
      <c r="N3598" t="n">
        <v>0</v>
      </c>
      <c r="O3598" t="n">
        <v>0</v>
      </c>
      <c r="P3598" t="n">
        <v>0</v>
      </c>
      <c r="Q3598" t="n">
        <v>0</v>
      </c>
      <c r="R3598" s="2" t="inlineStr"/>
    </row>
    <row r="3599" ht="15" customHeight="1">
      <c r="A3599" t="inlineStr">
        <is>
          <t>A 1772-2021</t>
        </is>
      </c>
      <c r="B3599" s="1" t="n">
        <v>44209</v>
      </c>
      <c r="C3599" s="1" t="n">
        <v>45182</v>
      </c>
      <c r="D3599" t="inlineStr">
        <is>
          <t>JÄMTLANDS LÄN</t>
        </is>
      </c>
      <c r="E3599" t="inlineStr">
        <is>
          <t>BRÄCKE</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1696-2021</t>
        </is>
      </c>
      <c r="B3600" s="1" t="n">
        <v>44209</v>
      </c>
      <c r="C3600" s="1" t="n">
        <v>45182</v>
      </c>
      <c r="D3600" t="inlineStr">
        <is>
          <t>JÄMTLANDS LÄN</t>
        </is>
      </c>
      <c r="E3600" t="inlineStr">
        <is>
          <t>KROKOM</t>
        </is>
      </c>
      <c r="G3600" t="n">
        <v>3.1</v>
      </c>
      <c r="H3600" t="n">
        <v>0</v>
      </c>
      <c r="I3600" t="n">
        <v>0</v>
      </c>
      <c r="J3600" t="n">
        <v>0</v>
      </c>
      <c r="K3600" t="n">
        <v>0</v>
      </c>
      <c r="L3600" t="n">
        <v>0</v>
      </c>
      <c r="M3600" t="n">
        <v>0</v>
      </c>
      <c r="N3600" t="n">
        <v>0</v>
      </c>
      <c r="O3600" t="n">
        <v>0</v>
      </c>
      <c r="P3600" t="n">
        <v>0</v>
      </c>
      <c r="Q3600" t="n">
        <v>0</v>
      </c>
      <c r="R3600" s="2" t="inlineStr"/>
    </row>
    <row r="3601" ht="15" customHeight="1">
      <c r="A3601" t="inlineStr">
        <is>
          <t>A 1545-2021</t>
        </is>
      </c>
      <c r="B3601" s="1" t="n">
        <v>44209</v>
      </c>
      <c r="C3601" s="1" t="n">
        <v>45182</v>
      </c>
      <c r="D3601" t="inlineStr">
        <is>
          <t>JÄMTLANDS LÄN</t>
        </is>
      </c>
      <c r="E3601" t="inlineStr">
        <is>
          <t>HÄRJEDALEN</t>
        </is>
      </c>
      <c r="F3601" t="inlineStr">
        <is>
          <t>Holmen skog AB</t>
        </is>
      </c>
      <c r="G3601" t="n">
        <v>3.3</v>
      </c>
      <c r="H3601" t="n">
        <v>0</v>
      </c>
      <c r="I3601" t="n">
        <v>0</v>
      </c>
      <c r="J3601" t="n">
        <v>0</v>
      </c>
      <c r="K3601" t="n">
        <v>0</v>
      </c>
      <c r="L3601" t="n">
        <v>0</v>
      </c>
      <c r="M3601" t="n">
        <v>0</v>
      </c>
      <c r="N3601" t="n">
        <v>0</v>
      </c>
      <c r="O3601" t="n">
        <v>0</v>
      </c>
      <c r="P3601" t="n">
        <v>0</v>
      </c>
      <c r="Q3601" t="n">
        <v>0</v>
      </c>
      <c r="R3601" s="2" t="inlineStr"/>
    </row>
    <row r="3602" ht="15" customHeight="1">
      <c r="A3602" t="inlineStr">
        <is>
          <t>A 1602-2021</t>
        </is>
      </c>
      <c r="B3602" s="1" t="n">
        <v>44209</v>
      </c>
      <c r="C3602" s="1" t="n">
        <v>45182</v>
      </c>
      <c r="D3602" t="inlineStr">
        <is>
          <t>JÄMTLANDS LÄN</t>
        </is>
      </c>
      <c r="E3602" t="inlineStr">
        <is>
          <t>HÄRJEDALEN</t>
        </is>
      </c>
      <c r="F3602" t="inlineStr">
        <is>
          <t>Holmen skog AB</t>
        </is>
      </c>
      <c r="G3602" t="n">
        <v>1.8</v>
      </c>
      <c r="H3602" t="n">
        <v>0</v>
      </c>
      <c r="I3602" t="n">
        <v>0</v>
      </c>
      <c r="J3602" t="n">
        <v>0</v>
      </c>
      <c r="K3602" t="n">
        <v>0</v>
      </c>
      <c r="L3602" t="n">
        <v>0</v>
      </c>
      <c r="M3602" t="n">
        <v>0</v>
      </c>
      <c r="N3602" t="n">
        <v>0</v>
      </c>
      <c r="O3602" t="n">
        <v>0</v>
      </c>
      <c r="P3602" t="n">
        <v>0</v>
      </c>
      <c r="Q3602" t="n">
        <v>0</v>
      </c>
      <c r="R3602" s="2" t="inlineStr"/>
    </row>
    <row r="3603" ht="15" customHeight="1">
      <c r="A3603" t="inlineStr">
        <is>
          <t>A 1646-2021</t>
        </is>
      </c>
      <c r="B3603" s="1" t="n">
        <v>44209</v>
      </c>
      <c r="C3603" s="1" t="n">
        <v>45182</v>
      </c>
      <c r="D3603" t="inlineStr">
        <is>
          <t>JÄMTLANDS LÄN</t>
        </is>
      </c>
      <c r="E3603" t="inlineStr">
        <is>
          <t>BERG</t>
        </is>
      </c>
      <c r="G3603" t="n">
        <v>0.1</v>
      </c>
      <c r="H3603" t="n">
        <v>0</v>
      </c>
      <c r="I3603" t="n">
        <v>0</v>
      </c>
      <c r="J3603" t="n">
        <v>0</v>
      </c>
      <c r="K3603" t="n">
        <v>0</v>
      </c>
      <c r="L3603" t="n">
        <v>0</v>
      </c>
      <c r="M3603" t="n">
        <v>0</v>
      </c>
      <c r="N3603" t="n">
        <v>0</v>
      </c>
      <c r="O3603" t="n">
        <v>0</v>
      </c>
      <c r="P3603" t="n">
        <v>0</v>
      </c>
      <c r="Q3603" t="n">
        <v>0</v>
      </c>
      <c r="R3603" s="2" t="inlineStr"/>
    </row>
    <row r="3604" ht="15" customHeight="1">
      <c r="A3604" t="inlineStr">
        <is>
          <t>A 1657-2021</t>
        </is>
      </c>
      <c r="B3604" s="1" t="n">
        <v>44209</v>
      </c>
      <c r="C3604" s="1" t="n">
        <v>45182</v>
      </c>
      <c r="D3604" t="inlineStr">
        <is>
          <t>JÄMTLANDS LÄN</t>
        </is>
      </c>
      <c r="E3604" t="inlineStr">
        <is>
          <t>BERG</t>
        </is>
      </c>
      <c r="G3604" t="n">
        <v>0.1</v>
      </c>
      <c r="H3604" t="n">
        <v>0</v>
      </c>
      <c r="I3604" t="n">
        <v>0</v>
      </c>
      <c r="J3604" t="n">
        <v>0</v>
      </c>
      <c r="K3604" t="n">
        <v>0</v>
      </c>
      <c r="L3604" t="n">
        <v>0</v>
      </c>
      <c r="M3604" t="n">
        <v>0</v>
      </c>
      <c r="N3604" t="n">
        <v>0</v>
      </c>
      <c r="O3604" t="n">
        <v>0</v>
      </c>
      <c r="P3604" t="n">
        <v>0</v>
      </c>
      <c r="Q3604" t="n">
        <v>0</v>
      </c>
      <c r="R3604" s="2" t="inlineStr"/>
    </row>
    <row r="3605" ht="15" customHeight="1">
      <c r="A3605" t="inlineStr">
        <is>
          <t>A 1640-2021</t>
        </is>
      </c>
      <c r="B3605" s="1" t="n">
        <v>44209</v>
      </c>
      <c r="C3605" s="1" t="n">
        <v>45182</v>
      </c>
      <c r="D3605" t="inlineStr">
        <is>
          <t>JÄMTLANDS LÄN</t>
        </is>
      </c>
      <c r="E3605" t="inlineStr">
        <is>
          <t>BERG</t>
        </is>
      </c>
      <c r="G3605" t="n">
        <v>0.3</v>
      </c>
      <c r="H3605" t="n">
        <v>0</v>
      </c>
      <c r="I3605" t="n">
        <v>0</v>
      </c>
      <c r="J3605" t="n">
        <v>0</v>
      </c>
      <c r="K3605" t="n">
        <v>0</v>
      </c>
      <c r="L3605" t="n">
        <v>0</v>
      </c>
      <c r="M3605" t="n">
        <v>0</v>
      </c>
      <c r="N3605" t="n">
        <v>0</v>
      </c>
      <c r="O3605" t="n">
        <v>0</v>
      </c>
      <c r="P3605" t="n">
        <v>0</v>
      </c>
      <c r="Q3605" t="n">
        <v>0</v>
      </c>
      <c r="R3605" s="2" t="inlineStr"/>
    </row>
    <row r="3606" ht="15" customHeight="1">
      <c r="A3606" t="inlineStr">
        <is>
          <t>A 1718-2021</t>
        </is>
      </c>
      <c r="B3606" s="1" t="n">
        <v>44209</v>
      </c>
      <c r="C3606" s="1" t="n">
        <v>45182</v>
      </c>
      <c r="D3606" t="inlineStr">
        <is>
          <t>JÄMTLANDS LÄN</t>
        </is>
      </c>
      <c r="E3606" t="inlineStr">
        <is>
          <t>KROKOM</t>
        </is>
      </c>
      <c r="G3606" t="n">
        <v>8</v>
      </c>
      <c r="H3606" t="n">
        <v>0</v>
      </c>
      <c r="I3606" t="n">
        <v>0</v>
      </c>
      <c r="J3606" t="n">
        <v>0</v>
      </c>
      <c r="K3606" t="n">
        <v>0</v>
      </c>
      <c r="L3606" t="n">
        <v>0</v>
      </c>
      <c r="M3606" t="n">
        <v>0</v>
      </c>
      <c r="N3606" t="n">
        <v>0</v>
      </c>
      <c r="O3606" t="n">
        <v>0</v>
      </c>
      <c r="P3606" t="n">
        <v>0</v>
      </c>
      <c r="Q3606" t="n">
        <v>0</v>
      </c>
      <c r="R3606" s="2" t="inlineStr"/>
    </row>
    <row r="3607" ht="15" customHeight="1">
      <c r="A3607" t="inlineStr">
        <is>
          <t>A 1756-2021</t>
        </is>
      </c>
      <c r="B3607" s="1" t="n">
        <v>44209</v>
      </c>
      <c r="C3607" s="1" t="n">
        <v>45182</v>
      </c>
      <c r="D3607" t="inlineStr">
        <is>
          <t>JÄMTLANDS LÄN</t>
        </is>
      </c>
      <c r="E3607" t="inlineStr">
        <is>
          <t>KROKOM</t>
        </is>
      </c>
      <c r="G3607" t="n">
        <v>7.4</v>
      </c>
      <c r="H3607" t="n">
        <v>0</v>
      </c>
      <c r="I3607" t="n">
        <v>0</v>
      </c>
      <c r="J3607" t="n">
        <v>0</v>
      </c>
      <c r="K3607" t="n">
        <v>0</v>
      </c>
      <c r="L3607" t="n">
        <v>0</v>
      </c>
      <c r="M3607" t="n">
        <v>0</v>
      </c>
      <c r="N3607" t="n">
        <v>0</v>
      </c>
      <c r="O3607" t="n">
        <v>0</v>
      </c>
      <c r="P3607" t="n">
        <v>0</v>
      </c>
      <c r="Q3607" t="n">
        <v>0</v>
      </c>
      <c r="R3607" s="2" t="inlineStr"/>
    </row>
    <row r="3608" ht="15" customHeight="1">
      <c r="A3608" t="inlineStr">
        <is>
          <t>A 1990-2021</t>
        </is>
      </c>
      <c r="B3608" s="1" t="n">
        <v>44210</v>
      </c>
      <c r="C3608" s="1" t="n">
        <v>45182</v>
      </c>
      <c r="D3608" t="inlineStr">
        <is>
          <t>JÄMTLANDS LÄN</t>
        </is>
      </c>
      <c r="E3608" t="inlineStr">
        <is>
          <t>RAGUNDA</t>
        </is>
      </c>
      <c r="G3608" t="n">
        <v>0.6</v>
      </c>
      <c r="H3608" t="n">
        <v>0</v>
      </c>
      <c r="I3608" t="n">
        <v>0</v>
      </c>
      <c r="J3608" t="n">
        <v>0</v>
      </c>
      <c r="K3608" t="n">
        <v>0</v>
      </c>
      <c r="L3608" t="n">
        <v>0</v>
      </c>
      <c r="M3608" t="n">
        <v>0</v>
      </c>
      <c r="N3608" t="n">
        <v>0</v>
      </c>
      <c r="O3608" t="n">
        <v>0</v>
      </c>
      <c r="P3608" t="n">
        <v>0</v>
      </c>
      <c r="Q3608" t="n">
        <v>0</v>
      </c>
      <c r="R3608" s="2" t="inlineStr"/>
    </row>
    <row r="3609" ht="15" customHeight="1">
      <c r="A3609" t="inlineStr">
        <is>
          <t>A 2062-2021</t>
        </is>
      </c>
      <c r="B3609" s="1" t="n">
        <v>44211</v>
      </c>
      <c r="C3609" s="1" t="n">
        <v>45182</v>
      </c>
      <c r="D3609" t="inlineStr">
        <is>
          <t>JÄMTLANDS LÄN</t>
        </is>
      </c>
      <c r="E3609" t="inlineStr">
        <is>
          <t>KROKOM</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2195-2021</t>
        </is>
      </c>
      <c r="B3610" s="1" t="n">
        <v>44211</v>
      </c>
      <c r="C3610" s="1" t="n">
        <v>45182</v>
      </c>
      <c r="D3610" t="inlineStr">
        <is>
          <t>JÄMTLANDS LÄN</t>
        </is>
      </c>
      <c r="E3610" t="inlineStr">
        <is>
          <t>KROKOM</t>
        </is>
      </c>
      <c r="G3610" t="n">
        <v>24.9</v>
      </c>
      <c r="H3610" t="n">
        <v>0</v>
      </c>
      <c r="I3610" t="n">
        <v>0</v>
      </c>
      <c r="J3610" t="n">
        <v>0</v>
      </c>
      <c r="K3610" t="n">
        <v>0</v>
      </c>
      <c r="L3610" t="n">
        <v>0</v>
      </c>
      <c r="M3610" t="n">
        <v>0</v>
      </c>
      <c r="N3610" t="n">
        <v>0</v>
      </c>
      <c r="O3610" t="n">
        <v>0</v>
      </c>
      <c r="P3610" t="n">
        <v>0</v>
      </c>
      <c r="Q3610" t="n">
        <v>0</v>
      </c>
      <c r="R3610" s="2" t="inlineStr"/>
    </row>
    <row r="3611" ht="15" customHeight="1">
      <c r="A3611" t="inlineStr">
        <is>
          <t>A 2432-2021</t>
        </is>
      </c>
      <c r="B3611" s="1" t="n">
        <v>44211</v>
      </c>
      <c r="C3611" s="1" t="n">
        <v>45182</v>
      </c>
      <c r="D3611" t="inlineStr">
        <is>
          <t>JÄMTLANDS LÄN</t>
        </is>
      </c>
      <c r="E3611" t="inlineStr">
        <is>
          <t>STRÖMSUND</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2159-2021</t>
        </is>
      </c>
      <c r="B3612" s="1" t="n">
        <v>44211</v>
      </c>
      <c r="C3612" s="1" t="n">
        <v>45182</v>
      </c>
      <c r="D3612" t="inlineStr">
        <is>
          <t>JÄMTLANDS LÄN</t>
        </is>
      </c>
      <c r="E3612" t="inlineStr">
        <is>
          <t>STRÖMSUND</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2442-2021</t>
        </is>
      </c>
      <c r="B3613" s="1" t="n">
        <v>44214</v>
      </c>
      <c r="C3613" s="1" t="n">
        <v>45182</v>
      </c>
      <c r="D3613" t="inlineStr">
        <is>
          <t>JÄMTLANDS LÄN</t>
        </is>
      </c>
      <c r="E3613" t="inlineStr">
        <is>
          <t>KROKOM</t>
        </is>
      </c>
      <c r="G3613" t="n">
        <v>25.4</v>
      </c>
      <c r="H3613" t="n">
        <v>0</v>
      </c>
      <c r="I3613" t="n">
        <v>0</v>
      </c>
      <c r="J3613" t="n">
        <v>0</v>
      </c>
      <c r="K3613" t="n">
        <v>0</v>
      </c>
      <c r="L3613" t="n">
        <v>0</v>
      </c>
      <c r="M3613" t="n">
        <v>0</v>
      </c>
      <c r="N3613" t="n">
        <v>0</v>
      </c>
      <c r="O3613" t="n">
        <v>0</v>
      </c>
      <c r="P3613" t="n">
        <v>0</v>
      </c>
      <c r="Q3613" t="n">
        <v>0</v>
      </c>
      <c r="R3613" s="2" t="inlineStr"/>
    </row>
    <row r="3614" ht="15" customHeight="1">
      <c r="A3614" t="inlineStr">
        <is>
          <t>A 2451-2021</t>
        </is>
      </c>
      <c r="B3614" s="1" t="n">
        <v>44214</v>
      </c>
      <c r="C3614" s="1" t="n">
        <v>45182</v>
      </c>
      <c r="D3614" t="inlineStr">
        <is>
          <t>JÄMTLANDS LÄN</t>
        </is>
      </c>
      <c r="E3614" t="inlineStr">
        <is>
          <t>KROKOM</t>
        </is>
      </c>
      <c r="G3614" t="n">
        <v>29.5</v>
      </c>
      <c r="H3614" t="n">
        <v>0</v>
      </c>
      <c r="I3614" t="n">
        <v>0</v>
      </c>
      <c r="J3614" t="n">
        <v>0</v>
      </c>
      <c r="K3614" t="n">
        <v>0</v>
      </c>
      <c r="L3614" t="n">
        <v>0</v>
      </c>
      <c r="M3614" t="n">
        <v>0</v>
      </c>
      <c r="N3614" t="n">
        <v>0</v>
      </c>
      <c r="O3614" t="n">
        <v>0</v>
      </c>
      <c r="P3614" t="n">
        <v>0</v>
      </c>
      <c r="Q3614" t="n">
        <v>0</v>
      </c>
      <c r="R3614" s="2" t="inlineStr"/>
    </row>
    <row r="3615" ht="15" customHeight="1">
      <c r="A3615" t="inlineStr">
        <is>
          <t>A 2469-2021</t>
        </is>
      </c>
      <c r="B3615" s="1" t="n">
        <v>44214</v>
      </c>
      <c r="C3615" s="1" t="n">
        <v>45182</v>
      </c>
      <c r="D3615" t="inlineStr">
        <is>
          <t>JÄMTLANDS LÄN</t>
        </is>
      </c>
      <c r="E3615" t="inlineStr">
        <is>
          <t>RAGUNDA</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2568-2021</t>
        </is>
      </c>
      <c r="B3616" s="1" t="n">
        <v>44214</v>
      </c>
      <c r="C3616" s="1" t="n">
        <v>45182</v>
      </c>
      <c r="D3616" t="inlineStr">
        <is>
          <t>JÄMTLANDS LÄN</t>
        </is>
      </c>
      <c r="E3616" t="inlineStr">
        <is>
          <t>KROKOM</t>
        </is>
      </c>
      <c r="G3616" t="n">
        <v>0.9</v>
      </c>
      <c r="H3616" t="n">
        <v>0</v>
      </c>
      <c r="I3616" t="n">
        <v>0</v>
      </c>
      <c r="J3616" t="n">
        <v>0</v>
      </c>
      <c r="K3616" t="n">
        <v>0</v>
      </c>
      <c r="L3616" t="n">
        <v>0</v>
      </c>
      <c r="M3616" t="n">
        <v>0</v>
      </c>
      <c r="N3616" t="n">
        <v>0</v>
      </c>
      <c r="O3616" t="n">
        <v>0</v>
      </c>
      <c r="P3616" t="n">
        <v>0</v>
      </c>
      <c r="Q3616" t="n">
        <v>0</v>
      </c>
      <c r="R3616" s="2" t="inlineStr"/>
    </row>
    <row r="3617" ht="15" customHeight="1">
      <c r="A3617" t="inlineStr">
        <is>
          <t>A 2356-2021</t>
        </is>
      </c>
      <c r="B3617" s="1" t="n">
        <v>44214</v>
      </c>
      <c r="C3617" s="1" t="n">
        <v>45182</v>
      </c>
      <c r="D3617" t="inlineStr">
        <is>
          <t>JÄMTLANDS LÄN</t>
        </is>
      </c>
      <c r="E3617" t="inlineStr">
        <is>
          <t>KROKOM</t>
        </is>
      </c>
      <c r="G3617" t="n">
        <v>22.6</v>
      </c>
      <c r="H3617" t="n">
        <v>0</v>
      </c>
      <c r="I3617" t="n">
        <v>0</v>
      </c>
      <c r="J3617" t="n">
        <v>0</v>
      </c>
      <c r="K3617" t="n">
        <v>0</v>
      </c>
      <c r="L3617" t="n">
        <v>0</v>
      </c>
      <c r="M3617" t="n">
        <v>0</v>
      </c>
      <c r="N3617" t="n">
        <v>0</v>
      </c>
      <c r="O3617" t="n">
        <v>0</v>
      </c>
      <c r="P3617" t="n">
        <v>0</v>
      </c>
      <c r="Q3617" t="n">
        <v>0</v>
      </c>
      <c r="R3617" s="2" t="inlineStr"/>
    </row>
    <row r="3618" ht="15" customHeight="1">
      <c r="A3618" t="inlineStr">
        <is>
          <t>A 2427-2021</t>
        </is>
      </c>
      <c r="B3618" s="1" t="n">
        <v>44214</v>
      </c>
      <c r="C3618" s="1" t="n">
        <v>45182</v>
      </c>
      <c r="D3618" t="inlineStr">
        <is>
          <t>JÄMTLANDS LÄN</t>
        </is>
      </c>
      <c r="E3618" t="inlineStr">
        <is>
          <t>KROKOM</t>
        </is>
      </c>
      <c r="G3618" t="n">
        <v>20.5</v>
      </c>
      <c r="H3618" t="n">
        <v>0</v>
      </c>
      <c r="I3618" t="n">
        <v>0</v>
      </c>
      <c r="J3618" t="n">
        <v>0</v>
      </c>
      <c r="K3618" t="n">
        <v>0</v>
      </c>
      <c r="L3618" t="n">
        <v>0</v>
      </c>
      <c r="M3618" t="n">
        <v>0</v>
      </c>
      <c r="N3618" t="n">
        <v>0</v>
      </c>
      <c r="O3618" t="n">
        <v>0</v>
      </c>
      <c r="P3618" t="n">
        <v>0</v>
      </c>
      <c r="Q3618" t="n">
        <v>0</v>
      </c>
      <c r="R3618" s="2" t="inlineStr"/>
    </row>
    <row r="3619" ht="15" customHeight="1">
      <c r="A3619" t="inlineStr">
        <is>
          <t>A 2531-2021</t>
        </is>
      </c>
      <c r="B3619" s="1" t="n">
        <v>44214</v>
      </c>
      <c r="C3619" s="1" t="n">
        <v>45182</v>
      </c>
      <c r="D3619" t="inlineStr">
        <is>
          <t>JÄMTLANDS LÄN</t>
        </is>
      </c>
      <c r="E3619" t="inlineStr">
        <is>
          <t>HÄRJEDALEN</t>
        </is>
      </c>
      <c r="F3619" t="inlineStr">
        <is>
          <t>Holmen skog AB</t>
        </is>
      </c>
      <c r="G3619" t="n">
        <v>2.6</v>
      </c>
      <c r="H3619" t="n">
        <v>0</v>
      </c>
      <c r="I3619" t="n">
        <v>0</v>
      </c>
      <c r="J3619" t="n">
        <v>0</v>
      </c>
      <c r="K3619" t="n">
        <v>0</v>
      </c>
      <c r="L3619" t="n">
        <v>0</v>
      </c>
      <c r="M3619" t="n">
        <v>0</v>
      </c>
      <c r="N3619" t="n">
        <v>0</v>
      </c>
      <c r="O3619" t="n">
        <v>0</v>
      </c>
      <c r="P3619" t="n">
        <v>0</v>
      </c>
      <c r="Q3619" t="n">
        <v>0</v>
      </c>
      <c r="R3619" s="2" t="inlineStr"/>
    </row>
    <row r="3620" ht="15" customHeight="1">
      <c r="A3620" t="inlineStr">
        <is>
          <t>A 2686-2021</t>
        </is>
      </c>
      <c r="B3620" s="1" t="n">
        <v>44214</v>
      </c>
      <c r="C3620" s="1" t="n">
        <v>45182</v>
      </c>
      <c r="D3620" t="inlineStr">
        <is>
          <t>JÄMTLANDS LÄN</t>
        </is>
      </c>
      <c r="E3620" t="inlineStr">
        <is>
          <t>ÖSTERSUND</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2410-2021</t>
        </is>
      </c>
      <c r="B3621" s="1" t="n">
        <v>44214</v>
      </c>
      <c r="C3621" s="1" t="n">
        <v>45182</v>
      </c>
      <c r="D3621" t="inlineStr">
        <is>
          <t>JÄMTLANDS LÄN</t>
        </is>
      </c>
      <c r="E3621" t="inlineStr">
        <is>
          <t>KROKOM</t>
        </is>
      </c>
      <c r="G3621" t="n">
        <v>32.7</v>
      </c>
      <c r="H3621" t="n">
        <v>0</v>
      </c>
      <c r="I3621" t="n">
        <v>0</v>
      </c>
      <c r="J3621" t="n">
        <v>0</v>
      </c>
      <c r="K3621" t="n">
        <v>0</v>
      </c>
      <c r="L3621" t="n">
        <v>0</v>
      </c>
      <c r="M3621" t="n">
        <v>0</v>
      </c>
      <c r="N3621" t="n">
        <v>0</v>
      </c>
      <c r="O3621" t="n">
        <v>0</v>
      </c>
      <c r="P3621" t="n">
        <v>0</v>
      </c>
      <c r="Q3621" t="n">
        <v>0</v>
      </c>
      <c r="R3621" s="2" t="inlineStr"/>
    </row>
    <row r="3622" ht="15" customHeight="1">
      <c r="A3622" t="inlineStr">
        <is>
          <t>A 2422-2021</t>
        </is>
      </c>
      <c r="B3622" s="1" t="n">
        <v>44214</v>
      </c>
      <c r="C3622" s="1" t="n">
        <v>45182</v>
      </c>
      <c r="D3622" t="inlineStr">
        <is>
          <t>JÄMTLANDS LÄN</t>
        </is>
      </c>
      <c r="E3622" t="inlineStr">
        <is>
          <t>ÅRE</t>
        </is>
      </c>
      <c r="G3622" t="n">
        <v>3.3</v>
      </c>
      <c r="H3622" t="n">
        <v>0</v>
      </c>
      <c r="I3622" t="n">
        <v>0</v>
      </c>
      <c r="J3622" t="n">
        <v>0</v>
      </c>
      <c r="K3622" t="n">
        <v>0</v>
      </c>
      <c r="L3622" t="n">
        <v>0</v>
      </c>
      <c r="M3622" t="n">
        <v>0</v>
      </c>
      <c r="N3622" t="n">
        <v>0</v>
      </c>
      <c r="O3622" t="n">
        <v>0</v>
      </c>
      <c r="P3622" t="n">
        <v>0</v>
      </c>
      <c r="Q3622" t="n">
        <v>0</v>
      </c>
      <c r="R3622" s="2" t="inlineStr"/>
    </row>
    <row r="3623" ht="15" customHeight="1">
      <c r="A3623" t="inlineStr">
        <is>
          <t>A 2549-2021</t>
        </is>
      </c>
      <c r="B3623" s="1" t="n">
        <v>44214</v>
      </c>
      <c r="C3623" s="1" t="n">
        <v>45182</v>
      </c>
      <c r="D3623" t="inlineStr">
        <is>
          <t>JÄMTLANDS LÄN</t>
        </is>
      </c>
      <c r="E3623" t="inlineStr">
        <is>
          <t>STRÖMSUND</t>
        </is>
      </c>
      <c r="G3623" t="n">
        <v>9.199999999999999</v>
      </c>
      <c r="H3623" t="n">
        <v>0</v>
      </c>
      <c r="I3623" t="n">
        <v>0</v>
      </c>
      <c r="J3623" t="n">
        <v>0</v>
      </c>
      <c r="K3623" t="n">
        <v>0</v>
      </c>
      <c r="L3623" t="n">
        <v>0</v>
      </c>
      <c r="M3623" t="n">
        <v>0</v>
      </c>
      <c r="N3623" t="n">
        <v>0</v>
      </c>
      <c r="O3623" t="n">
        <v>0</v>
      </c>
      <c r="P3623" t="n">
        <v>0</v>
      </c>
      <c r="Q3623" t="n">
        <v>0</v>
      </c>
      <c r="R3623" s="2" t="inlineStr"/>
    </row>
    <row r="3624" ht="15" customHeight="1">
      <c r="A3624" t="inlineStr">
        <is>
          <t>A 2829-2021</t>
        </is>
      </c>
      <c r="B3624" s="1" t="n">
        <v>44215</v>
      </c>
      <c r="C3624" s="1" t="n">
        <v>45182</v>
      </c>
      <c r="D3624" t="inlineStr">
        <is>
          <t>JÄMTLANDS LÄN</t>
        </is>
      </c>
      <c r="E3624" t="inlineStr">
        <is>
          <t>BRÄCKE</t>
        </is>
      </c>
      <c r="F3624" t="inlineStr">
        <is>
          <t>SCA</t>
        </is>
      </c>
      <c r="G3624" t="n">
        <v>10.3</v>
      </c>
      <c r="H3624" t="n">
        <v>0</v>
      </c>
      <c r="I3624" t="n">
        <v>0</v>
      </c>
      <c r="J3624" t="n">
        <v>0</v>
      </c>
      <c r="K3624" t="n">
        <v>0</v>
      </c>
      <c r="L3624" t="n">
        <v>0</v>
      </c>
      <c r="M3624" t="n">
        <v>0</v>
      </c>
      <c r="N3624" t="n">
        <v>0</v>
      </c>
      <c r="O3624" t="n">
        <v>0</v>
      </c>
      <c r="P3624" t="n">
        <v>0</v>
      </c>
      <c r="Q3624" t="n">
        <v>0</v>
      </c>
      <c r="R3624" s="2" t="inlineStr"/>
    </row>
    <row r="3625" ht="15" customHeight="1">
      <c r="A3625" t="inlineStr">
        <is>
          <t>A 2826-2021</t>
        </is>
      </c>
      <c r="B3625" s="1" t="n">
        <v>44215</v>
      </c>
      <c r="C3625" s="1" t="n">
        <v>45182</v>
      </c>
      <c r="D3625" t="inlineStr">
        <is>
          <t>JÄMTLANDS LÄN</t>
        </is>
      </c>
      <c r="E3625" t="inlineStr">
        <is>
          <t>STRÖMSUND</t>
        </is>
      </c>
      <c r="F3625" t="inlineStr">
        <is>
          <t>SCA</t>
        </is>
      </c>
      <c r="G3625" t="n">
        <v>8</v>
      </c>
      <c r="H3625" t="n">
        <v>0</v>
      </c>
      <c r="I3625" t="n">
        <v>0</v>
      </c>
      <c r="J3625" t="n">
        <v>0</v>
      </c>
      <c r="K3625" t="n">
        <v>0</v>
      </c>
      <c r="L3625" t="n">
        <v>0</v>
      </c>
      <c r="M3625" t="n">
        <v>0</v>
      </c>
      <c r="N3625" t="n">
        <v>0</v>
      </c>
      <c r="O3625" t="n">
        <v>0</v>
      </c>
      <c r="P3625" t="n">
        <v>0</v>
      </c>
      <c r="Q3625" t="n">
        <v>0</v>
      </c>
      <c r="R3625" s="2" t="inlineStr"/>
    </row>
    <row r="3626" ht="15" customHeight="1">
      <c r="A3626" t="inlineStr">
        <is>
          <t>A 2830-2021</t>
        </is>
      </c>
      <c r="B3626" s="1" t="n">
        <v>44215</v>
      </c>
      <c r="C3626" s="1" t="n">
        <v>45182</v>
      </c>
      <c r="D3626" t="inlineStr">
        <is>
          <t>JÄMTLANDS LÄN</t>
        </is>
      </c>
      <c r="E3626" t="inlineStr">
        <is>
          <t>BRÄCKE</t>
        </is>
      </c>
      <c r="F3626" t="inlineStr">
        <is>
          <t>SCA</t>
        </is>
      </c>
      <c r="G3626" t="n">
        <v>2.9</v>
      </c>
      <c r="H3626" t="n">
        <v>0</v>
      </c>
      <c r="I3626" t="n">
        <v>0</v>
      </c>
      <c r="J3626" t="n">
        <v>0</v>
      </c>
      <c r="K3626" t="n">
        <v>0</v>
      </c>
      <c r="L3626" t="n">
        <v>0</v>
      </c>
      <c r="M3626" t="n">
        <v>0</v>
      </c>
      <c r="N3626" t="n">
        <v>0</v>
      </c>
      <c r="O3626" t="n">
        <v>0</v>
      </c>
      <c r="P3626" t="n">
        <v>0</v>
      </c>
      <c r="Q3626" t="n">
        <v>0</v>
      </c>
      <c r="R3626" s="2" t="inlineStr"/>
    </row>
    <row r="3627" ht="15" customHeight="1">
      <c r="A3627" t="inlineStr">
        <is>
          <t>A 2660-2021</t>
        </is>
      </c>
      <c r="B3627" s="1" t="n">
        <v>44215</v>
      </c>
      <c r="C3627" s="1" t="n">
        <v>45182</v>
      </c>
      <c r="D3627" t="inlineStr">
        <is>
          <t>JÄMTLANDS LÄN</t>
        </is>
      </c>
      <c r="E3627" t="inlineStr">
        <is>
          <t>STRÖMSUND</t>
        </is>
      </c>
      <c r="G3627" t="n">
        <v>11.2</v>
      </c>
      <c r="H3627" t="n">
        <v>0</v>
      </c>
      <c r="I3627" t="n">
        <v>0</v>
      </c>
      <c r="J3627" t="n">
        <v>0</v>
      </c>
      <c r="K3627" t="n">
        <v>0</v>
      </c>
      <c r="L3627" t="n">
        <v>0</v>
      </c>
      <c r="M3627" t="n">
        <v>0</v>
      </c>
      <c r="N3627" t="n">
        <v>0</v>
      </c>
      <c r="O3627" t="n">
        <v>0</v>
      </c>
      <c r="P3627" t="n">
        <v>0</v>
      </c>
      <c r="Q3627" t="n">
        <v>0</v>
      </c>
      <c r="R3627" s="2" t="inlineStr"/>
    </row>
    <row r="3628" ht="15" customHeight="1">
      <c r="A3628" t="inlineStr">
        <is>
          <t>A 2831-2021</t>
        </is>
      </c>
      <c r="B3628" s="1" t="n">
        <v>44215</v>
      </c>
      <c r="C3628" s="1" t="n">
        <v>45182</v>
      </c>
      <c r="D3628" t="inlineStr">
        <is>
          <t>JÄMTLANDS LÄN</t>
        </is>
      </c>
      <c r="E3628" t="inlineStr">
        <is>
          <t>BRÄCKE</t>
        </is>
      </c>
      <c r="F3628" t="inlineStr">
        <is>
          <t>SCA</t>
        </is>
      </c>
      <c r="G3628" t="n">
        <v>4.3</v>
      </c>
      <c r="H3628" t="n">
        <v>0</v>
      </c>
      <c r="I3628" t="n">
        <v>0</v>
      </c>
      <c r="J3628" t="n">
        <v>0</v>
      </c>
      <c r="K3628" t="n">
        <v>0</v>
      </c>
      <c r="L3628" t="n">
        <v>0</v>
      </c>
      <c r="M3628" t="n">
        <v>0</v>
      </c>
      <c r="N3628" t="n">
        <v>0</v>
      </c>
      <c r="O3628" t="n">
        <v>0</v>
      </c>
      <c r="P3628" t="n">
        <v>0</v>
      </c>
      <c r="Q3628" t="n">
        <v>0</v>
      </c>
      <c r="R3628" s="2" t="inlineStr"/>
    </row>
    <row r="3629" ht="15" customHeight="1">
      <c r="A3629" t="inlineStr">
        <is>
          <t>A 2862-2021</t>
        </is>
      </c>
      <c r="B3629" s="1" t="n">
        <v>44216</v>
      </c>
      <c r="C3629" s="1" t="n">
        <v>45182</v>
      </c>
      <c r="D3629" t="inlineStr">
        <is>
          <t>JÄMTLANDS LÄN</t>
        </is>
      </c>
      <c r="E3629" t="inlineStr">
        <is>
          <t>HÄRJEDALEN</t>
        </is>
      </c>
      <c r="F3629" t="inlineStr">
        <is>
          <t>Holmen skog AB</t>
        </is>
      </c>
      <c r="G3629" t="n">
        <v>1.1</v>
      </c>
      <c r="H3629" t="n">
        <v>0</v>
      </c>
      <c r="I3629" t="n">
        <v>0</v>
      </c>
      <c r="J3629" t="n">
        <v>0</v>
      </c>
      <c r="K3629" t="n">
        <v>0</v>
      </c>
      <c r="L3629" t="n">
        <v>0</v>
      </c>
      <c r="M3629" t="n">
        <v>0</v>
      </c>
      <c r="N3629" t="n">
        <v>0</v>
      </c>
      <c r="O3629" t="n">
        <v>0</v>
      </c>
      <c r="P3629" t="n">
        <v>0</v>
      </c>
      <c r="Q3629" t="n">
        <v>0</v>
      </c>
      <c r="R3629" s="2" t="inlineStr"/>
    </row>
    <row r="3630" ht="15" customHeight="1">
      <c r="A3630" t="inlineStr">
        <is>
          <t>A 2855-2021</t>
        </is>
      </c>
      <c r="B3630" s="1" t="n">
        <v>44216</v>
      </c>
      <c r="C3630" s="1" t="n">
        <v>45182</v>
      </c>
      <c r="D3630" t="inlineStr">
        <is>
          <t>JÄMTLANDS LÄN</t>
        </is>
      </c>
      <c r="E3630" t="inlineStr">
        <is>
          <t>HÄRJEDALEN</t>
        </is>
      </c>
      <c r="F3630" t="inlineStr">
        <is>
          <t>Holmen skog AB</t>
        </is>
      </c>
      <c r="G3630" t="n">
        <v>1.6</v>
      </c>
      <c r="H3630" t="n">
        <v>0</v>
      </c>
      <c r="I3630" t="n">
        <v>0</v>
      </c>
      <c r="J3630" t="n">
        <v>0</v>
      </c>
      <c r="K3630" t="n">
        <v>0</v>
      </c>
      <c r="L3630" t="n">
        <v>0</v>
      </c>
      <c r="M3630" t="n">
        <v>0</v>
      </c>
      <c r="N3630" t="n">
        <v>0</v>
      </c>
      <c r="O3630" t="n">
        <v>0</v>
      </c>
      <c r="P3630" t="n">
        <v>0</v>
      </c>
      <c r="Q3630" t="n">
        <v>0</v>
      </c>
      <c r="R3630" s="2" t="inlineStr"/>
    </row>
    <row r="3631" ht="15" customHeight="1">
      <c r="A3631" t="inlineStr">
        <is>
          <t>A 3025-2021</t>
        </is>
      </c>
      <c r="B3631" s="1" t="n">
        <v>44216</v>
      </c>
      <c r="C3631" s="1" t="n">
        <v>45182</v>
      </c>
      <c r="D3631" t="inlineStr">
        <is>
          <t>JÄMTLANDS LÄN</t>
        </is>
      </c>
      <c r="E3631" t="inlineStr">
        <is>
          <t>BRÄCKE</t>
        </is>
      </c>
      <c r="G3631" t="n">
        <v>2.8</v>
      </c>
      <c r="H3631" t="n">
        <v>0</v>
      </c>
      <c r="I3631" t="n">
        <v>0</v>
      </c>
      <c r="J3631" t="n">
        <v>0</v>
      </c>
      <c r="K3631" t="n">
        <v>0</v>
      </c>
      <c r="L3631" t="n">
        <v>0</v>
      </c>
      <c r="M3631" t="n">
        <v>0</v>
      </c>
      <c r="N3631" t="n">
        <v>0</v>
      </c>
      <c r="O3631" t="n">
        <v>0</v>
      </c>
      <c r="P3631" t="n">
        <v>0</v>
      </c>
      <c r="Q3631" t="n">
        <v>0</v>
      </c>
      <c r="R3631" s="2" t="inlineStr"/>
    </row>
    <row r="3632" ht="15" customHeight="1">
      <c r="A3632" t="inlineStr">
        <is>
          <t>A 3186-2021</t>
        </is>
      </c>
      <c r="B3632" s="1" t="n">
        <v>44217</v>
      </c>
      <c r="C3632" s="1" t="n">
        <v>45182</v>
      </c>
      <c r="D3632" t="inlineStr">
        <is>
          <t>JÄMTLANDS LÄN</t>
        </is>
      </c>
      <c r="E3632" t="inlineStr">
        <is>
          <t>STRÖMSUND</t>
        </is>
      </c>
      <c r="G3632" t="n">
        <v>13.7</v>
      </c>
      <c r="H3632" t="n">
        <v>0</v>
      </c>
      <c r="I3632" t="n">
        <v>0</v>
      </c>
      <c r="J3632" t="n">
        <v>0</v>
      </c>
      <c r="K3632" t="n">
        <v>0</v>
      </c>
      <c r="L3632" t="n">
        <v>0</v>
      </c>
      <c r="M3632" t="n">
        <v>0</v>
      </c>
      <c r="N3632" t="n">
        <v>0</v>
      </c>
      <c r="O3632" t="n">
        <v>0</v>
      </c>
      <c r="P3632" t="n">
        <v>0</v>
      </c>
      <c r="Q3632" t="n">
        <v>0</v>
      </c>
      <c r="R3632" s="2" t="inlineStr"/>
    </row>
    <row r="3633" ht="15" customHeight="1">
      <c r="A3633" t="inlineStr">
        <is>
          <t>A 3511-2021</t>
        </is>
      </c>
      <c r="B3633" s="1" t="n">
        <v>44218</v>
      </c>
      <c r="C3633" s="1" t="n">
        <v>45182</v>
      </c>
      <c r="D3633" t="inlineStr">
        <is>
          <t>JÄMTLANDS LÄN</t>
        </is>
      </c>
      <c r="E3633" t="inlineStr">
        <is>
          <t>BERG</t>
        </is>
      </c>
      <c r="G3633" t="n">
        <v>3.9</v>
      </c>
      <c r="H3633" t="n">
        <v>0</v>
      </c>
      <c r="I3633" t="n">
        <v>0</v>
      </c>
      <c r="J3633" t="n">
        <v>0</v>
      </c>
      <c r="K3633" t="n">
        <v>0</v>
      </c>
      <c r="L3633" t="n">
        <v>0</v>
      </c>
      <c r="M3633" t="n">
        <v>0</v>
      </c>
      <c r="N3633" t="n">
        <v>0</v>
      </c>
      <c r="O3633" t="n">
        <v>0</v>
      </c>
      <c r="P3633" t="n">
        <v>0</v>
      </c>
      <c r="Q3633" t="n">
        <v>0</v>
      </c>
      <c r="R3633" s="2" t="inlineStr"/>
    </row>
    <row r="3634" ht="15" customHeight="1">
      <c r="A3634" t="inlineStr">
        <is>
          <t>A 3571-2021</t>
        </is>
      </c>
      <c r="B3634" s="1" t="n">
        <v>44218</v>
      </c>
      <c r="C3634" s="1" t="n">
        <v>45182</v>
      </c>
      <c r="D3634" t="inlineStr">
        <is>
          <t>JÄMTLANDS LÄN</t>
        </is>
      </c>
      <c r="E3634" t="inlineStr">
        <is>
          <t>RAGUNDA</t>
        </is>
      </c>
      <c r="G3634" t="n">
        <v>2.6</v>
      </c>
      <c r="H3634" t="n">
        <v>0</v>
      </c>
      <c r="I3634" t="n">
        <v>0</v>
      </c>
      <c r="J3634" t="n">
        <v>0</v>
      </c>
      <c r="K3634" t="n">
        <v>0</v>
      </c>
      <c r="L3634" t="n">
        <v>0</v>
      </c>
      <c r="M3634" t="n">
        <v>0</v>
      </c>
      <c r="N3634" t="n">
        <v>0</v>
      </c>
      <c r="O3634" t="n">
        <v>0</v>
      </c>
      <c r="P3634" t="n">
        <v>0</v>
      </c>
      <c r="Q3634" t="n">
        <v>0</v>
      </c>
      <c r="R3634" s="2" t="inlineStr"/>
    </row>
    <row r="3635" ht="15" customHeight="1">
      <c r="A3635" t="inlineStr">
        <is>
          <t>A 3536-2021</t>
        </is>
      </c>
      <c r="B3635" s="1" t="n">
        <v>44218</v>
      </c>
      <c r="C3635" s="1" t="n">
        <v>45182</v>
      </c>
      <c r="D3635" t="inlineStr">
        <is>
          <t>JÄMTLANDS LÄN</t>
        </is>
      </c>
      <c r="E3635" t="inlineStr">
        <is>
          <t>HÄRJEDALEN</t>
        </is>
      </c>
      <c r="G3635" t="n">
        <v>14</v>
      </c>
      <c r="H3635" t="n">
        <v>0</v>
      </c>
      <c r="I3635" t="n">
        <v>0</v>
      </c>
      <c r="J3635" t="n">
        <v>0</v>
      </c>
      <c r="K3635" t="n">
        <v>0</v>
      </c>
      <c r="L3635" t="n">
        <v>0</v>
      </c>
      <c r="M3635" t="n">
        <v>0</v>
      </c>
      <c r="N3635" t="n">
        <v>0</v>
      </c>
      <c r="O3635" t="n">
        <v>0</v>
      </c>
      <c r="P3635" t="n">
        <v>0</v>
      </c>
      <c r="Q3635" t="n">
        <v>0</v>
      </c>
      <c r="R3635" s="2" t="inlineStr"/>
    </row>
    <row r="3636" ht="15" customHeight="1">
      <c r="A3636" t="inlineStr">
        <is>
          <t>A 4004-2021</t>
        </is>
      </c>
      <c r="B3636" s="1" t="n">
        <v>44222</v>
      </c>
      <c r="C3636" s="1" t="n">
        <v>45182</v>
      </c>
      <c r="D3636" t="inlineStr">
        <is>
          <t>JÄMTLANDS LÄN</t>
        </is>
      </c>
      <c r="E3636" t="inlineStr">
        <is>
          <t>STRÖMSUND</t>
        </is>
      </c>
      <c r="F3636" t="inlineStr">
        <is>
          <t>Kyrkan</t>
        </is>
      </c>
      <c r="G3636" t="n">
        <v>5.9</v>
      </c>
      <c r="H3636" t="n">
        <v>0</v>
      </c>
      <c r="I3636" t="n">
        <v>0</v>
      </c>
      <c r="J3636" t="n">
        <v>0</v>
      </c>
      <c r="K3636" t="n">
        <v>0</v>
      </c>
      <c r="L3636" t="n">
        <v>0</v>
      </c>
      <c r="M3636" t="n">
        <v>0</v>
      </c>
      <c r="N3636" t="n">
        <v>0</v>
      </c>
      <c r="O3636" t="n">
        <v>0</v>
      </c>
      <c r="P3636" t="n">
        <v>0</v>
      </c>
      <c r="Q3636" t="n">
        <v>0</v>
      </c>
      <c r="R3636" s="2" t="inlineStr"/>
    </row>
    <row r="3637" ht="15" customHeight="1">
      <c r="A3637" t="inlineStr">
        <is>
          <t>A 4135-2021</t>
        </is>
      </c>
      <c r="B3637" s="1" t="n">
        <v>44223</v>
      </c>
      <c r="C3637" s="1" t="n">
        <v>45182</v>
      </c>
      <c r="D3637" t="inlineStr">
        <is>
          <t>JÄMTLANDS LÄN</t>
        </is>
      </c>
      <c r="E3637" t="inlineStr">
        <is>
          <t>STRÖMSUND</t>
        </is>
      </c>
      <c r="F3637" t="inlineStr">
        <is>
          <t>Holmen skog AB</t>
        </is>
      </c>
      <c r="G3637" t="n">
        <v>1</v>
      </c>
      <c r="H3637" t="n">
        <v>0</v>
      </c>
      <c r="I3637" t="n">
        <v>0</v>
      </c>
      <c r="J3637" t="n">
        <v>0</v>
      </c>
      <c r="K3637" t="n">
        <v>0</v>
      </c>
      <c r="L3637" t="n">
        <v>0</v>
      </c>
      <c r="M3637" t="n">
        <v>0</v>
      </c>
      <c r="N3637" t="n">
        <v>0</v>
      </c>
      <c r="O3637" t="n">
        <v>0</v>
      </c>
      <c r="P3637" t="n">
        <v>0</v>
      </c>
      <c r="Q3637" t="n">
        <v>0</v>
      </c>
      <c r="R3637" s="2" t="inlineStr"/>
    </row>
    <row r="3638" ht="15" customHeight="1">
      <c r="A3638" t="inlineStr">
        <is>
          <t>A 4651-2021</t>
        </is>
      </c>
      <c r="B3638" s="1" t="n">
        <v>44224</v>
      </c>
      <c r="C3638" s="1" t="n">
        <v>45182</v>
      </c>
      <c r="D3638" t="inlineStr">
        <is>
          <t>JÄMTLANDS LÄN</t>
        </is>
      </c>
      <c r="E3638" t="inlineStr">
        <is>
          <t>BERG</t>
        </is>
      </c>
      <c r="G3638" t="n">
        <v>5.2</v>
      </c>
      <c r="H3638" t="n">
        <v>0</v>
      </c>
      <c r="I3638" t="n">
        <v>0</v>
      </c>
      <c r="J3638" t="n">
        <v>0</v>
      </c>
      <c r="K3638" t="n">
        <v>0</v>
      </c>
      <c r="L3638" t="n">
        <v>0</v>
      </c>
      <c r="M3638" t="n">
        <v>0</v>
      </c>
      <c r="N3638" t="n">
        <v>0</v>
      </c>
      <c r="O3638" t="n">
        <v>0</v>
      </c>
      <c r="P3638" t="n">
        <v>0</v>
      </c>
      <c r="Q3638" t="n">
        <v>0</v>
      </c>
      <c r="R3638" s="2" t="inlineStr"/>
    </row>
    <row r="3639" ht="15" customHeight="1">
      <c r="A3639" t="inlineStr">
        <is>
          <t>A 4662-2021</t>
        </is>
      </c>
      <c r="B3639" s="1" t="n">
        <v>44224</v>
      </c>
      <c r="C3639" s="1" t="n">
        <v>45182</v>
      </c>
      <c r="D3639" t="inlineStr">
        <is>
          <t>JÄMTLANDS LÄN</t>
        </is>
      </c>
      <c r="E3639" t="inlineStr">
        <is>
          <t>STRÖMSUND</t>
        </is>
      </c>
      <c r="F3639" t="inlineStr">
        <is>
          <t>SCA</t>
        </is>
      </c>
      <c r="G3639" t="n">
        <v>4.7</v>
      </c>
      <c r="H3639" t="n">
        <v>0</v>
      </c>
      <c r="I3639" t="n">
        <v>0</v>
      </c>
      <c r="J3639" t="n">
        <v>0</v>
      </c>
      <c r="K3639" t="n">
        <v>0</v>
      </c>
      <c r="L3639" t="n">
        <v>0</v>
      </c>
      <c r="M3639" t="n">
        <v>0</v>
      </c>
      <c r="N3639" t="n">
        <v>0</v>
      </c>
      <c r="O3639" t="n">
        <v>0</v>
      </c>
      <c r="P3639" t="n">
        <v>0</v>
      </c>
      <c r="Q3639" t="n">
        <v>0</v>
      </c>
      <c r="R3639" s="2" t="inlineStr"/>
    </row>
    <row r="3640" ht="15" customHeight="1">
      <c r="A3640" t="inlineStr">
        <is>
          <t>A 4658-2021</t>
        </is>
      </c>
      <c r="B3640" s="1" t="n">
        <v>44224</v>
      </c>
      <c r="C3640" s="1" t="n">
        <v>45182</v>
      </c>
      <c r="D3640" t="inlineStr">
        <is>
          <t>JÄMTLANDS LÄN</t>
        </is>
      </c>
      <c r="E3640" t="inlineStr">
        <is>
          <t>BRÄCKE</t>
        </is>
      </c>
      <c r="F3640" t="inlineStr">
        <is>
          <t>SCA</t>
        </is>
      </c>
      <c r="G3640" t="n">
        <v>7</v>
      </c>
      <c r="H3640" t="n">
        <v>0</v>
      </c>
      <c r="I3640" t="n">
        <v>0</v>
      </c>
      <c r="J3640" t="n">
        <v>0</v>
      </c>
      <c r="K3640" t="n">
        <v>0</v>
      </c>
      <c r="L3640" t="n">
        <v>0</v>
      </c>
      <c r="M3640" t="n">
        <v>0</v>
      </c>
      <c r="N3640" t="n">
        <v>0</v>
      </c>
      <c r="O3640" t="n">
        <v>0</v>
      </c>
      <c r="P3640" t="n">
        <v>0</v>
      </c>
      <c r="Q3640" t="n">
        <v>0</v>
      </c>
      <c r="R3640" s="2" t="inlineStr"/>
    </row>
    <row r="3641" ht="15" customHeight="1">
      <c r="A3641" t="inlineStr">
        <is>
          <t>A 4661-2021</t>
        </is>
      </c>
      <c r="B3641" s="1" t="n">
        <v>44224</v>
      </c>
      <c r="C3641" s="1" t="n">
        <v>45182</v>
      </c>
      <c r="D3641" t="inlineStr">
        <is>
          <t>JÄMTLANDS LÄN</t>
        </is>
      </c>
      <c r="E3641" t="inlineStr">
        <is>
          <t>STRÖMSUND</t>
        </is>
      </c>
      <c r="F3641" t="inlineStr">
        <is>
          <t>SCA</t>
        </is>
      </c>
      <c r="G3641" t="n">
        <v>6.4</v>
      </c>
      <c r="H3641" t="n">
        <v>0</v>
      </c>
      <c r="I3641" t="n">
        <v>0</v>
      </c>
      <c r="J3641" t="n">
        <v>0</v>
      </c>
      <c r="K3641" t="n">
        <v>0</v>
      </c>
      <c r="L3641" t="n">
        <v>0</v>
      </c>
      <c r="M3641" t="n">
        <v>0</v>
      </c>
      <c r="N3641" t="n">
        <v>0</v>
      </c>
      <c r="O3641" t="n">
        <v>0</v>
      </c>
      <c r="P3641" t="n">
        <v>0</v>
      </c>
      <c r="Q3641" t="n">
        <v>0</v>
      </c>
      <c r="R3641" s="2" t="inlineStr"/>
    </row>
    <row r="3642" ht="15" customHeight="1">
      <c r="A3642" t="inlineStr">
        <is>
          <t>A 4826-2021</t>
        </is>
      </c>
      <c r="B3642" s="1" t="n">
        <v>44225</v>
      </c>
      <c r="C3642" s="1" t="n">
        <v>45182</v>
      </c>
      <c r="D3642" t="inlineStr">
        <is>
          <t>JÄMTLANDS LÄN</t>
        </is>
      </c>
      <c r="E3642" t="inlineStr">
        <is>
          <t>RAGUNDA</t>
        </is>
      </c>
      <c r="G3642" t="n">
        <v>2.2</v>
      </c>
      <c r="H3642" t="n">
        <v>0</v>
      </c>
      <c r="I3642" t="n">
        <v>0</v>
      </c>
      <c r="J3642" t="n">
        <v>0</v>
      </c>
      <c r="K3642" t="n">
        <v>0</v>
      </c>
      <c r="L3642" t="n">
        <v>0</v>
      </c>
      <c r="M3642" t="n">
        <v>0</v>
      </c>
      <c r="N3642" t="n">
        <v>0</v>
      </c>
      <c r="O3642" t="n">
        <v>0</v>
      </c>
      <c r="P3642" t="n">
        <v>0</v>
      </c>
      <c r="Q3642" t="n">
        <v>0</v>
      </c>
      <c r="R3642" s="2" t="inlineStr"/>
    </row>
    <row r="3643" ht="15" customHeight="1">
      <c r="A3643" t="inlineStr">
        <is>
          <t>A 4838-2021</t>
        </is>
      </c>
      <c r="B3643" s="1" t="n">
        <v>44225</v>
      </c>
      <c r="C3643" s="1" t="n">
        <v>45182</v>
      </c>
      <c r="D3643" t="inlineStr">
        <is>
          <t>JÄMTLANDS LÄN</t>
        </is>
      </c>
      <c r="E3643" t="inlineStr">
        <is>
          <t>ÅRE</t>
        </is>
      </c>
      <c r="G3643" t="n">
        <v>12.4</v>
      </c>
      <c r="H3643" t="n">
        <v>0</v>
      </c>
      <c r="I3643" t="n">
        <v>0</v>
      </c>
      <c r="J3643" t="n">
        <v>0</v>
      </c>
      <c r="K3643" t="n">
        <v>0</v>
      </c>
      <c r="L3643" t="n">
        <v>0</v>
      </c>
      <c r="M3643" t="n">
        <v>0</v>
      </c>
      <c r="N3643" t="n">
        <v>0</v>
      </c>
      <c r="O3643" t="n">
        <v>0</v>
      </c>
      <c r="P3643" t="n">
        <v>0</v>
      </c>
      <c r="Q3643" t="n">
        <v>0</v>
      </c>
      <c r="R3643" s="2" t="inlineStr"/>
    </row>
    <row r="3644" ht="15" customHeight="1">
      <c r="A3644" t="inlineStr">
        <is>
          <t>A 5283-2021</t>
        </is>
      </c>
      <c r="B3644" s="1" t="n">
        <v>44225</v>
      </c>
      <c r="C3644" s="1" t="n">
        <v>45182</v>
      </c>
      <c r="D3644" t="inlineStr">
        <is>
          <t>JÄMTLANDS LÄN</t>
        </is>
      </c>
      <c r="E3644" t="inlineStr">
        <is>
          <t>HÄRJEDALEN</t>
        </is>
      </c>
      <c r="G3644" t="n">
        <v>20</v>
      </c>
      <c r="H3644" t="n">
        <v>0</v>
      </c>
      <c r="I3644" t="n">
        <v>0</v>
      </c>
      <c r="J3644" t="n">
        <v>0</v>
      </c>
      <c r="K3644" t="n">
        <v>0</v>
      </c>
      <c r="L3644" t="n">
        <v>0</v>
      </c>
      <c r="M3644" t="n">
        <v>0</v>
      </c>
      <c r="N3644" t="n">
        <v>0</v>
      </c>
      <c r="O3644" t="n">
        <v>0</v>
      </c>
      <c r="P3644" t="n">
        <v>0</v>
      </c>
      <c r="Q3644" t="n">
        <v>0</v>
      </c>
      <c r="R3644" s="2" t="inlineStr"/>
    </row>
    <row r="3645" ht="15" customHeight="1">
      <c r="A3645" t="inlineStr">
        <is>
          <t>A 4860-2021</t>
        </is>
      </c>
      <c r="B3645" s="1" t="n">
        <v>44225</v>
      </c>
      <c r="C3645" s="1" t="n">
        <v>45182</v>
      </c>
      <c r="D3645" t="inlineStr">
        <is>
          <t>JÄMTLANDS LÄN</t>
        </is>
      </c>
      <c r="E3645" t="inlineStr">
        <is>
          <t>ÅRE</t>
        </is>
      </c>
      <c r="G3645" t="n">
        <v>1.4</v>
      </c>
      <c r="H3645" t="n">
        <v>0</v>
      </c>
      <c r="I3645" t="n">
        <v>0</v>
      </c>
      <c r="J3645" t="n">
        <v>0</v>
      </c>
      <c r="K3645" t="n">
        <v>0</v>
      </c>
      <c r="L3645" t="n">
        <v>0</v>
      </c>
      <c r="M3645" t="n">
        <v>0</v>
      </c>
      <c r="N3645" t="n">
        <v>0</v>
      </c>
      <c r="O3645" t="n">
        <v>0</v>
      </c>
      <c r="P3645" t="n">
        <v>0</v>
      </c>
      <c r="Q3645" t="n">
        <v>0</v>
      </c>
      <c r="R3645" s="2" t="inlineStr"/>
    </row>
    <row r="3646" ht="15" customHeight="1">
      <c r="A3646" t="inlineStr">
        <is>
          <t>A 4870-2021</t>
        </is>
      </c>
      <c r="B3646" s="1" t="n">
        <v>44225</v>
      </c>
      <c r="C3646" s="1" t="n">
        <v>45182</v>
      </c>
      <c r="D3646" t="inlineStr">
        <is>
          <t>JÄMTLANDS LÄN</t>
        </is>
      </c>
      <c r="E3646" t="inlineStr">
        <is>
          <t>ÅRE</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5277-2021</t>
        </is>
      </c>
      <c r="B3647" s="1" t="n">
        <v>44225</v>
      </c>
      <c r="C3647" s="1" t="n">
        <v>45182</v>
      </c>
      <c r="D3647" t="inlineStr">
        <is>
          <t>JÄMTLANDS LÄN</t>
        </is>
      </c>
      <c r="E3647" t="inlineStr">
        <is>
          <t>HÄRJEDALEN</t>
        </is>
      </c>
      <c r="G3647" t="n">
        <v>20</v>
      </c>
      <c r="H3647" t="n">
        <v>0</v>
      </c>
      <c r="I3647" t="n">
        <v>0</v>
      </c>
      <c r="J3647" t="n">
        <v>0</v>
      </c>
      <c r="K3647" t="n">
        <v>0</v>
      </c>
      <c r="L3647" t="n">
        <v>0</v>
      </c>
      <c r="M3647" t="n">
        <v>0</v>
      </c>
      <c r="N3647" t="n">
        <v>0</v>
      </c>
      <c r="O3647" t="n">
        <v>0</v>
      </c>
      <c r="P3647" t="n">
        <v>0</v>
      </c>
      <c r="Q3647" t="n">
        <v>0</v>
      </c>
      <c r="R3647" s="2" t="inlineStr"/>
    </row>
    <row r="3648" ht="15" customHeight="1">
      <c r="A3648" t="inlineStr">
        <is>
          <t>A 5343-2021</t>
        </is>
      </c>
      <c r="B3648" s="1" t="n">
        <v>44228</v>
      </c>
      <c r="C3648" s="1" t="n">
        <v>45182</v>
      </c>
      <c r="D3648" t="inlineStr">
        <is>
          <t>JÄMTLANDS LÄN</t>
        </is>
      </c>
      <c r="E3648" t="inlineStr">
        <is>
          <t>HÄRJEDALEN</t>
        </is>
      </c>
      <c r="G3648" t="n">
        <v>1</v>
      </c>
      <c r="H3648" t="n">
        <v>0</v>
      </c>
      <c r="I3648" t="n">
        <v>0</v>
      </c>
      <c r="J3648" t="n">
        <v>0</v>
      </c>
      <c r="K3648" t="n">
        <v>0</v>
      </c>
      <c r="L3648" t="n">
        <v>0</v>
      </c>
      <c r="M3648" t="n">
        <v>0</v>
      </c>
      <c r="N3648" t="n">
        <v>0</v>
      </c>
      <c r="O3648" t="n">
        <v>0</v>
      </c>
      <c r="P3648" t="n">
        <v>0</v>
      </c>
      <c r="Q3648" t="n">
        <v>0</v>
      </c>
      <c r="R3648" s="2" t="inlineStr"/>
    </row>
    <row r="3649" ht="15" customHeight="1">
      <c r="A3649" t="inlineStr">
        <is>
          <t>A 5034-2021</t>
        </is>
      </c>
      <c r="B3649" s="1" t="n">
        <v>44228</v>
      </c>
      <c r="C3649" s="1" t="n">
        <v>45182</v>
      </c>
      <c r="D3649" t="inlineStr">
        <is>
          <t>JÄMTLANDS LÄN</t>
        </is>
      </c>
      <c r="E3649" t="inlineStr">
        <is>
          <t>STRÖMSUND</t>
        </is>
      </c>
      <c r="F3649" t="inlineStr">
        <is>
          <t>Kommuner</t>
        </is>
      </c>
      <c r="G3649" t="n">
        <v>1.2</v>
      </c>
      <c r="H3649" t="n">
        <v>0</v>
      </c>
      <c r="I3649" t="n">
        <v>0</v>
      </c>
      <c r="J3649" t="n">
        <v>0</v>
      </c>
      <c r="K3649" t="n">
        <v>0</v>
      </c>
      <c r="L3649" t="n">
        <v>0</v>
      </c>
      <c r="M3649" t="n">
        <v>0</v>
      </c>
      <c r="N3649" t="n">
        <v>0</v>
      </c>
      <c r="O3649" t="n">
        <v>0</v>
      </c>
      <c r="P3649" t="n">
        <v>0</v>
      </c>
      <c r="Q3649" t="n">
        <v>0</v>
      </c>
      <c r="R3649" s="2" t="inlineStr"/>
    </row>
    <row r="3650" ht="15" customHeight="1">
      <c r="A3650" t="inlineStr">
        <is>
          <t>A 5353-2021</t>
        </is>
      </c>
      <c r="B3650" s="1" t="n">
        <v>44228</v>
      </c>
      <c r="C3650" s="1" t="n">
        <v>45182</v>
      </c>
      <c r="D3650" t="inlineStr">
        <is>
          <t>JÄMTLANDS LÄN</t>
        </is>
      </c>
      <c r="E3650" t="inlineStr">
        <is>
          <t>HÄRJEDALEN</t>
        </is>
      </c>
      <c r="G3650" t="n">
        <v>0.5</v>
      </c>
      <c r="H3650" t="n">
        <v>0</v>
      </c>
      <c r="I3650" t="n">
        <v>0</v>
      </c>
      <c r="J3650" t="n">
        <v>0</v>
      </c>
      <c r="K3650" t="n">
        <v>0</v>
      </c>
      <c r="L3650" t="n">
        <v>0</v>
      </c>
      <c r="M3650" t="n">
        <v>0</v>
      </c>
      <c r="N3650" t="n">
        <v>0</v>
      </c>
      <c r="O3650" t="n">
        <v>0</v>
      </c>
      <c r="P3650" t="n">
        <v>0</v>
      </c>
      <c r="Q3650" t="n">
        <v>0</v>
      </c>
      <c r="R3650" s="2" t="inlineStr"/>
    </row>
    <row r="3651" ht="15" customHeight="1">
      <c r="A3651" t="inlineStr">
        <is>
          <t>A 5422-2021</t>
        </is>
      </c>
      <c r="B3651" s="1" t="n">
        <v>44228</v>
      </c>
      <c r="C3651" s="1" t="n">
        <v>45182</v>
      </c>
      <c r="D3651" t="inlineStr">
        <is>
          <t>JÄMTLANDS LÄN</t>
        </is>
      </c>
      <c r="E3651" t="inlineStr">
        <is>
          <t>KROKOM</t>
        </is>
      </c>
      <c r="G3651" t="n">
        <v>11</v>
      </c>
      <c r="H3651" t="n">
        <v>0</v>
      </c>
      <c r="I3651" t="n">
        <v>0</v>
      </c>
      <c r="J3651" t="n">
        <v>0</v>
      </c>
      <c r="K3651" t="n">
        <v>0</v>
      </c>
      <c r="L3651" t="n">
        <v>0</v>
      </c>
      <c r="M3651" t="n">
        <v>0</v>
      </c>
      <c r="N3651" t="n">
        <v>0</v>
      </c>
      <c r="O3651" t="n">
        <v>0</v>
      </c>
      <c r="P3651" t="n">
        <v>0</v>
      </c>
      <c r="Q3651" t="n">
        <v>0</v>
      </c>
      <c r="R3651" s="2" t="inlineStr"/>
    </row>
    <row r="3652" ht="15" customHeight="1">
      <c r="A3652" t="inlineStr">
        <is>
          <t>A 5130-2021</t>
        </is>
      </c>
      <c r="B3652" s="1" t="n">
        <v>44228</v>
      </c>
      <c r="C3652" s="1" t="n">
        <v>45182</v>
      </c>
      <c r="D3652" t="inlineStr">
        <is>
          <t>JÄMTLANDS LÄN</t>
        </is>
      </c>
      <c r="E3652" t="inlineStr">
        <is>
          <t>RAGUNDA</t>
        </is>
      </c>
      <c r="G3652" t="n">
        <v>1.6</v>
      </c>
      <c r="H3652" t="n">
        <v>0</v>
      </c>
      <c r="I3652" t="n">
        <v>0</v>
      </c>
      <c r="J3652" t="n">
        <v>0</v>
      </c>
      <c r="K3652" t="n">
        <v>0</v>
      </c>
      <c r="L3652" t="n">
        <v>0</v>
      </c>
      <c r="M3652" t="n">
        <v>0</v>
      </c>
      <c r="N3652" t="n">
        <v>0</v>
      </c>
      <c r="O3652" t="n">
        <v>0</v>
      </c>
      <c r="P3652" t="n">
        <v>0</v>
      </c>
      <c r="Q3652" t="n">
        <v>0</v>
      </c>
      <c r="R3652" s="2" t="inlineStr"/>
    </row>
    <row r="3653" ht="15" customHeight="1">
      <c r="A3653" t="inlineStr">
        <is>
          <t>A 5384-2021</t>
        </is>
      </c>
      <c r="B3653" s="1" t="n">
        <v>44228</v>
      </c>
      <c r="C3653" s="1" t="n">
        <v>45182</v>
      </c>
      <c r="D3653" t="inlineStr">
        <is>
          <t>JÄMTLANDS LÄN</t>
        </is>
      </c>
      <c r="E3653" t="inlineStr">
        <is>
          <t>STRÖMSUND</t>
        </is>
      </c>
      <c r="G3653" t="n">
        <v>18.3</v>
      </c>
      <c r="H3653" t="n">
        <v>0</v>
      </c>
      <c r="I3653" t="n">
        <v>0</v>
      </c>
      <c r="J3653" t="n">
        <v>0</v>
      </c>
      <c r="K3653" t="n">
        <v>0</v>
      </c>
      <c r="L3653" t="n">
        <v>0</v>
      </c>
      <c r="M3653" t="n">
        <v>0</v>
      </c>
      <c r="N3653" t="n">
        <v>0</v>
      </c>
      <c r="O3653" t="n">
        <v>0</v>
      </c>
      <c r="P3653" t="n">
        <v>0</v>
      </c>
      <c r="Q3653" t="n">
        <v>0</v>
      </c>
      <c r="R3653" s="2" t="inlineStr"/>
    </row>
    <row r="3654" ht="15" customHeight="1">
      <c r="A3654" t="inlineStr">
        <is>
          <t>A 5420-2021</t>
        </is>
      </c>
      <c r="B3654" s="1" t="n">
        <v>44228</v>
      </c>
      <c r="C3654" s="1" t="n">
        <v>45182</v>
      </c>
      <c r="D3654" t="inlineStr">
        <is>
          <t>JÄMTLANDS LÄN</t>
        </is>
      </c>
      <c r="E3654" t="inlineStr">
        <is>
          <t>KROKOM</t>
        </is>
      </c>
      <c r="G3654" t="n">
        <v>2.1</v>
      </c>
      <c r="H3654" t="n">
        <v>0</v>
      </c>
      <c r="I3654" t="n">
        <v>0</v>
      </c>
      <c r="J3654" t="n">
        <v>0</v>
      </c>
      <c r="K3654" t="n">
        <v>0</v>
      </c>
      <c r="L3654" t="n">
        <v>0</v>
      </c>
      <c r="M3654" t="n">
        <v>0</v>
      </c>
      <c r="N3654" t="n">
        <v>0</v>
      </c>
      <c r="O3654" t="n">
        <v>0</v>
      </c>
      <c r="P3654" t="n">
        <v>0</v>
      </c>
      <c r="Q3654" t="n">
        <v>0</v>
      </c>
      <c r="R3654" s="2" t="inlineStr"/>
    </row>
    <row r="3655" ht="15" customHeight="1">
      <c r="A3655" t="inlineStr">
        <is>
          <t>A 5462-2021</t>
        </is>
      </c>
      <c r="B3655" s="1" t="n">
        <v>44229</v>
      </c>
      <c r="C3655" s="1" t="n">
        <v>45182</v>
      </c>
      <c r="D3655" t="inlineStr">
        <is>
          <t>JÄMTLANDS LÄN</t>
        </is>
      </c>
      <c r="E3655" t="inlineStr">
        <is>
          <t>RAGUNDA</t>
        </is>
      </c>
      <c r="G3655" t="n">
        <v>1.8</v>
      </c>
      <c r="H3655" t="n">
        <v>0</v>
      </c>
      <c r="I3655" t="n">
        <v>0</v>
      </c>
      <c r="J3655" t="n">
        <v>0</v>
      </c>
      <c r="K3655" t="n">
        <v>0</v>
      </c>
      <c r="L3655" t="n">
        <v>0</v>
      </c>
      <c r="M3655" t="n">
        <v>0</v>
      </c>
      <c r="N3655" t="n">
        <v>0</v>
      </c>
      <c r="O3655" t="n">
        <v>0</v>
      </c>
      <c r="P3655" t="n">
        <v>0</v>
      </c>
      <c r="Q3655" t="n">
        <v>0</v>
      </c>
      <c r="R3655" s="2" t="inlineStr"/>
    </row>
    <row r="3656" ht="15" customHeight="1">
      <c r="A3656" t="inlineStr">
        <is>
          <t>A 5460-2021</t>
        </is>
      </c>
      <c r="B3656" s="1" t="n">
        <v>44229</v>
      </c>
      <c r="C3656" s="1" t="n">
        <v>45182</v>
      </c>
      <c r="D3656" t="inlineStr">
        <is>
          <t>JÄMTLANDS LÄN</t>
        </is>
      </c>
      <c r="E3656" t="inlineStr">
        <is>
          <t>ÖSTERSUND</t>
        </is>
      </c>
      <c r="G3656" t="n">
        <v>14.2</v>
      </c>
      <c r="H3656" t="n">
        <v>0</v>
      </c>
      <c r="I3656" t="n">
        <v>0</v>
      </c>
      <c r="J3656" t="n">
        <v>0</v>
      </c>
      <c r="K3656" t="n">
        <v>0</v>
      </c>
      <c r="L3656" t="n">
        <v>0</v>
      </c>
      <c r="M3656" t="n">
        <v>0</v>
      </c>
      <c r="N3656" t="n">
        <v>0</v>
      </c>
      <c r="O3656" t="n">
        <v>0</v>
      </c>
      <c r="P3656" t="n">
        <v>0</v>
      </c>
      <c r="Q3656" t="n">
        <v>0</v>
      </c>
      <c r="R3656" s="2" t="inlineStr"/>
    </row>
    <row r="3657" ht="15" customHeight="1">
      <c r="A3657" t="inlineStr">
        <is>
          <t>A 5472-2021</t>
        </is>
      </c>
      <c r="B3657" s="1" t="n">
        <v>44229</v>
      </c>
      <c r="C3657" s="1" t="n">
        <v>45182</v>
      </c>
      <c r="D3657" t="inlineStr">
        <is>
          <t>JÄMTLANDS LÄN</t>
        </is>
      </c>
      <c r="E3657" t="inlineStr">
        <is>
          <t>BRÄCKE</t>
        </is>
      </c>
      <c r="F3657" t="inlineStr">
        <is>
          <t>SCA</t>
        </is>
      </c>
      <c r="G3657" t="n">
        <v>2.2</v>
      </c>
      <c r="H3657" t="n">
        <v>0</v>
      </c>
      <c r="I3657" t="n">
        <v>0</v>
      </c>
      <c r="J3657" t="n">
        <v>0</v>
      </c>
      <c r="K3657" t="n">
        <v>0</v>
      </c>
      <c r="L3657" t="n">
        <v>0</v>
      </c>
      <c r="M3657" t="n">
        <v>0</v>
      </c>
      <c r="N3657" t="n">
        <v>0</v>
      </c>
      <c r="O3657" t="n">
        <v>0</v>
      </c>
      <c r="P3657" t="n">
        <v>0</v>
      </c>
      <c r="Q3657" t="n">
        <v>0</v>
      </c>
      <c r="R3657" s="2" t="inlineStr"/>
    </row>
    <row r="3658" ht="15" customHeight="1">
      <c r="A3658" t="inlineStr">
        <is>
          <t>A 5237-2021</t>
        </is>
      </c>
      <c r="B3658" s="1" t="n">
        <v>44229</v>
      </c>
      <c r="C3658" s="1" t="n">
        <v>45182</v>
      </c>
      <c r="D3658" t="inlineStr">
        <is>
          <t>JÄMTLANDS LÄN</t>
        </is>
      </c>
      <c r="E3658" t="inlineStr">
        <is>
          <t>HÄRJEDALEN</t>
        </is>
      </c>
      <c r="F3658" t="inlineStr">
        <is>
          <t>Holmen skog AB</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5273-2021</t>
        </is>
      </c>
      <c r="B3659" s="1" t="n">
        <v>44229</v>
      </c>
      <c r="C3659" s="1" t="n">
        <v>45182</v>
      </c>
      <c r="D3659" t="inlineStr">
        <is>
          <t>JÄMTLANDS LÄN</t>
        </is>
      </c>
      <c r="E3659" t="inlineStr">
        <is>
          <t>HÄRJEDALEN</t>
        </is>
      </c>
      <c r="F3659" t="inlineStr">
        <is>
          <t>Holmen skog AB</t>
        </is>
      </c>
      <c r="G3659" t="n">
        <v>6.6</v>
      </c>
      <c r="H3659" t="n">
        <v>0</v>
      </c>
      <c r="I3659" t="n">
        <v>0</v>
      </c>
      <c r="J3659" t="n">
        <v>0</v>
      </c>
      <c r="K3659" t="n">
        <v>0</v>
      </c>
      <c r="L3659" t="n">
        <v>0</v>
      </c>
      <c r="M3659" t="n">
        <v>0</v>
      </c>
      <c r="N3659" t="n">
        <v>0</v>
      </c>
      <c r="O3659" t="n">
        <v>0</v>
      </c>
      <c r="P3659" t="n">
        <v>0</v>
      </c>
      <c r="Q3659" t="n">
        <v>0</v>
      </c>
      <c r="R3659" s="2" t="inlineStr"/>
    </row>
    <row r="3660" ht="15" customHeight="1">
      <c r="A3660" t="inlineStr">
        <is>
          <t>A 5470-2021</t>
        </is>
      </c>
      <c r="B3660" s="1" t="n">
        <v>44229</v>
      </c>
      <c r="C3660" s="1" t="n">
        <v>45182</v>
      </c>
      <c r="D3660" t="inlineStr">
        <is>
          <t>JÄMTLANDS LÄN</t>
        </is>
      </c>
      <c r="E3660" t="inlineStr">
        <is>
          <t>STRÖMSUND</t>
        </is>
      </c>
      <c r="F3660" t="inlineStr">
        <is>
          <t>SCA</t>
        </is>
      </c>
      <c r="G3660" t="n">
        <v>5</v>
      </c>
      <c r="H3660" t="n">
        <v>0</v>
      </c>
      <c r="I3660" t="n">
        <v>0</v>
      </c>
      <c r="J3660" t="n">
        <v>0</v>
      </c>
      <c r="K3660" t="n">
        <v>0</v>
      </c>
      <c r="L3660" t="n">
        <v>0</v>
      </c>
      <c r="M3660" t="n">
        <v>0</v>
      </c>
      <c r="N3660" t="n">
        <v>0</v>
      </c>
      <c r="O3660" t="n">
        <v>0</v>
      </c>
      <c r="P3660" t="n">
        <v>0</v>
      </c>
      <c r="Q3660" t="n">
        <v>0</v>
      </c>
      <c r="R3660" s="2" t="inlineStr"/>
    </row>
    <row r="3661" ht="15" customHeight="1">
      <c r="A3661" t="inlineStr">
        <is>
          <t>A 5401-2021</t>
        </is>
      </c>
      <c r="B3661" s="1" t="n">
        <v>44229</v>
      </c>
      <c r="C3661" s="1" t="n">
        <v>45182</v>
      </c>
      <c r="D3661" t="inlineStr">
        <is>
          <t>JÄMTLANDS LÄN</t>
        </is>
      </c>
      <c r="E3661" t="inlineStr">
        <is>
          <t>ÅRE</t>
        </is>
      </c>
      <c r="G3661" t="n">
        <v>10</v>
      </c>
      <c r="H3661" t="n">
        <v>0</v>
      </c>
      <c r="I3661" t="n">
        <v>0</v>
      </c>
      <c r="J3661" t="n">
        <v>0</v>
      </c>
      <c r="K3661" t="n">
        <v>0</v>
      </c>
      <c r="L3661" t="n">
        <v>0</v>
      </c>
      <c r="M3661" t="n">
        <v>0</v>
      </c>
      <c r="N3661" t="n">
        <v>0</v>
      </c>
      <c r="O3661" t="n">
        <v>0</v>
      </c>
      <c r="P3661" t="n">
        <v>0</v>
      </c>
      <c r="Q3661" t="n">
        <v>0</v>
      </c>
      <c r="R3661" s="2" t="inlineStr"/>
    </row>
    <row r="3662" ht="15" customHeight="1">
      <c r="A3662" t="inlineStr">
        <is>
          <t>A 5464-2021</t>
        </is>
      </c>
      <c r="B3662" s="1" t="n">
        <v>44229</v>
      </c>
      <c r="C3662" s="1" t="n">
        <v>45182</v>
      </c>
      <c r="D3662" t="inlineStr">
        <is>
          <t>JÄMTLANDS LÄN</t>
        </is>
      </c>
      <c r="E3662" t="inlineStr">
        <is>
          <t>STRÖMSUND</t>
        </is>
      </c>
      <c r="F3662" t="inlineStr">
        <is>
          <t>SCA</t>
        </is>
      </c>
      <c r="G3662" t="n">
        <v>1.5</v>
      </c>
      <c r="H3662" t="n">
        <v>0</v>
      </c>
      <c r="I3662" t="n">
        <v>0</v>
      </c>
      <c r="J3662" t="n">
        <v>0</v>
      </c>
      <c r="K3662" t="n">
        <v>0</v>
      </c>
      <c r="L3662" t="n">
        <v>0</v>
      </c>
      <c r="M3662" t="n">
        <v>0</v>
      </c>
      <c r="N3662" t="n">
        <v>0</v>
      </c>
      <c r="O3662" t="n">
        <v>0</v>
      </c>
      <c r="P3662" t="n">
        <v>0</v>
      </c>
      <c r="Q3662" t="n">
        <v>0</v>
      </c>
      <c r="R3662" s="2" t="inlineStr"/>
    </row>
    <row r="3663" ht="15" customHeight="1">
      <c r="A3663" t="inlineStr">
        <is>
          <t>A 5753-2021</t>
        </is>
      </c>
      <c r="B3663" s="1" t="n">
        <v>44230</v>
      </c>
      <c r="C3663" s="1" t="n">
        <v>45182</v>
      </c>
      <c r="D3663" t="inlineStr">
        <is>
          <t>JÄMTLANDS LÄN</t>
        </is>
      </c>
      <c r="E3663" t="inlineStr">
        <is>
          <t>ÅRE</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5795-2021</t>
        </is>
      </c>
      <c r="B3664" s="1" t="n">
        <v>44230</v>
      </c>
      <c r="C3664" s="1" t="n">
        <v>45182</v>
      </c>
      <c r="D3664" t="inlineStr">
        <is>
          <t>JÄMTLANDS LÄN</t>
        </is>
      </c>
      <c r="E3664" t="inlineStr">
        <is>
          <t>STRÖMSUND</t>
        </is>
      </c>
      <c r="F3664" t="inlineStr">
        <is>
          <t>SCA</t>
        </is>
      </c>
      <c r="G3664" t="n">
        <v>1.2</v>
      </c>
      <c r="H3664" t="n">
        <v>0</v>
      </c>
      <c r="I3664" t="n">
        <v>0</v>
      </c>
      <c r="J3664" t="n">
        <v>0</v>
      </c>
      <c r="K3664" t="n">
        <v>0</v>
      </c>
      <c r="L3664" t="n">
        <v>0</v>
      </c>
      <c r="M3664" t="n">
        <v>0</v>
      </c>
      <c r="N3664" t="n">
        <v>0</v>
      </c>
      <c r="O3664" t="n">
        <v>0</v>
      </c>
      <c r="P3664" t="n">
        <v>0</v>
      </c>
      <c r="Q3664" t="n">
        <v>0</v>
      </c>
      <c r="R3664" s="2" t="inlineStr"/>
    </row>
    <row r="3665" ht="15" customHeight="1">
      <c r="A3665" t="inlineStr">
        <is>
          <t>A 5519-2021</t>
        </is>
      </c>
      <c r="B3665" s="1" t="n">
        <v>44230</v>
      </c>
      <c r="C3665" s="1" t="n">
        <v>45182</v>
      </c>
      <c r="D3665" t="inlineStr">
        <is>
          <t>JÄMTLANDS LÄN</t>
        </is>
      </c>
      <c r="E3665" t="inlineStr">
        <is>
          <t>HÄRJEDALEN</t>
        </is>
      </c>
      <c r="G3665" t="n">
        <v>10.8</v>
      </c>
      <c r="H3665" t="n">
        <v>0</v>
      </c>
      <c r="I3665" t="n">
        <v>0</v>
      </c>
      <c r="J3665" t="n">
        <v>0</v>
      </c>
      <c r="K3665" t="n">
        <v>0</v>
      </c>
      <c r="L3665" t="n">
        <v>0</v>
      </c>
      <c r="M3665" t="n">
        <v>0</v>
      </c>
      <c r="N3665" t="n">
        <v>0</v>
      </c>
      <c r="O3665" t="n">
        <v>0</v>
      </c>
      <c r="P3665" t="n">
        <v>0</v>
      </c>
      <c r="Q3665" t="n">
        <v>0</v>
      </c>
      <c r="R3665" s="2" t="inlineStr"/>
    </row>
    <row r="3666" ht="15" customHeight="1">
      <c r="A3666" t="inlineStr">
        <is>
          <t>A 5794-2021</t>
        </is>
      </c>
      <c r="B3666" s="1" t="n">
        <v>44230</v>
      </c>
      <c r="C3666" s="1" t="n">
        <v>45182</v>
      </c>
      <c r="D3666" t="inlineStr">
        <is>
          <t>JÄMTLANDS LÄN</t>
        </is>
      </c>
      <c r="E3666" t="inlineStr">
        <is>
          <t>STRÖMSUND</t>
        </is>
      </c>
      <c r="F3666" t="inlineStr">
        <is>
          <t>SCA</t>
        </is>
      </c>
      <c r="G3666" t="n">
        <v>4.7</v>
      </c>
      <c r="H3666" t="n">
        <v>0</v>
      </c>
      <c r="I3666" t="n">
        <v>0</v>
      </c>
      <c r="J3666" t="n">
        <v>0</v>
      </c>
      <c r="K3666" t="n">
        <v>0</v>
      </c>
      <c r="L3666" t="n">
        <v>0</v>
      </c>
      <c r="M3666" t="n">
        <v>0</v>
      </c>
      <c r="N3666" t="n">
        <v>0</v>
      </c>
      <c r="O3666" t="n">
        <v>0</v>
      </c>
      <c r="P3666" t="n">
        <v>0</v>
      </c>
      <c r="Q3666" t="n">
        <v>0</v>
      </c>
      <c r="R3666" s="2" t="inlineStr"/>
    </row>
    <row r="3667" ht="15" customHeight="1">
      <c r="A3667" t="inlineStr">
        <is>
          <t>A 5796-2021</t>
        </is>
      </c>
      <c r="B3667" s="1" t="n">
        <v>44230</v>
      </c>
      <c r="C3667" s="1" t="n">
        <v>45182</v>
      </c>
      <c r="D3667" t="inlineStr">
        <is>
          <t>JÄMTLANDS LÄN</t>
        </is>
      </c>
      <c r="E3667" t="inlineStr">
        <is>
          <t>BRÄCKE</t>
        </is>
      </c>
      <c r="F3667" t="inlineStr">
        <is>
          <t>SCA</t>
        </is>
      </c>
      <c r="G3667" t="n">
        <v>4.7</v>
      </c>
      <c r="H3667" t="n">
        <v>0</v>
      </c>
      <c r="I3667" t="n">
        <v>0</v>
      </c>
      <c r="J3667" t="n">
        <v>0</v>
      </c>
      <c r="K3667" t="n">
        <v>0</v>
      </c>
      <c r="L3667" t="n">
        <v>0</v>
      </c>
      <c r="M3667" t="n">
        <v>0</v>
      </c>
      <c r="N3667" t="n">
        <v>0</v>
      </c>
      <c r="O3667" t="n">
        <v>0</v>
      </c>
      <c r="P3667" t="n">
        <v>0</v>
      </c>
      <c r="Q3667" t="n">
        <v>0</v>
      </c>
      <c r="R3667" s="2" t="inlineStr"/>
    </row>
    <row r="3668" ht="15" customHeight="1">
      <c r="A3668" t="inlineStr">
        <is>
          <t>A 5803-2021</t>
        </is>
      </c>
      <c r="B3668" s="1" t="n">
        <v>44230</v>
      </c>
      <c r="C3668" s="1" t="n">
        <v>45182</v>
      </c>
      <c r="D3668" t="inlineStr">
        <is>
          <t>JÄMTLANDS LÄN</t>
        </is>
      </c>
      <c r="E3668" t="inlineStr">
        <is>
          <t>RAGUNDA</t>
        </is>
      </c>
      <c r="F3668" t="inlineStr">
        <is>
          <t>SCA</t>
        </is>
      </c>
      <c r="G3668" t="n">
        <v>4.2</v>
      </c>
      <c r="H3668" t="n">
        <v>0</v>
      </c>
      <c r="I3668" t="n">
        <v>0</v>
      </c>
      <c r="J3668" t="n">
        <v>0</v>
      </c>
      <c r="K3668" t="n">
        <v>0</v>
      </c>
      <c r="L3668" t="n">
        <v>0</v>
      </c>
      <c r="M3668" t="n">
        <v>0</v>
      </c>
      <c r="N3668" t="n">
        <v>0</v>
      </c>
      <c r="O3668" t="n">
        <v>0</v>
      </c>
      <c r="P3668" t="n">
        <v>0</v>
      </c>
      <c r="Q3668" t="n">
        <v>0</v>
      </c>
      <c r="R3668" s="2" t="inlineStr"/>
    </row>
    <row r="3669" ht="15" customHeight="1">
      <c r="A3669" t="inlineStr">
        <is>
          <t>A 5958-2021</t>
        </is>
      </c>
      <c r="B3669" s="1" t="n">
        <v>44231</v>
      </c>
      <c r="C3669" s="1" t="n">
        <v>45182</v>
      </c>
      <c r="D3669" t="inlineStr">
        <is>
          <t>JÄMTLANDS LÄN</t>
        </is>
      </c>
      <c r="E3669" t="inlineStr">
        <is>
          <t>RAGUNDA</t>
        </is>
      </c>
      <c r="G3669" t="n">
        <v>3.1</v>
      </c>
      <c r="H3669" t="n">
        <v>0</v>
      </c>
      <c r="I3669" t="n">
        <v>0</v>
      </c>
      <c r="J3669" t="n">
        <v>0</v>
      </c>
      <c r="K3669" t="n">
        <v>0</v>
      </c>
      <c r="L3669" t="n">
        <v>0</v>
      </c>
      <c r="M3669" t="n">
        <v>0</v>
      </c>
      <c r="N3669" t="n">
        <v>0</v>
      </c>
      <c r="O3669" t="n">
        <v>0</v>
      </c>
      <c r="P3669" t="n">
        <v>0</v>
      </c>
      <c r="Q3669" t="n">
        <v>0</v>
      </c>
      <c r="R3669" s="2" t="inlineStr"/>
    </row>
    <row r="3670" ht="15" customHeight="1">
      <c r="A3670" t="inlineStr">
        <is>
          <t>A 6016-2021</t>
        </is>
      </c>
      <c r="B3670" s="1" t="n">
        <v>44231</v>
      </c>
      <c r="C3670" s="1" t="n">
        <v>45182</v>
      </c>
      <c r="D3670" t="inlineStr">
        <is>
          <t>JÄMTLANDS LÄN</t>
        </is>
      </c>
      <c r="E3670" t="inlineStr">
        <is>
          <t>BRÄCKE</t>
        </is>
      </c>
      <c r="F3670" t="inlineStr">
        <is>
          <t>SCA</t>
        </is>
      </c>
      <c r="G3670" t="n">
        <v>3.3</v>
      </c>
      <c r="H3670" t="n">
        <v>0</v>
      </c>
      <c r="I3670" t="n">
        <v>0</v>
      </c>
      <c r="J3670" t="n">
        <v>0</v>
      </c>
      <c r="K3670" t="n">
        <v>0</v>
      </c>
      <c r="L3670" t="n">
        <v>0</v>
      </c>
      <c r="M3670" t="n">
        <v>0</v>
      </c>
      <c r="N3670" t="n">
        <v>0</v>
      </c>
      <c r="O3670" t="n">
        <v>0</v>
      </c>
      <c r="P3670" t="n">
        <v>0</v>
      </c>
      <c r="Q3670" t="n">
        <v>0</v>
      </c>
      <c r="R3670" s="2" t="inlineStr"/>
    </row>
    <row r="3671" ht="15" customHeight="1">
      <c r="A3671" t="inlineStr">
        <is>
          <t>A 6232-2021</t>
        </is>
      </c>
      <c r="B3671" s="1" t="n">
        <v>44231</v>
      </c>
      <c r="C3671" s="1" t="n">
        <v>45182</v>
      </c>
      <c r="D3671" t="inlineStr">
        <is>
          <t>JÄMTLANDS LÄN</t>
        </is>
      </c>
      <c r="E3671" t="inlineStr">
        <is>
          <t>ÅRE</t>
        </is>
      </c>
      <c r="G3671" t="n">
        <v>11.9</v>
      </c>
      <c r="H3671" t="n">
        <v>0</v>
      </c>
      <c r="I3671" t="n">
        <v>0</v>
      </c>
      <c r="J3671" t="n">
        <v>0</v>
      </c>
      <c r="K3671" t="n">
        <v>0</v>
      </c>
      <c r="L3671" t="n">
        <v>0</v>
      </c>
      <c r="M3671" t="n">
        <v>0</v>
      </c>
      <c r="N3671" t="n">
        <v>0</v>
      </c>
      <c r="O3671" t="n">
        <v>0</v>
      </c>
      <c r="P3671" t="n">
        <v>0</v>
      </c>
      <c r="Q3671" t="n">
        <v>0</v>
      </c>
      <c r="R3671" s="2" t="inlineStr"/>
    </row>
    <row r="3672" ht="15" customHeight="1">
      <c r="A3672" t="inlineStr">
        <is>
          <t>A 5993-2021</t>
        </is>
      </c>
      <c r="B3672" s="1" t="n">
        <v>44231</v>
      </c>
      <c r="C3672" s="1" t="n">
        <v>45182</v>
      </c>
      <c r="D3672" t="inlineStr">
        <is>
          <t>JÄMTLANDS LÄN</t>
        </is>
      </c>
      <c r="E3672" t="inlineStr">
        <is>
          <t>HÄRJEDALEN</t>
        </is>
      </c>
      <c r="F3672" t="inlineStr">
        <is>
          <t>Kyrkan</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8983-2021</t>
        </is>
      </c>
      <c r="B3673" s="1" t="n">
        <v>44231</v>
      </c>
      <c r="C3673" s="1" t="n">
        <v>45182</v>
      </c>
      <c r="D3673" t="inlineStr">
        <is>
          <t>JÄMTLANDS LÄN</t>
        </is>
      </c>
      <c r="E3673" t="inlineStr">
        <is>
          <t>ÅRE</t>
        </is>
      </c>
      <c r="G3673" t="n">
        <v>4.1</v>
      </c>
      <c r="H3673" t="n">
        <v>0</v>
      </c>
      <c r="I3673" t="n">
        <v>0</v>
      </c>
      <c r="J3673" t="n">
        <v>0</v>
      </c>
      <c r="K3673" t="n">
        <v>0</v>
      </c>
      <c r="L3673" t="n">
        <v>0</v>
      </c>
      <c r="M3673" t="n">
        <v>0</v>
      </c>
      <c r="N3673" t="n">
        <v>0</v>
      </c>
      <c r="O3673" t="n">
        <v>0</v>
      </c>
      <c r="P3673" t="n">
        <v>0</v>
      </c>
      <c r="Q3673" t="n">
        <v>0</v>
      </c>
      <c r="R3673" s="2" t="inlineStr"/>
    </row>
    <row r="3674" ht="15" customHeight="1">
      <c r="A3674" t="inlineStr">
        <is>
          <t>A 5967-2021</t>
        </is>
      </c>
      <c r="B3674" s="1" t="n">
        <v>44231</v>
      </c>
      <c r="C3674" s="1" t="n">
        <v>45182</v>
      </c>
      <c r="D3674" t="inlineStr">
        <is>
          <t>JÄMTLANDS LÄN</t>
        </is>
      </c>
      <c r="E3674" t="inlineStr">
        <is>
          <t>RAGUNDA</t>
        </is>
      </c>
      <c r="G3674" t="n">
        <v>3.6</v>
      </c>
      <c r="H3674" t="n">
        <v>0</v>
      </c>
      <c r="I3674" t="n">
        <v>0</v>
      </c>
      <c r="J3674" t="n">
        <v>0</v>
      </c>
      <c r="K3674" t="n">
        <v>0</v>
      </c>
      <c r="L3674" t="n">
        <v>0</v>
      </c>
      <c r="M3674" t="n">
        <v>0</v>
      </c>
      <c r="N3674" t="n">
        <v>0</v>
      </c>
      <c r="O3674" t="n">
        <v>0</v>
      </c>
      <c r="P3674" t="n">
        <v>0</v>
      </c>
      <c r="Q3674" t="n">
        <v>0</v>
      </c>
      <c r="R3674" s="2" t="inlineStr"/>
    </row>
    <row r="3675" ht="15" customHeight="1">
      <c r="A3675" t="inlineStr">
        <is>
          <t>A 6399-2021</t>
        </is>
      </c>
      <c r="B3675" s="1" t="n">
        <v>44232</v>
      </c>
      <c r="C3675" s="1" t="n">
        <v>45182</v>
      </c>
      <c r="D3675" t="inlineStr">
        <is>
          <t>JÄMTLANDS LÄN</t>
        </is>
      </c>
      <c r="E3675" t="inlineStr">
        <is>
          <t>BRÄCKE</t>
        </is>
      </c>
      <c r="G3675" t="n">
        <v>3.1</v>
      </c>
      <c r="H3675" t="n">
        <v>0</v>
      </c>
      <c r="I3675" t="n">
        <v>0</v>
      </c>
      <c r="J3675" t="n">
        <v>0</v>
      </c>
      <c r="K3675" t="n">
        <v>0</v>
      </c>
      <c r="L3675" t="n">
        <v>0</v>
      </c>
      <c r="M3675" t="n">
        <v>0</v>
      </c>
      <c r="N3675" t="n">
        <v>0</v>
      </c>
      <c r="O3675" t="n">
        <v>0</v>
      </c>
      <c r="P3675" t="n">
        <v>0</v>
      </c>
      <c r="Q3675" t="n">
        <v>0</v>
      </c>
      <c r="R3675" s="2" t="inlineStr"/>
    </row>
    <row r="3676" ht="15" customHeight="1">
      <c r="A3676" t="inlineStr">
        <is>
          <t>A 6394-2021</t>
        </is>
      </c>
      <c r="B3676" s="1" t="n">
        <v>44232</v>
      </c>
      <c r="C3676" s="1" t="n">
        <v>45182</v>
      </c>
      <c r="D3676" t="inlineStr">
        <is>
          <t>JÄMTLANDS LÄN</t>
        </is>
      </c>
      <c r="E3676" t="inlineStr">
        <is>
          <t>STRÖMSUND</t>
        </is>
      </c>
      <c r="F3676" t="inlineStr">
        <is>
          <t>Kommuner</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6371-2021</t>
        </is>
      </c>
      <c r="B3677" s="1" t="n">
        <v>44232</v>
      </c>
      <c r="C3677" s="1" t="n">
        <v>45182</v>
      </c>
      <c r="D3677" t="inlineStr">
        <is>
          <t>JÄMTLANDS LÄN</t>
        </is>
      </c>
      <c r="E3677" t="inlineStr">
        <is>
          <t>STRÖMSUND</t>
        </is>
      </c>
      <c r="F3677" t="inlineStr">
        <is>
          <t>Kommuner</t>
        </is>
      </c>
      <c r="G3677" t="n">
        <v>1.3</v>
      </c>
      <c r="H3677" t="n">
        <v>0</v>
      </c>
      <c r="I3677" t="n">
        <v>0</v>
      </c>
      <c r="J3677" t="n">
        <v>0</v>
      </c>
      <c r="K3677" t="n">
        <v>0</v>
      </c>
      <c r="L3677" t="n">
        <v>0</v>
      </c>
      <c r="M3677" t="n">
        <v>0</v>
      </c>
      <c r="N3677" t="n">
        <v>0</v>
      </c>
      <c r="O3677" t="n">
        <v>0</v>
      </c>
      <c r="P3677" t="n">
        <v>0</v>
      </c>
      <c r="Q3677" t="n">
        <v>0</v>
      </c>
      <c r="R3677" s="2" t="inlineStr"/>
    </row>
    <row r="3678" ht="15" customHeight="1">
      <c r="A3678" t="inlineStr">
        <is>
          <t>A 6386-2021</t>
        </is>
      </c>
      <c r="B3678" s="1" t="n">
        <v>44232</v>
      </c>
      <c r="C3678" s="1" t="n">
        <v>45182</v>
      </c>
      <c r="D3678" t="inlineStr">
        <is>
          <t>JÄMTLANDS LÄN</t>
        </is>
      </c>
      <c r="E3678" t="inlineStr">
        <is>
          <t>STRÖMSUND</t>
        </is>
      </c>
      <c r="F3678" t="inlineStr">
        <is>
          <t>Kommuner</t>
        </is>
      </c>
      <c r="G3678" t="n">
        <v>1.3</v>
      </c>
      <c r="H3678" t="n">
        <v>0</v>
      </c>
      <c r="I3678" t="n">
        <v>0</v>
      </c>
      <c r="J3678" t="n">
        <v>0</v>
      </c>
      <c r="K3678" t="n">
        <v>0</v>
      </c>
      <c r="L3678" t="n">
        <v>0</v>
      </c>
      <c r="M3678" t="n">
        <v>0</v>
      </c>
      <c r="N3678" t="n">
        <v>0</v>
      </c>
      <c r="O3678" t="n">
        <v>0</v>
      </c>
      <c r="P3678" t="n">
        <v>0</v>
      </c>
      <c r="Q3678" t="n">
        <v>0</v>
      </c>
      <c r="R3678" s="2" t="inlineStr"/>
    </row>
    <row r="3679" ht="15" customHeight="1">
      <c r="A3679" t="inlineStr">
        <is>
          <t>A 6802-2021</t>
        </is>
      </c>
      <c r="B3679" s="1" t="n">
        <v>44236</v>
      </c>
      <c r="C3679" s="1" t="n">
        <v>45182</v>
      </c>
      <c r="D3679" t="inlineStr">
        <is>
          <t>JÄMTLANDS LÄN</t>
        </is>
      </c>
      <c r="E3679" t="inlineStr">
        <is>
          <t>RAGUNDA</t>
        </is>
      </c>
      <c r="G3679" t="n">
        <v>11.2</v>
      </c>
      <c r="H3679" t="n">
        <v>0</v>
      </c>
      <c r="I3679" t="n">
        <v>0</v>
      </c>
      <c r="J3679" t="n">
        <v>0</v>
      </c>
      <c r="K3679" t="n">
        <v>0</v>
      </c>
      <c r="L3679" t="n">
        <v>0</v>
      </c>
      <c r="M3679" t="n">
        <v>0</v>
      </c>
      <c r="N3679" t="n">
        <v>0</v>
      </c>
      <c r="O3679" t="n">
        <v>0</v>
      </c>
      <c r="P3679" t="n">
        <v>0</v>
      </c>
      <c r="Q3679" t="n">
        <v>0</v>
      </c>
      <c r="R3679" s="2" t="inlineStr"/>
    </row>
    <row r="3680" ht="15" customHeight="1">
      <c r="A3680" t="inlineStr">
        <is>
          <t>A 6578-2021</t>
        </is>
      </c>
      <c r="B3680" s="1" t="n">
        <v>44236</v>
      </c>
      <c r="C3680" s="1" t="n">
        <v>45182</v>
      </c>
      <c r="D3680" t="inlineStr">
        <is>
          <t>JÄMTLANDS LÄN</t>
        </is>
      </c>
      <c r="E3680" t="inlineStr">
        <is>
          <t>ÖSTERSUND</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7086-2021</t>
        </is>
      </c>
      <c r="B3681" s="1" t="n">
        <v>44238</v>
      </c>
      <c r="C3681" s="1" t="n">
        <v>45182</v>
      </c>
      <c r="D3681" t="inlineStr">
        <is>
          <t>JÄMTLANDS LÄN</t>
        </is>
      </c>
      <c r="E3681" t="inlineStr">
        <is>
          <t>HÄRJEDALEN</t>
        </is>
      </c>
      <c r="F3681" t="inlineStr">
        <is>
          <t>Holmen skog AB</t>
        </is>
      </c>
      <c r="G3681" t="n">
        <v>8.6</v>
      </c>
      <c r="H3681" t="n">
        <v>0</v>
      </c>
      <c r="I3681" t="n">
        <v>0</v>
      </c>
      <c r="J3681" t="n">
        <v>0</v>
      </c>
      <c r="K3681" t="n">
        <v>0</v>
      </c>
      <c r="L3681" t="n">
        <v>0</v>
      </c>
      <c r="M3681" t="n">
        <v>0</v>
      </c>
      <c r="N3681" t="n">
        <v>0</v>
      </c>
      <c r="O3681" t="n">
        <v>0</v>
      </c>
      <c r="P3681" t="n">
        <v>0</v>
      </c>
      <c r="Q3681" t="n">
        <v>0</v>
      </c>
      <c r="R3681" s="2" t="inlineStr"/>
    </row>
    <row r="3682" ht="15" customHeight="1">
      <c r="A3682" t="inlineStr">
        <is>
          <t>A 7099-2021</t>
        </is>
      </c>
      <c r="B3682" s="1" t="n">
        <v>44238</v>
      </c>
      <c r="C3682" s="1" t="n">
        <v>45182</v>
      </c>
      <c r="D3682" t="inlineStr">
        <is>
          <t>JÄMTLANDS LÄN</t>
        </is>
      </c>
      <c r="E3682" t="inlineStr">
        <is>
          <t>HÄRJEDALEN</t>
        </is>
      </c>
      <c r="F3682" t="inlineStr">
        <is>
          <t>Holmen skog AB</t>
        </is>
      </c>
      <c r="G3682" t="n">
        <v>6.9</v>
      </c>
      <c r="H3682" t="n">
        <v>0</v>
      </c>
      <c r="I3682" t="n">
        <v>0</v>
      </c>
      <c r="J3682" t="n">
        <v>0</v>
      </c>
      <c r="K3682" t="n">
        <v>0</v>
      </c>
      <c r="L3682" t="n">
        <v>0</v>
      </c>
      <c r="M3682" t="n">
        <v>0</v>
      </c>
      <c r="N3682" t="n">
        <v>0</v>
      </c>
      <c r="O3682" t="n">
        <v>0</v>
      </c>
      <c r="P3682" t="n">
        <v>0</v>
      </c>
      <c r="Q3682" t="n">
        <v>0</v>
      </c>
      <c r="R3682" s="2" t="inlineStr"/>
    </row>
    <row r="3683" ht="15" customHeight="1">
      <c r="A3683" t="inlineStr">
        <is>
          <t>A 7268-2021</t>
        </is>
      </c>
      <c r="B3683" s="1" t="n">
        <v>44238</v>
      </c>
      <c r="C3683" s="1" t="n">
        <v>45182</v>
      </c>
      <c r="D3683" t="inlineStr">
        <is>
          <t>JÄMTLANDS LÄN</t>
        </is>
      </c>
      <c r="E3683" t="inlineStr">
        <is>
          <t>STRÖMSUND</t>
        </is>
      </c>
      <c r="G3683" t="n">
        <v>5.2</v>
      </c>
      <c r="H3683" t="n">
        <v>0</v>
      </c>
      <c r="I3683" t="n">
        <v>0</v>
      </c>
      <c r="J3683" t="n">
        <v>0</v>
      </c>
      <c r="K3683" t="n">
        <v>0</v>
      </c>
      <c r="L3683" t="n">
        <v>0</v>
      </c>
      <c r="M3683" t="n">
        <v>0</v>
      </c>
      <c r="N3683" t="n">
        <v>0</v>
      </c>
      <c r="O3683" t="n">
        <v>0</v>
      </c>
      <c r="P3683" t="n">
        <v>0</v>
      </c>
      <c r="Q3683" t="n">
        <v>0</v>
      </c>
      <c r="R3683" s="2" t="inlineStr"/>
    </row>
    <row r="3684" ht="15" customHeight="1">
      <c r="A3684" t="inlineStr">
        <is>
          <t>A 8396-2021</t>
        </is>
      </c>
      <c r="B3684" s="1" t="n">
        <v>44238</v>
      </c>
      <c r="C3684" s="1" t="n">
        <v>45182</v>
      </c>
      <c r="D3684" t="inlineStr">
        <is>
          <t>JÄMTLANDS LÄN</t>
        </is>
      </c>
      <c r="E3684" t="inlineStr">
        <is>
          <t>ÖSTERSUND</t>
        </is>
      </c>
      <c r="G3684" t="n">
        <v>1.1</v>
      </c>
      <c r="H3684" t="n">
        <v>0</v>
      </c>
      <c r="I3684" t="n">
        <v>0</v>
      </c>
      <c r="J3684" t="n">
        <v>0</v>
      </c>
      <c r="K3684" t="n">
        <v>0</v>
      </c>
      <c r="L3684" t="n">
        <v>0</v>
      </c>
      <c r="M3684" t="n">
        <v>0</v>
      </c>
      <c r="N3684" t="n">
        <v>0</v>
      </c>
      <c r="O3684" t="n">
        <v>0</v>
      </c>
      <c r="P3684" t="n">
        <v>0</v>
      </c>
      <c r="Q3684" t="n">
        <v>0</v>
      </c>
      <c r="R3684" s="2" t="inlineStr"/>
    </row>
    <row r="3685" ht="15" customHeight="1">
      <c r="A3685" t="inlineStr">
        <is>
          <t>A 7087-2021</t>
        </is>
      </c>
      <c r="B3685" s="1" t="n">
        <v>44238</v>
      </c>
      <c r="C3685" s="1" t="n">
        <v>45182</v>
      </c>
      <c r="D3685" t="inlineStr">
        <is>
          <t>JÄMTLANDS LÄN</t>
        </is>
      </c>
      <c r="E3685" t="inlineStr">
        <is>
          <t>HÄRJEDALEN</t>
        </is>
      </c>
      <c r="F3685" t="inlineStr">
        <is>
          <t>Holmen skog AB</t>
        </is>
      </c>
      <c r="G3685" t="n">
        <v>14.9</v>
      </c>
      <c r="H3685" t="n">
        <v>0</v>
      </c>
      <c r="I3685" t="n">
        <v>0</v>
      </c>
      <c r="J3685" t="n">
        <v>0</v>
      </c>
      <c r="K3685" t="n">
        <v>0</v>
      </c>
      <c r="L3685" t="n">
        <v>0</v>
      </c>
      <c r="M3685" t="n">
        <v>0</v>
      </c>
      <c r="N3685" t="n">
        <v>0</v>
      </c>
      <c r="O3685" t="n">
        <v>0</v>
      </c>
      <c r="P3685" t="n">
        <v>0</v>
      </c>
      <c r="Q3685" t="n">
        <v>0</v>
      </c>
      <c r="R3685" s="2" t="inlineStr"/>
    </row>
    <row r="3686" ht="15" customHeight="1">
      <c r="A3686" t="inlineStr">
        <is>
          <t>A 7110-2021</t>
        </is>
      </c>
      <c r="B3686" s="1" t="n">
        <v>44238</v>
      </c>
      <c r="C3686" s="1" t="n">
        <v>45182</v>
      </c>
      <c r="D3686" t="inlineStr">
        <is>
          <t>JÄMTLANDS LÄN</t>
        </is>
      </c>
      <c r="E3686" t="inlineStr">
        <is>
          <t>HÄRJEDALEN</t>
        </is>
      </c>
      <c r="F3686" t="inlineStr">
        <is>
          <t>Holmen skog AB</t>
        </is>
      </c>
      <c r="G3686" t="n">
        <v>8.199999999999999</v>
      </c>
      <c r="H3686" t="n">
        <v>0</v>
      </c>
      <c r="I3686" t="n">
        <v>0</v>
      </c>
      <c r="J3686" t="n">
        <v>0</v>
      </c>
      <c r="K3686" t="n">
        <v>0</v>
      </c>
      <c r="L3686" t="n">
        <v>0</v>
      </c>
      <c r="M3686" t="n">
        <v>0</v>
      </c>
      <c r="N3686" t="n">
        <v>0</v>
      </c>
      <c r="O3686" t="n">
        <v>0</v>
      </c>
      <c r="P3686" t="n">
        <v>0</v>
      </c>
      <c r="Q3686" t="n">
        <v>0</v>
      </c>
      <c r="R3686" s="2" t="inlineStr"/>
    </row>
    <row r="3687" ht="15" customHeight="1">
      <c r="A3687" t="inlineStr">
        <is>
          <t>A 7097-2021</t>
        </is>
      </c>
      <c r="B3687" s="1" t="n">
        <v>44238</v>
      </c>
      <c r="C3687" s="1" t="n">
        <v>45182</v>
      </c>
      <c r="D3687" t="inlineStr">
        <is>
          <t>JÄMTLANDS LÄN</t>
        </is>
      </c>
      <c r="E3687" t="inlineStr">
        <is>
          <t>HÄRJEDALEN</t>
        </is>
      </c>
      <c r="F3687" t="inlineStr">
        <is>
          <t>Holmen skog AB</t>
        </is>
      </c>
      <c r="G3687" t="n">
        <v>3.9</v>
      </c>
      <c r="H3687" t="n">
        <v>0</v>
      </c>
      <c r="I3687" t="n">
        <v>0</v>
      </c>
      <c r="J3687" t="n">
        <v>0</v>
      </c>
      <c r="K3687" t="n">
        <v>0</v>
      </c>
      <c r="L3687" t="n">
        <v>0</v>
      </c>
      <c r="M3687" t="n">
        <v>0</v>
      </c>
      <c r="N3687" t="n">
        <v>0</v>
      </c>
      <c r="O3687" t="n">
        <v>0</v>
      </c>
      <c r="P3687" t="n">
        <v>0</v>
      </c>
      <c r="Q3687" t="n">
        <v>0</v>
      </c>
      <c r="R3687" s="2" t="inlineStr"/>
    </row>
    <row r="3688" ht="15" customHeight="1">
      <c r="A3688" t="inlineStr">
        <is>
          <t>A 7112-2021</t>
        </is>
      </c>
      <c r="B3688" s="1" t="n">
        <v>44238</v>
      </c>
      <c r="C3688" s="1" t="n">
        <v>45182</v>
      </c>
      <c r="D3688" t="inlineStr">
        <is>
          <t>JÄMTLANDS LÄN</t>
        </is>
      </c>
      <c r="E3688" t="inlineStr">
        <is>
          <t>HÄRJEDALEN</t>
        </is>
      </c>
      <c r="F3688" t="inlineStr">
        <is>
          <t>Holmen skog AB</t>
        </is>
      </c>
      <c r="G3688" t="n">
        <v>4.7</v>
      </c>
      <c r="H3688" t="n">
        <v>0</v>
      </c>
      <c r="I3688" t="n">
        <v>0</v>
      </c>
      <c r="J3688" t="n">
        <v>0</v>
      </c>
      <c r="K3688" t="n">
        <v>0</v>
      </c>
      <c r="L3688" t="n">
        <v>0</v>
      </c>
      <c r="M3688" t="n">
        <v>0</v>
      </c>
      <c r="N3688" t="n">
        <v>0</v>
      </c>
      <c r="O3688" t="n">
        <v>0</v>
      </c>
      <c r="P3688" t="n">
        <v>0</v>
      </c>
      <c r="Q3688" t="n">
        <v>0</v>
      </c>
      <c r="R3688" s="2" t="inlineStr"/>
    </row>
    <row r="3689" ht="15" customHeight="1">
      <c r="A3689" t="inlineStr">
        <is>
          <t>A 7575-2021</t>
        </is>
      </c>
      <c r="B3689" s="1" t="n">
        <v>44239</v>
      </c>
      <c r="C3689" s="1" t="n">
        <v>45182</v>
      </c>
      <c r="D3689" t="inlineStr">
        <is>
          <t>JÄMTLANDS LÄN</t>
        </is>
      </c>
      <c r="E3689" t="inlineStr">
        <is>
          <t>RAGUNDA</t>
        </is>
      </c>
      <c r="F3689" t="inlineStr">
        <is>
          <t>SCA</t>
        </is>
      </c>
      <c r="G3689" t="n">
        <v>1.9</v>
      </c>
      <c r="H3689" t="n">
        <v>0</v>
      </c>
      <c r="I3689" t="n">
        <v>0</v>
      </c>
      <c r="J3689" t="n">
        <v>0</v>
      </c>
      <c r="K3689" t="n">
        <v>0</v>
      </c>
      <c r="L3689" t="n">
        <v>0</v>
      </c>
      <c r="M3689" t="n">
        <v>0</v>
      </c>
      <c r="N3689" t="n">
        <v>0</v>
      </c>
      <c r="O3689" t="n">
        <v>0</v>
      </c>
      <c r="P3689" t="n">
        <v>0</v>
      </c>
      <c r="Q3689" t="n">
        <v>0</v>
      </c>
      <c r="R3689" s="2" t="inlineStr"/>
    </row>
    <row r="3690" ht="15" customHeight="1">
      <c r="A3690" t="inlineStr">
        <is>
          <t>A 7570-2021</t>
        </is>
      </c>
      <c r="B3690" s="1" t="n">
        <v>44239</v>
      </c>
      <c r="C3690" s="1" t="n">
        <v>45182</v>
      </c>
      <c r="D3690" t="inlineStr">
        <is>
          <t>JÄMTLANDS LÄN</t>
        </is>
      </c>
      <c r="E3690" t="inlineStr">
        <is>
          <t>HÄRJEDALEN</t>
        </is>
      </c>
      <c r="G3690" t="n">
        <v>6.2</v>
      </c>
      <c r="H3690" t="n">
        <v>0</v>
      </c>
      <c r="I3690" t="n">
        <v>0</v>
      </c>
      <c r="J3690" t="n">
        <v>0</v>
      </c>
      <c r="K3690" t="n">
        <v>0</v>
      </c>
      <c r="L3690" t="n">
        <v>0</v>
      </c>
      <c r="M3690" t="n">
        <v>0</v>
      </c>
      <c r="N3690" t="n">
        <v>0</v>
      </c>
      <c r="O3690" t="n">
        <v>0</v>
      </c>
      <c r="P3690" t="n">
        <v>0</v>
      </c>
      <c r="Q3690" t="n">
        <v>0</v>
      </c>
      <c r="R3690" s="2" t="inlineStr"/>
    </row>
    <row r="3691" ht="15" customHeight="1">
      <c r="A3691" t="inlineStr">
        <is>
          <t>A 7697-2021</t>
        </is>
      </c>
      <c r="B3691" s="1" t="n">
        <v>44239</v>
      </c>
      <c r="C3691" s="1" t="n">
        <v>45182</v>
      </c>
      <c r="D3691" t="inlineStr">
        <is>
          <t>JÄMTLANDS LÄN</t>
        </is>
      </c>
      <c r="E3691" t="inlineStr">
        <is>
          <t>STRÖMSUND</t>
        </is>
      </c>
      <c r="G3691" t="n">
        <v>2.7</v>
      </c>
      <c r="H3691" t="n">
        <v>0</v>
      </c>
      <c r="I3691" t="n">
        <v>0</v>
      </c>
      <c r="J3691" t="n">
        <v>0</v>
      </c>
      <c r="K3691" t="n">
        <v>0</v>
      </c>
      <c r="L3691" t="n">
        <v>0</v>
      </c>
      <c r="M3691" t="n">
        <v>0</v>
      </c>
      <c r="N3691" t="n">
        <v>0</v>
      </c>
      <c r="O3691" t="n">
        <v>0</v>
      </c>
      <c r="P3691" t="n">
        <v>0</v>
      </c>
      <c r="Q3691" t="n">
        <v>0</v>
      </c>
      <c r="R3691" s="2" t="inlineStr"/>
    </row>
    <row r="3692" ht="15" customHeight="1">
      <c r="A3692" t="inlineStr">
        <is>
          <t>A 7731-2021</t>
        </is>
      </c>
      <c r="B3692" s="1" t="n">
        <v>44242</v>
      </c>
      <c r="C3692" s="1" t="n">
        <v>45182</v>
      </c>
      <c r="D3692" t="inlineStr">
        <is>
          <t>JÄMTLANDS LÄN</t>
        </is>
      </c>
      <c r="E3692" t="inlineStr">
        <is>
          <t>HÄRJEDALEN</t>
        </is>
      </c>
      <c r="G3692" t="n">
        <v>13.6</v>
      </c>
      <c r="H3692" t="n">
        <v>0</v>
      </c>
      <c r="I3692" t="n">
        <v>0</v>
      </c>
      <c r="J3692" t="n">
        <v>0</v>
      </c>
      <c r="K3692" t="n">
        <v>0</v>
      </c>
      <c r="L3692" t="n">
        <v>0</v>
      </c>
      <c r="M3692" t="n">
        <v>0</v>
      </c>
      <c r="N3692" t="n">
        <v>0</v>
      </c>
      <c r="O3692" t="n">
        <v>0</v>
      </c>
      <c r="P3692" t="n">
        <v>0</v>
      </c>
      <c r="Q3692" t="n">
        <v>0</v>
      </c>
      <c r="R3692" s="2" t="inlineStr"/>
    </row>
    <row r="3693" ht="15" customHeight="1">
      <c r="A3693" t="inlineStr">
        <is>
          <t>A 7886-2021</t>
        </is>
      </c>
      <c r="B3693" s="1" t="n">
        <v>44242</v>
      </c>
      <c r="C3693" s="1" t="n">
        <v>45182</v>
      </c>
      <c r="D3693" t="inlineStr">
        <is>
          <t>JÄMTLANDS LÄN</t>
        </is>
      </c>
      <c r="E3693" t="inlineStr">
        <is>
          <t>RAGUNDA</t>
        </is>
      </c>
      <c r="F3693" t="inlineStr">
        <is>
          <t>SCA</t>
        </is>
      </c>
      <c r="G3693" t="n">
        <v>3.7</v>
      </c>
      <c r="H3693" t="n">
        <v>0</v>
      </c>
      <c r="I3693" t="n">
        <v>0</v>
      </c>
      <c r="J3693" t="n">
        <v>0</v>
      </c>
      <c r="K3693" t="n">
        <v>0</v>
      </c>
      <c r="L3693" t="n">
        <v>0</v>
      </c>
      <c r="M3693" t="n">
        <v>0</v>
      </c>
      <c r="N3693" t="n">
        <v>0</v>
      </c>
      <c r="O3693" t="n">
        <v>0</v>
      </c>
      <c r="P3693" t="n">
        <v>0</v>
      </c>
      <c r="Q3693" t="n">
        <v>0</v>
      </c>
      <c r="R3693" s="2" t="inlineStr"/>
    </row>
    <row r="3694" ht="15" customHeight="1">
      <c r="A3694" t="inlineStr">
        <is>
          <t>A 8154-2021</t>
        </is>
      </c>
      <c r="B3694" s="1" t="n">
        <v>44243</v>
      </c>
      <c r="C3694" s="1" t="n">
        <v>45182</v>
      </c>
      <c r="D3694" t="inlineStr">
        <is>
          <t>JÄMTLANDS LÄN</t>
        </is>
      </c>
      <c r="E3694" t="inlineStr">
        <is>
          <t>KROKOM</t>
        </is>
      </c>
      <c r="G3694" t="n">
        <v>0.5</v>
      </c>
      <c r="H3694" t="n">
        <v>0</v>
      </c>
      <c r="I3694" t="n">
        <v>0</v>
      </c>
      <c r="J3694" t="n">
        <v>0</v>
      </c>
      <c r="K3694" t="n">
        <v>0</v>
      </c>
      <c r="L3694" t="n">
        <v>0</v>
      </c>
      <c r="M3694" t="n">
        <v>0</v>
      </c>
      <c r="N3694" t="n">
        <v>0</v>
      </c>
      <c r="O3694" t="n">
        <v>0</v>
      </c>
      <c r="P3694" t="n">
        <v>0</v>
      </c>
      <c r="Q3694" t="n">
        <v>0</v>
      </c>
      <c r="R3694" s="2" t="inlineStr"/>
    </row>
    <row r="3695" ht="15" customHeight="1">
      <c r="A3695" t="inlineStr">
        <is>
          <t>A 8016-2021</t>
        </is>
      </c>
      <c r="B3695" s="1" t="n">
        <v>44243</v>
      </c>
      <c r="C3695" s="1" t="n">
        <v>45182</v>
      </c>
      <c r="D3695" t="inlineStr">
        <is>
          <t>JÄMTLANDS LÄN</t>
        </is>
      </c>
      <c r="E3695" t="inlineStr">
        <is>
          <t>STRÖMSUND</t>
        </is>
      </c>
      <c r="G3695" t="n">
        <v>2.8</v>
      </c>
      <c r="H3695" t="n">
        <v>0</v>
      </c>
      <c r="I3695" t="n">
        <v>0</v>
      </c>
      <c r="J3695" t="n">
        <v>0</v>
      </c>
      <c r="K3695" t="n">
        <v>0</v>
      </c>
      <c r="L3695" t="n">
        <v>0</v>
      </c>
      <c r="M3695" t="n">
        <v>0</v>
      </c>
      <c r="N3695" t="n">
        <v>0</v>
      </c>
      <c r="O3695" t="n">
        <v>0</v>
      </c>
      <c r="P3695" t="n">
        <v>0</v>
      </c>
      <c r="Q3695" t="n">
        <v>0</v>
      </c>
      <c r="R3695" s="2" t="inlineStr"/>
    </row>
    <row r="3696" ht="15" customHeight="1">
      <c r="A3696" t="inlineStr">
        <is>
          <t>A 8020-2021</t>
        </is>
      </c>
      <c r="B3696" s="1" t="n">
        <v>44243</v>
      </c>
      <c r="C3696" s="1" t="n">
        <v>45182</v>
      </c>
      <c r="D3696" t="inlineStr">
        <is>
          <t>JÄMTLANDS LÄN</t>
        </is>
      </c>
      <c r="E3696" t="inlineStr">
        <is>
          <t>STRÖMSUND</t>
        </is>
      </c>
      <c r="G3696" t="n">
        <v>2.7</v>
      </c>
      <c r="H3696" t="n">
        <v>0</v>
      </c>
      <c r="I3696" t="n">
        <v>0</v>
      </c>
      <c r="J3696" t="n">
        <v>0</v>
      </c>
      <c r="K3696" t="n">
        <v>0</v>
      </c>
      <c r="L3696" t="n">
        <v>0</v>
      </c>
      <c r="M3696" t="n">
        <v>0</v>
      </c>
      <c r="N3696" t="n">
        <v>0</v>
      </c>
      <c r="O3696" t="n">
        <v>0</v>
      </c>
      <c r="P3696" t="n">
        <v>0</v>
      </c>
      <c r="Q3696" t="n">
        <v>0</v>
      </c>
      <c r="R3696" s="2" t="inlineStr"/>
    </row>
    <row r="3697" ht="15" customHeight="1">
      <c r="A3697" t="inlineStr">
        <is>
          <t>A 8033-2021</t>
        </is>
      </c>
      <c r="B3697" s="1" t="n">
        <v>44243</v>
      </c>
      <c r="C3697" s="1" t="n">
        <v>45182</v>
      </c>
      <c r="D3697" t="inlineStr">
        <is>
          <t>JÄMTLANDS LÄN</t>
        </is>
      </c>
      <c r="E3697" t="inlineStr">
        <is>
          <t>RAGUNDA</t>
        </is>
      </c>
      <c r="G3697" t="n">
        <v>2.4</v>
      </c>
      <c r="H3697" t="n">
        <v>0</v>
      </c>
      <c r="I3697" t="n">
        <v>0</v>
      </c>
      <c r="J3697" t="n">
        <v>0</v>
      </c>
      <c r="K3697" t="n">
        <v>0</v>
      </c>
      <c r="L3697" t="n">
        <v>0</v>
      </c>
      <c r="M3697" t="n">
        <v>0</v>
      </c>
      <c r="N3697" t="n">
        <v>0</v>
      </c>
      <c r="O3697" t="n">
        <v>0</v>
      </c>
      <c r="P3697" t="n">
        <v>0</v>
      </c>
      <c r="Q3697" t="n">
        <v>0</v>
      </c>
      <c r="R3697" s="2" t="inlineStr"/>
    </row>
    <row r="3698" ht="15" customHeight="1">
      <c r="A3698" t="inlineStr">
        <is>
          <t>A 8294-2021</t>
        </is>
      </c>
      <c r="B3698" s="1" t="n">
        <v>44243</v>
      </c>
      <c r="C3698" s="1" t="n">
        <v>45182</v>
      </c>
      <c r="D3698" t="inlineStr">
        <is>
          <t>JÄMTLANDS LÄN</t>
        </is>
      </c>
      <c r="E3698" t="inlineStr">
        <is>
          <t>ÅRE</t>
        </is>
      </c>
      <c r="G3698" t="n">
        <v>16.5</v>
      </c>
      <c r="H3698" t="n">
        <v>0</v>
      </c>
      <c r="I3698" t="n">
        <v>0</v>
      </c>
      <c r="J3698" t="n">
        <v>0</v>
      </c>
      <c r="K3698" t="n">
        <v>0</v>
      </c>
      <c r="L3698" t="n">
        <v>0</v>
      </c>
      <c r="M3698" t="n">
        <v>0</v>
      </c>
      <c r="N3698" t="n">
        <v>0</v>
      </c>
      <c r="O3698" t="n">
        <v>0</v>
      </c>
      <c r="P3698" t="n">
        <v>0</v>
      </c>
      <c r="Q3698" t="n">
        <v>0</v>
      </c>
      <c r="R3698" s="2" t="inlineStr"/>
    </row>
    <row r="3699" ht="15" customHeight="1">
      <c r="A3699" t="inlineStr">
        <is>
          <t>A 8217-2021</t>
        </is>
      </c>
      <c r="B3699" s="1" t="n">
        <v>44244</v>
      </c>
      <c r="C3699" s="1" t="n">
        <v>45182</v>
      </c>
      <c r="D3699" t="inlineStr">
        <is>
          <t>JÄMTLANDS LÄN</t>
        </is>
      </c>
      <c r="E3699" t="inlineStr">
        <is>
          <t>ÅRE</t>
        </is>
      </c>
      <c r="G3699" t="n">
        <v>51.8</v>
      </c>
      <c r="H3699" t="n">
        <v>0</v>
      </c>
      <c r="I3699" t="n">
        <v>0</v>
      </c>
      <c r="J3699" t="n">
        <v>0</v>
      </c>
      <c r="K3699" t="n">
        <v>0</v>
      </c>
      <c r="L3699" t="n">
        <v>0</v>
      </c>
      <c r="M3699" t="n">
        <v>0</v>
      </c>
      <c r="N3699" t="n">
        <v>0</v>
      </c>
      <c r="O3699" t="n">
        <v>0</v>
      </c>
      <c r="P3699" t="n">
        <v>0</v>
      </c>
      <c r="Q3699" t="n">
        <v>0</v>
      </c>
      <c r="R3699" s="2" t="inlineStr"/>
    </row>
    <row r="3700" ht="15" customHeight="1">
      <c r="A3700" t="inlineStr">
        <is>
          <t>A 8302-2021</t>
        </is>
      </c>
      <c r="B3700" s="1" t="n">
        <v>44244</v>
      </c>
      <c r="C3700" s="1" t="n">
        <v>45182</v>
      </c>
      <c r="D3700" t="inlineStr">
        <is>
          <t>JÄMTLANDS LÄN</t>
        </is>
      </c>
      <c r="E3700" t="inlineStr">
        <is>
          <t>KROKOM</t>
        </is>
      </c>
      <c r="G3700" t="n">
        <v>2.1</v>
      </c>
      <c r="H3700" t="n">
        <v>0</v>
      </c>
      <c r="I3700" t="n">
        <v>0</v>
      </c>
      <c r="J3700" t="n">
        <v>0</v>
      </c>
      <c r="K3700" t="n">
        <v>0</v>
      </c>
      <c r="L3700" t="n">
        <v>0</v>
      </c>
      <c r="M3700" t="n">
        <v>0</v>
      </c>
      <c r="N3700" t="n">
        <v>0</v>
      </c>
      <c r="O3700" t="n">
        <v>0</v>
      </c>
      <c r="P3700" t="n">
        <v>0</v>
      </c>
      <c r="Q3700" t="n">
        <v>0</v>
      </c>
      <c r="R3700" s="2" t="inlineStr"/>
    </row>
    <row r="3701" ht="15" customHeight="1">
      <c r="A3701" t="inlineStr">
        <is>
          <t>A 8364-2021</t>
        </is>
      </c>
      <c r="B3701" s="1" t="n">
        <v>44244</v>
      </c>
      <c r="C3701" s="1" t="n">
        <v>45182</v>
      </c>
      <c r="D3701" t="inlineStr">
        <is>
          <t>JÄMTLANDS LÄN</t>
        </is>
      </c>
      <c r="E3701" t="inlineStr">
        <is>
          <t>STRÖMSUND</t>
        </is>
      </c>
      <c r="G3701" t="n">
        <v>1</v>
      </c>
      <c r="H3701" t="n">
        <v>0</v>
      </c>
      <c r="I3701" t="n">
        <v>0</v>
      </c>
      <c r="J3701" t="n">
        <v>0</v>
      </c>
      <c r="K3701" t="n">
        <v>0</v>
      </c>
      <c r="L3701" t="n">
        <v>0</v>
      </c>
      <c r="M3701" t="n">
        <v>0</v>
      </c>
      <c r="N3701" t="n">
        <v>0</v>
      </c>
      <c r="O3701" t="n">
        <v>0</v>
      </c>
      <c r="P3701" t="n">
        <v>0</v>
      </c>
      <c r="Q3701" t="n">
        <v>0</v>
      </c>
      <c r="R3701" s="2" t="inlineStr"/>
    </row>
    <row r="3702" ht="15" customHeight="1">
      <c r="A3702" t="inlineStr">
        <is>
          <t>A 8639-2021</t>
        </is>
      </c>
      <c r="B3702" s="1" t="n">
        <v>44245</v>
      </c>
      <c r="C3702" s="1" t="n">
        <v>45182</v>
      </c>
      <c r="D3702" t="inlineStr">
        <is>
          <t>JÄMTLANDS LÄN</t>
        </is>
      </c>
      <c r="E3702" t="inlineStr">
        <is>
          <t>BERG</t>
        </is>
      </c>
      <c r="F3702" t="inlineStr">
        <is>
          <t>Naturvårdsverket</t>
        </is>
      </c>
      <c r="G3702" t="n">
        <v>1.5</v>
      </c>
      <c r="H3702" t="n">
        <v>0</v>
      </c>
      <c r="I3702" t="n">
        <v>0</v>
      </c>
      <c r="J3702" t="n">
        <v>0</v>
      </c>
      <c r="K3702" t="n">
        <v>0</v>
      </c>
      <c r="L3702" t="n">
        <v>0</v>
      </c>
      <c r="M3702" t="n">
        <v>0</v>
      </c>
      <c r="N3702" t="n">
        <v>0</v>
      </c>
      <c r="O3702" t="n">
        <v>0</v>
      </c>
      <c r="P3702" t="n">
        <v>0</v>
      </c>
      <c r="Q3702" t="n">
        <v>0</v>
      </c>
      <c r="R3702" s="2" t="inlineStr"/>
    </row>
    <row r="3703" ht="15" customHeight="1">
      <c r="A3703" t="inlineStr">
        <is>
          <t>A 8626-2021</t>
        </is>
      </c>
      <c r="B3703" s="1" t="n">
        <v>44245</v>
      </c>
      <c r="C3703" s="1" t="n">
        <v>45182</v>
      </c>
      <c r="D3703" t="inlineStr">
        <is>
          <t>JÄMTLANDS LÄN</t>
        </is>
      </c>
      <c r="E3703" t="inlineStr">
        <is>
          <t>RAGUNDA</t>
        </is>
      </c>
      <c r="G3703" t="n">
        <v>3.3</v>
      </c>
      <c r="H3703" t="n">
        <v>0</v>
      </c>
      <c r="I3703" t="n">
        <v>0</v>
      </c>
      <c r="J3703" t="n">
        <v>0</v>
      </c>
      <c r="K3703" t="n">
        <v>0</v>
      </c>
      <c r="L3703" t="n">
        <v>0</v>
      </c>
      <c r="M3703" t="n">
        <v>0</v>
      </c>
      <c r="N3703" t="n">
        <v>0</v>
      </c>
      <c r="O3703" t="n">
        <v>0</v>
      </c>
      <c r="P3703" t="n">
        <v>0</v>
      </c>
      <c r="Q3703" t="n">
        <v>0</v>
      </c>
      <c r="R3703" s="2" t="inlineStr"/>
    </row>
    <row r="3704" ht="15" customHeight="1">
      <c r="A3704" t="inlineStr">
        <is>
          <t>A 8979-2021</t>
        </is>
      </c>
      <c r="B3704" s="1" t="n">
        <v>44246</v>
      </c>
      <c r="C3704" s="1" t="n">
        <v>45182</v>
      </c>
      <c r="D3704" t="inlineStr">
        <is>
          <t>JÄMTLANDS LÄN</t>
        </is>
      </c>
      <c r="E3704" t="inlineStr">
        <is>
          <t>STRÖMSUND</t>
        </is>
      </c>
      <c r="G3704" t="n">
        <v>40.4</v>
      </c>
      <c r="H3704" t="n">
        <v>0</v>
      </c>
      <c r="I3704" t="n">
        <v>0</v>
      </c>
      <c r="J3704" t="n">
        <v>0</v>
      </c>
      <c r="K3704" t="n">
        <v>0</v>
      </c>
      <c r="L3704" t="n">
        <v>0</v>
      </c>
      <c r="M3704" t="n">
        <v>0</v>
      </c>
      <c r="N3704" t="n">
        <v>0</v>
      </c>
      <c r="O3704" t="n">
        <v>0</v>
      </c>
      <c r="P3704" t="n">
        <v>0</v>
      </c>
      <c r="Q3704" t="n">
        <v>0</v>
      </c>
      <c r="R3704" s="2" t="inlineStr"/>
    </row>
    <row r="3705" ht="15" customHeight="1">
      <c r="A3705" t="inlineStr">
        <is>
          <t>A 8668-2021</t>
        </is>
      </c>
      <c r="B3705" s="1" t="n">
        <v>44246</v>
      </c>
      <c r="C3705" s="1" t="n">
        <v>45182</v>
      </c>
      <c r="D3705" t="inlineStr">
        <is>
          <t>JÄMTLANDS LÄN</t>
        </is>
      </c>
      <c r="E3705" t="inlineStr">
        <is>
          <t>ÅRE</t>
        </is>
      </c>
      <c r="G3705" t="n">
        <v>19.5</v>
      </c>
      <c r="H3705" t="n">
        <v>0</v>
      </c>
      <c r="I3705" t="n">
        <v>0</v>
      </c>
      <c r="J3705" t="n">
        <v>0</v>
      </c>
      <c r="K3705" t="n">
        <v>0</v>
      </c>
      <c r="L3705" t="n">
        <v>0</v>
      </c>
      <c r="M3705" t="n">
        <v>0</v>
      </c>
      <c r="N3705" t="n">
        <v>0</v>
      </c>
      <c r="O3705" t="n">
        <v>0</v>
      </c>
      <c r="P3705" t="n">
        <v>0</v>
      </c>
      <c r="Q3705" t="n">
        <v>0</v>
      </c>
      <c r="R3705" s="2" t="inlineStr"/>
    </row>
    <row r="3706" ht="15" customHeight="1">
      <c r="A3706" t="inlineStr">
        <is>
          <t>A 9470-2021</t>
        </is>
      </c>
      <c r="B3706" s="1" t="n">
        <v>44251</v>
      </c>
      <c r="C3706" s="1" t="n">
        <v>45182</v>
      </c>
      <c r="D3706" t="inlineStr">
        <is>
          <t>JÄMTLANDS LÄN</t>
        </is>
      </c>
      <c r="E3706" t="inlineStr">
        <is>
          <t>HÄRJEDALEN</t>
        </is>
      </c>
      <c r="G3706" t="n">
        <v>12.4</v>
      </c>
      <c r="H3706" t="n">
        <v>0</v>
      </c>
      <c r="I3706" t="n">
        <v>0</v>
      </c>
      <c r="J3706" t="n">
        <v>0</v>
      </c>
      <c r="K3706" t="n">
        <v>0</v>
      </c>
      <c r="L3706" t="n">
        <v>0</v>
      </c>
      <c r="M3706" t="n">
        <v>0</v>
      </c>
      <c r="N3706" t="n">
        <v>0</v>
      </c>
      <c r="O3706" t="n">
        <v>0</v>
      </c>
      <c r="P3706" t="n">
        <v>0</v>
      </c>
      <c r="Q3706" t="n">
        <v>0</v>
      </c>
      <c r="R3706" s="2" t="inlineStr"/>
    </row>
    <row r="3707" ht="15" customHeight="1">
      <c r="A3707" t="inlineStr">
        <is>
          <t>A 9613-2021</t>
        </is>
      </c>
      <c r="B3707" s="1" t="n">
        <v>44251</v>
      </c>
      <c r="C3707" s="1" t="n">
        <v>45182</v>
      </c>
      <c r="D3707" t="inlineStr">
        <is>
          <t>JÄMTLANDS LÄN</t>
        </is>
      </c>
      <c r="E3707" t="inlineStr">
        <is>
          <t>ÅRE</t>
        </is>
      </c>
      <c r="G3707" t="n">
        <v>2</v>
      </c>
      <c r="H3707" t="n">
        <v>0</v>
      </c>
      <c r="I3707" t="n">
        <v>0</v>
      </c>
      <c r="J3707" t="n">
        <v>0</v>
      </c>
      <c r="K3707" t="n">
        <v>0</v>
      </c>
      <c r="L3707" t="n">
        <v>0</v>
      </c>
      <c r="M3707" t="n">
        <v>0</v>
      </c>
      <c r="N3707" t="n">
        <v>0</v>
      </c>
      <c r="O3707" t="n">
        <v>0</v>
      </c>
      <c r="P3707" t="n">
        <v>0</v>
      </c>
      <c r="Q3707" t="n">
        <v>0</v>
      </c>
      <c r="R3707" s="2" t="inlineStr"/>
    </row>
    <row r="3708" ht="15" customHeight="1">
      <c r="A3708" t="inlineStr">
        <is>
          <t>A 9710-2021</t>
        </is>
      </c>
      <c r="B3708" s="1" t="n">
        <v>44252</v>
      </c>
      <c r="C3708" s="1" t="n">
        <v>45182</v>
      </c>
      <c r="D3708" t="inlineStr">
        <is>
          <t>JÄMTLANDS LÄN</t>
        </is>
      </c>
      <c r="E3708" t="inlineStr">
        <is>
          <t>STRÖMSUND</t>
        </is>
      </c>
      <c r="G3708" t="n">
        <v>18.5</v>
      </c>
      <c r="H3708" t="n">
        <v>0</v>
      </c>
      <c r="I3708" t="n">
        <v>0</v>
      </c>
      <c r="J3708" t="n">
        <v>0</v>
      </c>
      <c r="K3708" t="n">
        <v>0</v>
      </c>
      <c r="L3708" t="n">
        <v>0</v>
      </c>
      <c r="M3708" t="n">
        <v>0</v>
      </c>
      <c r="N3708" t="n">
        <v>0</v>
      </c>
      <c r="O3708" t="n">
        <v>0</v>
      </c>
      <c r="P3708" t="n">
        <v>0</v>
      </c>
      <c r="Q3708" t="n">
        <v>0</v>
      </c>
      <c r="R3708" s="2" t="inlineStr"/>
    </row>
    <row r="3709" ht="15" customHeight="1">
      <c r="A3709" t="inlineStr">
        <is>
          <t>A 9777-2021</t>
        </is>
      </c>
      <c r="B3709" s="1" t="n">
        <v>44252</v>
      </c>
      <c r="C3709" s="1" t="n">
        <v>45182</v>
      </c>
      <c r="D3709" t="inlineStr">
        <is>
          <t>JÄMTLANDS LÄN</t>
        </is>
      </c>
      <c r="E3709" t="inlineStr">
        <is>
          <t>ÅRE</t>
        </is>
      </c>
      <c r="G3709" t="n">
        <v>4.2</v>
      </c>
      <c r="H3709" t="n">
        <v>0</v>
      </c>
      <c r="I3709" t="n">
        <v>0</v>
      </c>
      <c r="J3709" t="n">
        <v>0</v>
      </c>
      <c r="K3709" t="n">
        <v>0</v>
      </c>
      <c r="L3709" t="n">
        <v>0</v>
      </c>
      <c r="M3709" t="n">
        <v>0</v>
      </c>
      <c r="N3709" t="n">
        <v>0</v>
      </c>
      <c r="O3709" t="n">
        <v>0</v>
      </c>
      <c r="P3709" t="n">
        <v>0</v>
      </c>
      <c r="Q3709" t="n">
        <v>0</v>
      </c>
      <c r="R3709" s="2" t="inlineStr"/>
    </row>
    <row r="3710" ht="15" customHeight="1">
      <c r="A3710" t="inlineStr">
        <is>
          <t>A 9920-2021</t>
        </is>
      </c>
      <c r="B3710" s="1" t="n">
        <v>44253</v>
      </c>
      <c r="C3710" s="1" t="n">
        <v>45182</v>
      </c>
      <c r="D3710" t="inlineStr">
        <is>
          <t>JÄMTLANDS LÄN</t>
        </is>
      </c>
      <c r="E3710" t="inlineStr">
        <is>
          <t>BERG</t>
        </is>
      </c>
      <c r="G3710" t="n">
        <v>3.5</v>
      </c>
      <c r="H3710" t="n">
        <v>0</v>
      </c>
      <c r="I3710" t="n">
        <v>0</v>
      </c>
      <c r="J3710" t="n">
        <v>0</v>
      </c>
      <c r="K3710" t="n">
        <v>0</v>
      </c>
      <c r="L3710" t="n">
        <v>0</v>
      </c>
      <c r="M3710" t="n">
        <v>0</v>
      </c>
      <c r="N3710" t="n">
        <v>0</v>
      </c>
      <c r="O3710" t="n">
        <v>0</v>
      </c>
      <c r="P3710" t="n">
        <v>0</v>
      </c>
      <c r="Q3710" t="n">
        <v>0</v>
      </c>
      <c r="R3710" s="2" t="inlineStr"/>
    </row>
    <row r="3711" ht="15" customHeight="1">
      <c r="A3711" t="inlineStr">
        <is>
          <t>A 9994-2021</t>
        </is>
      </c>
      <c r="B3711" s="1" t="n">
        <v>44254</v>
      </c>
      <c r="C3711" s="1" t="n">
        <v>45182</v>
      </c>
      <c r="D3711" t="inlineStr">
        <is>
          <t>JÄMTLANDS LÄN</t>
        </is>
      </c>
      <c r="E3711" t="inlineStr">
        <is>
          <t>BRÄCKE</t>
        </is>
      </c>
      <c r="F3711" t="inlineStr">
        <is>
          <t>SCA</t>
        </is>
      </c>
      <c r="G3711" t="n">
        <v>2.3</v>
      </c>
      <c r="H3711" t="n">
        <v>0</v>
      </c>
      <c r="I3711" t="n">
        <v>0</v>
      </c>
      <c r="J3711" t="n">
        <v>0</v>
      </c>
      <c r="K3711" t="n">
        <v>0</v>
      </c>
      <c r="L3711" t="n">
        <v>0</v>
      </c>
      <c r="M3711" t="n">
        <v>0</v>
      </c>
      <c r="N3711" t="n">
        <v>0</v>
      </c>
      <c r="O3711" t="n">
        <v>0</v>
      </c>
      <c r="P3711" t="n">
        <v>0</v>
      </c>
      <c r="Q3711" t="n">
        <v>0</v>
      </c>
      <c r="R3711" s="2" t="inlineStr"/>
    </row>
    <row r="3712" ht="15" customHeight="1">
      <c r="A3712" t="inlineStr">
        <is>
          <t>A 10008-2021</t>
        </is>
      </c>
      <c r="B3712" s="1" t="n">
        <v>44255</v>
      </c>
      <c r="C3712" s="1" t="n">
        <v>45182</v>
      </c>
      <c r="D3712" t="inlineStr">
        <is>
          <t>JÄMTLANDS LÄN</t>
        </is>
      </c>
      <c r="E3712" t="inlineStr">
        <is>
          <t>KROKOM</t>
        </is>
      </c>
      <c r="G3712" t="n">
        <v>0.3</v>
      </c>
      <c r="H3712" t="n">
        <v>0</v>
      </c>
      <c r="I3712" t="n">
        <v>0</v>
      </c>
      <c r="J3712" t="n">
        <v>0</v>
      </c>
      <c r="K3712" t="n">
        <v>0</v>
      </c>
      <c r="L3712" t="n">
        <v>0</v>
      </c>
      <c r="M3712" t="n">
        <v>0</v>
      </c>
      <c r="N3712" t="n">
        <v>0</v>
      </c>
      <c r="O3712" t="n">
        <v>0</v>
      </c>
      <c r="P3712" t="n">
        <v>0</v>
      </c>
      <c r="Q3712" t="n">
        <v>0</v>
      </c>
      <c r="R3712" s="2" t="inlineStr"/>
    </row>
    <row r="3713" ht="15" customHeight="1">
      <c r="A3713" t="inlineStr">
        <is>
          <t>A 10191-2021</t>
        </is>
      </c>
      <c r="B3713" s="1" t="n">
        <v>44256</v>
      </c>
      <c r="C3713" s="1" t="n">
        <v>45182</v>
      </c>
      <c r="D3713" t="inlineStr">
        <is>
          <t>JÄMTLANDS LÄN</t>
        </is>
      </c>
      <c r="E3713" t="inlineStr">
        <is>
          <t>ÅRE</t>
        </is>
      </c>
      <c r="G3713" t="n">
        <v>2.3</v>
      </c>
      <c r="H3713" t="n">
        <v>0</v>
      </c>
      <c r="I3713" t="n">
        <v>0</v>
      </c>
      <c r="J3713" t="n">
        <v>0</v>
      </c>
      <c r="K3713" t="n">
        <v>0</v>
      </c>
      <c r="L3713" t="n">
        <v>0</v>
      </c>
      <c r="M3713" t="n">
        <v>0</v>
      </c>
      <c r="N3713" t="n">
        <v>0</v>
      </c>
      <c r="O3713" t="n">
        <v>0</v>
      </c>
      <c r="P3713" t="n">
        <v>0</v>
      </c>
      <c r="Q3713" t="n">
        <v>0</v>
      </c>
      <c r="R3713" s="2" t="inlineStr"/>
    </row>
    <row r="3714" ht="15" customHeight="1">
      <c r="A3714" t="inlineStr">
        <is>
          <t>A 10303-2021</t>
        </is>
      </c>
      <c r="B3714" s="1" t="n">
        <v>44256</v>
      </c>
      <c r="C3714" s="1" t="n">
        <v>45182</v>
      </c>
      <c r="D3714" t="inlineStr">
        <is>
          <t>JÄMTLANDS LÄN</t>
        </is>
      </c>
      <c r="E3714" t="inlineStr">
        <is>
          <t>KROKOM</t>
        </is>
      </c>
      <c r="G3714" t="n">
        <v>1.1</v>
      </c>
      <c r="H3714" t="n">
        <v>0</v>
      </c>
      <c r="I3714" t="n">
        <v>0</v>
      </c>
      <c r="J3714" t="n">
        <v>0</v>
      </c>
      <c r="K3714" t="n">
        <v>0</v>
      </c>
      <c r="L3714" t="n">
        <v>0</v>
      </c>
      <c r="M3714" t="n">
        <v>0</v>
      </c>
      <c r="N3714" t="n">
        <v>0</v>
      </c>
      <c r="O3714" t="n">
        <v>0</v>
      </c>
      <c r="P3714" t="n">
        <v>0</v>
      </c>
      <c r="Q3714" t="n">
        <v>0</v>
      </c>
      <c r="R3714" s="2" t="inlineStr"/>
    </row>
    <row r="3715" ht="15" customHeight="1">
      <c r="A3715" t="inlineStr">
        <is>
          <t>A 10283-2021</t>
        </is>
      </c>
      <c r="B3715" s="1" t="n">
        <v>44257</v>
      </c>
      <c r="C3715" s="1" t="n">
        <v>45182</v>
      </c>
      <c r="D3715" t="inlineStr">
        <is>
          <t>JÄMTLANDS LÄN</t>
        </is>
      </c>
      <c r="E3715" t="inlineStr">
        <is>
          <t>ÅRE</t>
        </is>
      </c>
      <c r="G3715" t="n">
        <v>6.2</v>
      </c>
      <c r="H3715" t="n">
        <v>0</v>
      </c>
      <c r="I3715" t="n">
        <v>0</v>
      </c>
      <c r="J3715" t="n">
        <v>0</v>
      </c>
      <c r="K3715" t="n">
        <v>0</v>
      </c>
      <c r="L3715" t="n">
        <v>0</v>
      </c>
      <c r="M3715" t="n">
        <v>0</v>
      </c>
      <c r="N3715" t="n">
        <v>0</v>
      </c>
      <c r="O3715" t="n">
        <v>0</v>
      </c>
      <c r="P3715" t="n">
        <v>0</v>
      </c>
      <c r="Q3715" t="n">
        <v>0</v>
      </c>
      <c r="R3715" s="2" t="inlineStr"/>
    </row>
    <row r="3716" ht="15" customHeight="1">
      <c r="A3716" t="inlineStr">
        <is>
          <t>A 10285-2021</t>
        </is>
      </c>
      <c r="B3716" s="1" t="n">
        <v>44257</v>
      </c>
      <c r="C3716" s="1" t="n">
        <v>45182</v>
      </c>
      <c r="D3716" t="inlineStr">
        <is>
          <t>JÄMTLANDS LÄN</t>
        </is>
      </c>
      <c r="E3716" t="inlineStr">
        <is>
          <t>ÅRE</t>
        </is>
      </c>
      <c r="G3716" t="n">
        <v>2.9</v>
      </c>
      <c r="H3716" t="n">
        <v>0</v>
      </c>
      <c r="I3716" t="n">
        <v>0</v>
      </c>
      <c r="J3716" t="n">
        <v>0</v>
      </c>
      <c r="K3716" t="n">
        <v>0</v>
      </c>
      <c r="L3716" t="n">
        <v>0</v>
      </c>
      <c r="M3716" t="n">
        <v>0</v>
      </c>
      <c r="N3716" t="n">
        <v>0</v>
      </c>
      <c r="O3716" t="n">
        <v>0</v>
      </c>
      <c r="P3716" t="n">
        <v>0</v>
      </c>
      <c r="Q3716" t="n">
        <v>0</v>
      </c>
      <c r="R3716" s="2" t="inlineStr"/>
    </row>
    <row r="3717" ht="15" customHeight="1">
      <c r="A3717" t="inlineStr">
        <is>
          <t>A 10528-2021</t>
        </is>
      </c>
      <c r="B3717" s="1" t="n">
        <v>44257</v>
      </c>
      <c r="C3717" s="1" t="n">
        <v>45182</v>
      </c>
      <c r="D3717" t="inlineStr">
        <is>
          <t>JÄMTLANDS LÄN</t>
        </is>
      </c>
      <c r="E3717" t="inlineStr">
        <is>
          <t>STRÖMSUND</t>
        </is>
      </c>
      <c r="G3717" t="n">
        <v>12.8</v>
      </c>
      <c r="H3717" t="n">
        <v>0</v>
      </c>
      <c r="I3717" t="n">
        <v>0</v>
      </c>
      <c r="J3717" t="n">
        <v>0</v>
      </c>
      <c r="K3717" t="n">
        <v>0</v>
      </c>
      <c r="L3717" t="n">
        <v>0</v>
      </c>
      <c r="M3717" t="n">
        <v>0</v>
      </c>
      <c r="N3717" t="n">
        <v>0</v>
      </c>
      <c r="O3717" t="n">
        <v>0</v>
      </c>
      <c r="P3717" t="n">
        <v>0</v>
      </c>
      <c r="Q3717" t="n">
        <v>0</v>
      </c>
      <c r="R3717" s="2" t="inlineStr"/>
    </row>
    <row r="3718" ht="15" customHeight="1">
      <c r="A3718" t="inlineStr">
        <is>
          <t>A 10536-2021</t>
        </is>
      </c>
      <c r="B3718" s="1" t="n">
        <v>44258</v>
      </c>
      <c r="C3718" s="1" t="n">
        <v>45182</v>
      </c>
      <c r="D3718" t="inlineStr">
        <is>
          <t>JÄMTLANDS LÄN</t>
        </is>
      </c>
      <c r="E3718" t="inlineStr">
        <is>
          <t>HÄRJEDALEN</t>
        </is>
      </c>
      <c r="G3718" t="n">
        <v>18.7</v>
      </c>
      <c r="H3718" t="n">
        <v>0</v>
      </c>
      <c r="I3718" t="n">
        <v>0</v>
      </c>
      <c r="J3718" t="n">
        <v>0</v>
      </c>
      <c r="K3718" t="n">
        <v>0</v>
      </c>
      <c r="L3718" t="n">
        <v>0</v>
      </c>
      <c r="M3718" t="n">
        <v>0</v>
      </c>
      <c r="N3718" t="n">
        <v>0</v>
      </c>
      <c r="O3718" t="n">
        <v>0</v>
      </c>
      <c r="P3718" t="n">
        <v>0</v>
      </c>
      <c r="Q3718" t="n">
        <v>0</v>
      </c>
      <c r="R3718" s="2" t="inlineStr"/>
    </row>
    <row r="3719" ht="15" customHeight="1">
      <c r="A3719" t="inlineStr">
        <is>
          <t>A 10590-2021</t>
        </is>
      </c>
      <c r="B3719" s="1" t="n">
        <v>44258</v>
      </c>
      <c r="C3719" s="1" t="n">
        <v>45182</v>
      </c>
      <c r="D3719" t="inlineStr">
        <is>
          <t>JÄMTLANDS LÄN</t>
        </is>
      </c>
      <c r="E3719" t="inlineStr">
        <is>
          <t>ÖSTERSUND</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10530-2021</t>
        </is>
      </c>
      <c r="B3720" s="1" t="n">
        <v>44258</v>
      </c>
      <c r="C3720" s="1" t="n">
        <v>45182</v>
      </c>
      <c r="D3720" t="inlineStr">
        <is>
          <t>JÄMTLANDS LÄN</t>
        </is>
      </c>
      <c r="E3720" t="inlineStr">
        <is>
          <t>HÄRJEDALEN</t>
        </is>
      </c>
      <c r="G3720" t="n">
        <v>19.5</v>
      </c>
      <c r="H3720" t="n">
        <v>0</v>
      </c>
      <c r="I3720" t="n">
        <v>0</v>
      </c>
      <c r="J3720" t="n">
        <v>0</v>
      </c>
      <c r="K3720" t="n">
        <v>0</v>
      </c>
      <c r="L3720" t="n">
        <v>0</v>
      </c>
      <c r="M3720" t="n">
        <v>0</v>
      </c>
      <c r="N3720" t="n">
        <v>0</v>
      </c>
      <c r="O3720" t="n">
        <v>0</v>
      </c>
      <c r="P3720" t="n">
        <v>0</v>
      </c>
      <c r="Q3720" t="n">
        <v>0</v>
      </c>
      <c r="R3720" s="2" t="inlineStr"/>
    </row>
    <row r="3721" ht="15" customHeight="1">
      <c r="A3721" t="inlineStr">
        <is>
          <t>A 10733-2021</t>
        </is>
      </c>
      <c r="B3721" s="1" t="n">
        <v>44258</v>
      </c>
      <c r="C3721" s="1" t="n">
        <v>45182</v>
      </c>
      <c r="D3721" t="inlineStr">
        <is>
          <t>JÄMTLANDS LÄN</t>
        </is>
      </c>
      <c r="E3721" t="inlineStr">
        <is>
          <t>BRÄCKE</t>
        </is>
      </c>
      <c r="F3721" t="inlineStr">
        <is>
          <t>SCA</t>
        </is>
      </c>
      <c r="G3721" t="n">
        <v>13.8</v>
      </c>
      <c r="H3721" t="n">
        <v>0</v>
      </c>
      <c r="I3721" t="n">
        <v>0</v>
      </c>
      <c r="J3721" t="n">
        <v>0</v>
      </c>
      <c r="K3721" t="n">
        <v>0</v>
      </c>
      <c r="L3721" t="n">
        <v>0</v>
      </c>
      <c r="M3721" t="n">
        <v>0</v>
      </c>
      <c r="N3721" t="n">
        <v>0</v>
      </c>
      <c r="O3721" t="n">
        <v>0</v>
      </c>
      <c r="P3721" t="n">
        <v>0</v>
      </c>
      <c r="Q3721" t="n">
        <v>0</v>
      </c>
      <c r="R3721" s="2" t="inlineStr"/>
    </row>
    <row r="3722" ht="15" customHeight="1">
      <c r="A3722" t="inlineStr">
        <is>
          <t>A 10834-2021</t>
        </is>
      </c>
      <c r="B3722" s="1" t="n">
        <v>44259</v>
      </c>
      <c r="C3722" s="1" t="n">
        <v>45182</v>
      </c>
      <c r="D3722" t="inlineStr">
        <is>
          <t>JÄMTLANDS LÄN</t>
        </is>
      </c>
      <c r="E3722" t="inlineStr">
        <is>
          <t>ÖSTERSUND</t>
        </is>
      </c>
      <c r="G3722" t="n">
        <v>12.2</v>
      </c>
      <c r="H3722" t="n">
        <v>0</v>
      </c>
      <c r="I3722" t="n">
        <v>0</v>
      </c>
      <c r="J3722" t="n">
        <v>0</v>
      </c>
      <c r="K3722" t="n">
        <v>0</v>
      </c>
      <c r="L3722" t="n">
        <v>0</v>
      </c>
      <c r="M3722" t="n">
        <v>0</v>
      </c>
      <c r="N3722" t="n">
        <v>0</v>
      </c>
      <c r="O3722" t="n">
        <v>0</v>
      </c>
      <c r="P3722" t="n">
        <v>0</v>
      </c>
      <c r="Q3722" t="n">
        <v>0</v>
      </c>
      <c r="R3722" s="2" t="inlineStr"/>
    </row>
    <row r="3723" ht="15" customHeight="1">
      <c r="A3723" t="inlineStr">
        <is>
          <t>A 10938-2021</t>
        </is>
      </c>
      <c r="B3723" s="1" t="n">
        <v>44259</v>
      </c>
      <c r="C3723" s="1" t="n">
        <v>45182</v>
      </c>
      <c r="D3723" t="inlineStr">
        <is>
          <t>JÄMTLANDS LÄN</t>
        </is>
      </c>
      <c r="E3723" t="inlineStr">
        <is>
          <t>RAGUNDA</t>
        </is>
      </c>
      <c r="G3723" t="n">
        <v>10.4</v>
      </c>
      <c r="H3723" t="n">
        <v>0</v>
      </c>
      <c r="I3723" t="n">
        <v>0</v>
      </c>
      <c r="J3723" t="n">
        <v>0</v>
      </c>
      <c r="K3723" t="n">
        <v>0</v>
      </c>
      <c r="L3723" t="n">
        <v>0</v>
      </c>
      <c r="M3723" t="n">
        <v>0</v>
      </c>
      <c r="N3723" t="n">
        <v>0</v>
      </c>
      <c r="O3723" t="n">
        <v>0</v>
      </c>
      <c r="P3723" t="n">
        <v>0</v>
      </c>
      <c r="Q3723" t="n">
        <v>0</v>
      </c>
      <c r="R3723" s="2" t="inlineStr"/>
    </row>
    <row r="3724" ht="15" customHeight="1">
      <c r="A3724" t="inlineStr">
        <is>
          <t>A 10911-2021</t>
        </is>
      </c>
      <c r="B3724" s="1" t="n">
        <v>44259</v>
      </c>
      <c r="C3724" s="1" t="n">
        <v>45182</v>
      </c>
      <c r="D3724" t="inlineStr">
        <is>
          <t>JÄMTLANDS LÄN</t>
        </is>
      </c>
      <c r="E3724" t="inlineStr">
        <is>
          <t>ÖSTERSUND</t>
        </is>
      </c>
      <c r="F3724" t="inlineStr">
        <is>
          <t>Kyrkan</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10937-2021</t>
        </is>
      </c>
      <c r="B3725" s="1" t="n">
        <v>44259</v>
      </c>
      <c r="C3725" s="1" t="n">
        <v>45182</v>
      </c>
      <c r="D3725" t="inlineStr">
        <is>
          <t>JÄMTLANDS LÄN</t>
        </is>
      </c>
      <c r="E3725" t="inlineStr">
        <is>
          <t>RAGUNDA</t>
        </is>
      </c>
      <c r="G3725" t="n">
        <v>10.8</v>
      </c>
      <c r="H3725" t="n">
        <v>0</v>
      </c>
      <c r="I3725" t="n">
        <v>0</v>
      </c>
      <c r="J3725" t="n">
        <v>0</v>
      </c>
      <c r="K3725" t="n">
        <v>0</v>
      </c>
      <c r="L3725" t="n">
        <v>0</v>
      </c>
      <c r="M3725" t="n">
        <v>0</v>
      </c>
      <c r="N3725" t="n">
        <v>0</v>
      </c>
      <c r="O3725" t="n">
        <v>0</v>
      </c>
      <c r="P3725" t="n">
        <v>0</v>
      </c>
      <c r="Q3725" t="n">
        <v>0</v>
      </c>
      <c r="R3725" s="2" t="inlineStr"/>
    </row>
    <row r="3726" ht="15" customHeight="1">
      <c r="A3726" t="inlineStr">
        <is>
          <t>A 11140-2021</t>
        </is>
      </c>
      <c r="B3726" s="1" t="n">
        <v>44260</v>
      </c>
      <c r="C3726" s="1" t="n">
        <v>45182</v>
      </c>
      <c r="D3726" t="inlineStr">
        <is>
          <t>JÄMTLANDS LÄN</t>
        </is>
      </c>
      <c r="E3726" t="inlineStr">
        <is>
          <t>BRÄCKE</t>
        </is>
      </c>
      <c r="F3726" t="inlineStr">
        <is>
          <t>SCA</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11034-2021</t>
        </is>
      </c>
      <c r="B3727" s="1" t="n">
        <v>44260</v>
      </c>
      <c r="C3727" s="1" t="n">
        <v>45182</v>
      </c>
      <c r="D3727" t="inlineStr">
        <is>
          <t>JÄMTLANDS LÄN</t>
        </is>
      </c>
      <c r="E3727" t="inlineStr">
        <is>
          <t>STRÖMSUND</t>
        </is>
      </c>
      <c r="G3727" t="n">
        <v>8.5</v>
      </c>
      <c r="H3727" t="n">
        <v>0</v>
      </c>
      <c r="I3727" t="n">
        <v>0</v>
      </c>
      <c r="J3727" t="n">
        <v>0</v>
      </c>
      <c r="K3727" t="n">
        <v>0</v>
      </c>
      <c r="L3727" t="n">
        <v>0</v>
      </c>
      <c r="M3727" t="n">
        <v>0</v>
      </c>
      <c r="N3727" t="n">
        <v>0</v>
      </c>
      <c r="O3727" t="n">
        <v>0</v>
      </c>
      <c r="P3727" t="n">
        <v>0</v>
      </c>
      <c r="Q3727" t="n">
        <v>0</v>
      </c>
      <c r="R3727" s="2" t="inlineStr"/>
    </row>
    <row r="3728" ht="15" customHeight="1">
      <c r="A3728" t="inlineStr">
        <is>
          <t>A 11117-2021</t>
        </is>
      </c>
      <c r="B3728" s="1" t="n">
        <v>44260</v>
      </c>
      <c r="C3728" s="1" t="n">
        <v>45182</v>
      </c>
      <c r="D3728" t="inlineStr">
        <is>
          <t>JÄMTLANDS LÄN</t>
        </is>
      </c>
      <c r="E3728" t="inlineStr">
        <is>
          <t>KROKOM</t>
        </is>
      </c>
      <c r="G3728" t="n">
        <v>8</v>
      </c>
      <c r="H3728" t="n">
        <v>0</v>
      </c>
      <c r="I3728" t="n">
        <v>0</v>
      </c>
      <c r="J3728" t="n">
        <v>0</v>
      </c>
      <c r="K3728" t="n">
        <v>0</v>
      </c>
      <c r="L3728" t="n">
        <v>0</v>
      </c>
      <c r="M3728" t="n">
        <v>0</v>
      </c>
      <c r="N3728" t="n">
        <v>0</v>
      </c>
      <c r="O3728" t="n">
        <v>0</v>
      </c>
      <c r="P3728" t="n">
        <v>0</v>
      </c>
      <c r="Q3728" t="n">
        <v>0</v>
      </c>
      <c r="R3728" s="2" t="inlineStr"/>
    </row>
    <row r="3729" ht="15" customHeight="1">
      <c r="A3729" t="inlineStr">
        <is>
          <t>A 11530-2021</t>
        </is>
      </c>
      <c r="B3729" s="1" t="n">
        <v>44263</v>
      </c>
      <c r="C3729" s="1" t="n">
        <v>45182</v>
      </c>
      <c r="D3729" t="inlineStr">
        <is>
          <t>JÄMTLANDS LÄN</t>
        </is>
      </c>
      <c r="E3729" t="inlineStr">
        <is>
          <t>KROKOM</t>
        </is>
      </c>
      <c r="G3729" t="n">
        <v>9</v>
      </c>
      <c r="H3729" t="n">
        <v>0</v>
      </c>
      <c r="I3729" t="n">
        <v>0</v>
      </c>
      <c r="J3729" t="n">
        <v>0</v>
      </c>
      <c r="K3729" t="n">
        <v>0</v>
      </c>
      <c r="L3729" t="n">
        <v>0</v>
      </c>
      <c r="M3729" t="n">
        <v>0</v>
      </c>
      <c r="N3729" t="n">
        <v>0</v>
      </c>
      <c r="O3729" t="n">
        <v>0</v>
      </c>
      <c r="P3729" t="n">
        <v>0</v>
      </c>
      <c r="Q3729" t="n">
        <v>0</v>
      </c>
      <c r="R3729" s="2" t="inlineStr"/>
    </row>
    <row r="3730" ht="15" customHeight="1">
      <c r="A3730" t="inlineStr">
        <is>
          <t>A 11508-2021</t>
        </is>
      </c>
      <c r="B3730" s="1" t="n">
        <v>44264</v>
      </c>
      <c r="C3730" s="1" t="n">
        <v>45182</v>
      </c>
      <c r="D3730" t="inlineStr">
        <is>
          <t>JÄMTLANDS LÄN</t>
        </is>
      </c>
      <c r="E3730" t="inlineStr">
        <is>
          <t>STRÖMSUND</t>
        </is>
      </c>
      <c r="F3730" t="inlineStr">
        <is>
          <t>Kyrkan</t>
        </is>
      </c>
      <c r="G3730" t="n">
        <v>3.5</v>
      </c>
      <c r="H3730" t="n">
        <v>0</v>
      </c>
      <c r="I3730" t="n">
        <v>0</v>
      </c>
      <c r="J3730" t="n">
        <v>0</v>
      </c>
      <c r="K3730" t="n">
        <v>0</v>
      </c>
      <c r="L3730" t="n">
        <v>0</v>
      </c>
      <c r="M3730" t="n">
        <v>0</v>
      </c>
      <c r="N3730" t="n">
        <v>0</v>
      </c>
      <c r="O3730" t="n">
        <v>0</v>
      </c>
      <c r="P3730" t="n">
        <v>0</v>
      </c>
      <c r="Q3730" t="n">
        <v>0</v>
      </c>
      <c r="R3730" s="2" t="inlineStr"/>
    </row>
    <row r="3731" ht="15" customHeight="1">
      <c r="A3731" t="inlineStr">
        <is>
          <t>A 11780-2021</t>
        </is>
      </c>
      <c r="B3731" s="1" t="n">
        <v>44265</v>
      </c>
      <c r="C3731" s="1" t="n">
        <v>45182</v>
      </c>
      <c r="D3731" t="inlineStr">
        <is>
          <t>JÄMTLANDS LÄN</t>
        </is>
      </c>
      <c r="E3731" t="inlineStr">
        <is>
          <t>KROKOM</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11786-2021</t>
        </is>
      </c>
      <c r="B3732" s="1" t="n">
        <v>44265</v>
      </c>
      <c r="C3732" s="1" t="n">
        <v>45182</v>
      </c>
      <c r="D3732" t="inlineStr">
        <is>
          <t>JÄMTLANDS LÄN</t>
        </is>
      </c>
      <c r="E3732" t="inlineStr">
        <is>
          <t>KROKOM</t>
        </is>
      </c>
      <c r="G3732" t="n">
        <v>6.1</v>
      </c>
      <c r="H3732" t="n">
        <v>0</v>
      </c>
      <c r="I3732" t="n">
        <v>0</v>
      </c>
      <c r="J3732" t="n">
        <v>0</v>
      </c>
      <c r="K3732" t="n">
        <v>0</v>
      </c>
      <c r="L3732" t="n">
        <v>0</v>
      </c>
      <c r="M3732" t="n">
        <v>0</v>
      </c>
      <c r="N3732" t="n">
        <v>0</v>
      </c>
      <c r="O3732" t="n">
        <v>0</v>
      </c>
      <c r="P3732" t="n">
        <v>0</v>
      </c>
      <c r="Q3732" t="n">
        <v>0</v>
      </c>
      <c r="R3732" s="2" t="inlineStr"/>
    </row>
    <row r="3733" ht="15" customHeight="1">
      <c r="A3733" t="inlineStr">
        <is>
          <t>A 12186-2021</t>
        </is>
      </c>
      <c r="B3733" s="1" t="n">
        <v>44266</v>
      </c>
      <c r="C3733" s="1" t="n">
        <v>45182</v>
      </c>
      <c r="D3733" t="inlineStr">
        <is>
          <t>JÄMTLANDS LÄN</t>
        </is>
      </c>
      <c r="E3733" t="inlineStr">
        <is>
          <t>STRÖMSUND</t>
        </is>
      </c>
      <c r="G3733" t="n">
        <v>3</v>
      </c>
      <c r="H3733" t="n">
        <v>0</v>
      </c>
      <c r="I3733" t="n">
        <v>0</v>
      </c>
      <c r="J3733" t="n">
        <v>0</v>
      </c>
      <c r="K3733" t="n">
        <v>0</v>
      </c>
      <c r="L3733" t="n">
        <v>0</v>
      </c>
      <c r="M3733" t="n">
        <v>0</v>
      </c>
      <c r="N3733" t="n">
        <v>0</v>
      </c>
      <c r="O3733" t="n">
        <v>0</v>
      </c>
      <c r="P3733" t="n">
        <v>0</v>
      </c>
      <c r="Q3733" t="n">
        <v>0</v>
      </c>
      <c r="R3733" s="2" t="inlineStr"/>
    </row>
    <row r="3734" ht="15" customHeight="1">
      <c r="A3734" t="inlineStr">
        <is>
          <t>A 12250-2021</t>
        </is>
      </c>
      <c r="B3734" s="1" t="n">
        <v>44266</v>
      </c>
      <c r="C3734" s="1" t="n">
        <v>45182</v>
      </c>
      <c r="D3734" t="inlineStr">
        <is>
          <t>JÄMTLANDS LÄN</t>
        </is>
      </c>
      <c r="E3734" t="inlineStr">
        <is>
          <t>STRÖMSUND</t>
        </is>
      </c>
      <c r="G3734" t="n">
        <v>5</v>
      </c>
      <c r="H3734" t="n">
        <v>0</v>
      </c>
      <c r="I3734" t="n">
        <v>0</v>
      </c>
      <c r="J3734" t="n">
        <v>0</v>
      </c>
      <c r="K3734" t="n">
        <v>0</v>
      </c>
      <c r="L3734" t="n">
        <v>0</v>
      </c>
      <c r="M3734" t="n">
        <v>0</v>
      </c>
      <c r="N3734" t="n">
        <v>0</v>
      </c>
      <c r="O3734" t="n">
        <v>0</v>
      </c>
      <c r="P3734" t="n">
        <v>0</v>
      </c>
      <c r="Q3734" t="n">
        <v>0</v>
      </c>
      <c r="R3734" s="2" t="inlineStr"/>
    </row>
    <row r="3735" ht="15" customHeight="1">
      <c r="A3735" t="inlineStr">
        <is>
          <t>A 12428-2021</t>
        </is>
      </c>
      <c r="B3735" s="1" t="n">
        <v>44267</v>
      </c>
      <c r="C3735" s="1" t="n">
        <v>45182</v>
      </c>
      <c r="D3735" t="inlineStr">
        <is>
          <t>JÄMTLANDS LÄN</t>
        </is>
      </c>
      <c r="E3735" t="inlineStr">
        <is>
          <t>STRÖMSUND</t>
        </is>
      </c>
      <c r="G3735" t="n">
        <v>19.6</v>
      </c>
      <c r="H3735" t="n">
        <v>0</v>
      </c>
      <c r="I3735" t="n">
        <v>0</v>
      </c>
      <c r="J3735" t="n">
        <v>0</v>
      </c>
      <c r="K3735" t="n">
        <v>0</v>
      </c>
      <c r="L3735" t="n">
        <v>0</v>
      </c>
      <c r="M3735" t="n">
        <v>0</v>
      </c>
      <c r="N3735" t="n">
        <v>0</v>
      </c>
      <c r="O3735" t="n">
        <v>0</v>
      </c>
      <c r="P3735" t="n">
        <v>0</v>
      </c>
      <c r="Q3735" t="n">
        <v>0</v>
      </c>
      <c r="R3735" s="2" t="inlineStr"/>
    </row>
    <row r="3736" ht="15" customHeight="1">
      <c r="A3736" t="inlineStr">
        <is>
          <t>A 12387-2021</t>
        </is>
      </c>
      <c r="B3736" s="1" t="n">
        <v>44267</v>
      </c>
      <c r="C3736" s="1" t="n">
        <v>45182</v>
      </c>
      <c r="D3736" t="inlineStr">
        <is>
          <t>JÄMTLANDS LÄN</t>
        </is>
      </c>
      <c r="E3736" t="inlineStr">
        <is>
          <t>ÅRE</t>
        </is>
      </c>
      <c r="G3736" t="n">
        <v>3.4</v>
      </c>
      <c r="H3736" t="n">
        <v>0</v>
      </c>
      <c r="I3736" t="n">
        <v>0</v>
      </c>
      <c r="J3736" t="n">
        <v>0</v>
      </c>
      <c r="K3736" t="n">
        <v>0</v>
      </c>
      <c r="L3736" t="n">
        <v>0</v>
      </c>
      <c r="M3736" t="n">
        <v>0</v>
      </c>
      <c r="N3736" t="n">
        <v>0</v>
      </c>
      <c r="O3736" t="n">
        <v>0</v>
      </c>
      <c r="P3736" t="n">
        <v>0</v>
      </c>
      <c r="Q3736" t="n">
        <v>0</v>
      </c>
      <c r="R3736" s="2" t="inlineStr"/>
    </row>
    <row r="3737" ht="15" customHeight="1">
      <c r="A3737" t="inlineStr">
        <is>
          <t>A 12499-2021</t>
        </is>
      </c>
      <c r="B3737" s="1" t="n">
        <v>44267</v>
      </c>
      <c r="C3737" s="1" t="n">
        <v>45182</v>
      </c>
      <c r="D3737" t="inlineStr">
        <is>
          <t>JÄMTLANDS LÄN</t>
        </is>
      </c>
      <c r="E3737" t="inlineStr">
        <is>
          <t>BERG</t>
        </is>
      </c>
      <c r="F3737" t="inlineStr">
        <is>
          <t>SCA</t>
        </is>
      </c>
      <c r="G3737" t="n">
        <v>2.7</v>
      </c>
      <c r="H3737" t="n">
        <v>0</v>
      </c>
      <c r="I3737" t="n">
        <v>0</v>
      </c>
      <c r="J3737" t="n">
        <v>0</v>
      </c>
      <c r="K3737" t="n">
        <v>0</v>
      </c>
      <c r="L3737" t="n">
        <v>0</v>
      </c>
      <c r="M3737" t="n">
        <v>0</v>
      </c>
      <c r="N3737" t="n">
        <v>0</v>
      </c>
      <c r="O3737" t="n">
        <v>0</v>
      </c>
      <c r="P3737" t="n">
        <v>0</v>
      </c>
      <c r="Q3737" t="n">
        <v>0</v>
      </c>
      <c r="R3737" s="2" t="inlineStr"/>
    </row>
    <row r="3738" ht="15" customHeight="1">
      <c r="A3738" t="inlineStr">
        <is>
          <t>A 12629-2021</t>
        </is>
      </c>
      <c r="B3738" s="1" t="n">
        <v>44270</v>
      </c>
      <c r="C3738" s="1" t="n">
        <v>45182</v>
      </c>
      <c r="D3738" t="inlineStr">
        <is>
          <t>JÄMTLANDS LÄN</t>
        </is>
      </c>
      <c r="E3738" t="inlineStr">
        <is>
          <t>HÄRJEDALEN</t>
        </is>
      </c>
      <c r="G3738" t="n">
        <v>20.7</v>
      </c>
      <c r="H3738" t="n">
        <v>0</v>
      </c>
      <c r="I3738" t="n">
        <v>0</v>
      </c>
      <c r="J3738" t="n">
        <v>0</v>
      </c>
      <c r="K3738" t="n">
        <v>0</v>
      </c>
      <c r="L3738" t="n">
        <v>0</v>
      </c>
      <c r="M3738" t="n">
        <v>0</v>
      </c>
      <c r="N3738" t="n">
        <v>0</v>
      </c>
      <c r="O3738" t="n">
        <v>0</v>
      </c>
      <c r="P3738" t="n">
        <v>0</v>
      </c>
      <c r="Q3738" t="n">
        <v>0</v>
      </c>
      <c r="R3738" s="2" t="inlineStr"/>
    </row>
    <row r="3739" ht="15" customHeight="1">
      <c r="A3739" t="inlineStr">
        <is>
          <t>A 12710-2021</t>
        </is>
      </c>
      <c r="B3739" s="1" t="n">
        <v>44270</v>
      </c>
      <c r="C3739" s="1" t="n">
        <v>45182</v>
      </c>
      <c r="D3739" t="inlineStr">
        <is>
          <t>JÄMTLANDS LÄN</t>
        </is>
      </c>
      <c r="E3739" t="inlineStr">
        <is>
          <t>ÖSTERSUND</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12705-2021</t>
        </is>
      </c>
      <c r="B3740" s="1" t="n">
        <v>44270</v>
      </c>
      <c r="C3740" s="1" t="n">
        <v>45182</v>
      </c>
      <c r="D3740" t="inlineStr">
        <is>
          <t>JÄMTLANDS LÄN</t>
        </is>
      </c>
      <c r="E3740" t="inlineStr">
        <is>
          <t>ÖSTERSUND</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12857-2021</t>
        </is>
      </c>
      <c r="B3741" s="1" t="n">
        <v>44270</v>
      </c>
      <c r="C3741" s="1" t="n">
        <v>45182</v>
      </c>
      <c r="D3741" t="inlineStr">
        <is>
          <t>JÄMTLANDS LÄN</t>
        </is>
      </c>
      <c r="E3741" t="inlineStr">
        <is>
          <t>ÅRE</t>
        </is>
      </c>
      <c r="F3741" t="inlineStr">
        <is>
          <t>Kommuner</t>
        </is>
      </c>
      <c r="G3741" t="n">
        <v>17.2</v>
      </c>
      <c r="H3741" t="n">
        <v>0</v>
      </c>
      <c r="I3741" t="n">
        <v>0</v>
      </c>
      <c r="J3741" t="n">
        <v>0</v>
      </c>
      <c r="K3741" t="n">
        <v>0</v>
      </c>
      <c r="L3741" t="n">
        <v>0</v>
      </c>
      <c r="M3741" t="n">
        <v>0</v>
      </c>
      <c r="N3741" t="n">
        <v>0</v>
      </c>
      <c r="O3741" t="n">
        <v>0</v>
      </c>
      <c r="P3741" t="n">
        <v>0</v>
      </c>
      <c r="Q3741" t="n">
        <v>0</v>
      </c>
      <c r="R3741" s="2" t="inlineStr"/>
    </row>
    <row r="3742" ht="15" customHeight="1">
      <c r="A3742" t="inlineStr">
        <is>
          <t>A 12721-2021</t>
        </is>
      </c>
      <c r="B3742" s="1" t="n">
        <v>44270</v>
      </c>
      <c r="C3742" s="1" t="n">
        <v>45182</v>
      </c>
      <c r="D3742" t="inlineStr">
        <is>
          <t>JÄMTLANDS LÄN</t>
        </is>
      </c>
      <c r="E3742" t="inlineStr">
        <is>
          <t>KROKOM</t>
        </is>
      </c>
      <c r="F3742" t="inlineStr">
        <is>
          <t>Kommuner</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12840-2021</t>
        </is>
      </c>
      <c r="B3743" s="1" t="n">
        <v>44270</v>
      </c>
      <c r="C3743" s="1" t="n">
        <v>45182</v>
      </c>
      <c r="D3743" t="inlineStr">
        <is>
          <t>JÄMTLANDS LÄN</t>
        </is>
      </c>
      <c r="E3743" t="inlineStr">
        <is>
          <t>STRÖMSUND</t>
        </is>
      </c>
      <c r="G3743" t="n">
        <v>15.5</v>
      </c>
      <c r="H3743" t="n">
        <v>0</v>
      </c>
      <c r="I3743" t="n">
        <v>0</v>
      </c>
      <c r="J3743" t="n">
        <v>0</v>
      </c>
      <c r="K3743" t="n">
        <v>0</v>
      </c>
      <c r="L3743" t="n">
        <v>0</v>
      </c>
      <c r="M3743" t="n">
        <v>0</v>
      </c>
      <c r="N3743" t="n">
        <v>0</v>
      </c>
      <c r="O3743" t="n">
        <v>0</v>
      </c>
      <c r="P3743" t="n">
        <v>0</v>
      </c>
      <c r="Q3743" t="n">
        <v>0</v>
      </c>
      <c r="R3743" s="2" t="inlineStr"/>
    </row>
    <row r="3744" ht="15" customHeight="1">
      <c r="A3744" t="inlineStr">
        <is>
          <t>A 12889-2021</t>
        </is>
      </c>
      <c r="B3744" s="1" t="n">
        <v>44271</v>
      </c>
      <c r="C3744" s="1" t="n">
        <v>45182</v>
      </c>
      <c r="D3744" t="inlineStr">
        <is>
          <t>JÄMTLANDS LÄN</t>
        </is>
      </c>
      <c r="E3744" t="inlineStr">
        <is>
          <t>KROKOM</t>
        </is>
      </c>
      <c r="G3744" t="n">
        <v>0.3</v>
      </c>
      <c r="H3744" t="n">
        <v>0</v>
      </c>
      <c r="I3744" t="n">
        <v>0</v>
      </c>
      <c r="J3744" t="n">
        <v>0</v>
      </c>
      <c r="K3744" t="n">
        <v>0</v>
      </c>
      <c r="L3744" t="n">
        <v>0</v>
      </c>
      <c r="M3744" t="n">
        <v>0</v>
      </c>
      <c r="N3744" t="n">
        <v>0</v>
      </c>
      <c r="O3744" t="n">
        <v>0</v>
      </c>
      <c r="P3744" t="n">
        <v>0</v>
      </c>
      <c r="Q3744" t="n">
        <v>0</v>
      </c>
      <c r="R3744" s="2" t="inlineStr"/>
    </row>
    <row r="3745" ht="15" customHeight="1">
      <c r="A3745" t="inlineStr">
        <is>
          <t>A 13041-2021</t>
        </is>
      </c>
      <c r="B3745" s="1" t="n">
        <v>44271</v>
      </c>
      <c r="C3745" s="1" t="n">
        <v>45182</v>
      </c>
      <c r="D3745" t="inlineStr">
        <is>
          <t>JÄMTLANDS LÄN</t>
        </is>
      </c>
      <c r="E3745" t="inlineStr">
        <is>
          <t>STRÖMSUND</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12827-2021</t>
        </is>
      </c>
      <c r="B3746" s="1" t="n">
        <v>44271</v>
      </c>
      <c r="C3746" s="1" t="n">
        <v>45182</v>
      </c>
      <c r="D3746" t="inlineStr">
        <is>
          <t>JÄMTLANDS LÄN</t>
        </is>
      </c>
      <c r="E3746" t="inlineStr">
        <is>
          <t>ÅRE</t>
        </is>
      </c>
      <c r="G3746" t="n">
        <v>1.5</v>
      </c>
      <c r="H3746" t="n">
        <v>0</v>
      </c>
      <c r="I3746" t="n">
        <v>0</v>
      </c>
      <c r="J3746" t="n">
        <v>0</v>
      </c>
      <c r="K3746" t="n">
        <v>0</v>
      </c>
      <c r="L3746" t="n">
        <v>0</v>
      </c>
      <c r="M3746" t="n">
        <v>0</v>
      </c>
      <c r="N3746" t="n">
        <v>0</v>
      </c>
      <c r="O3746" t="n">
        <v>0</v>
      </c>
      <c r="P3746" t="n">
        <v>0</v>
      </c>
      <c r="Q3746" t="n">
        <v>0</v>
      </c>
      <c r="R3746" s="2" t="inlineStr"/>
    </row>
    <row r="3747" ht="15" customHeight="1">
      <c r="A3747" t="inlineStr">
        <is>
          <t>A 13395-2021</t>
        </is>
      </c>
      <c r="B3747" s="1" t="n">
        <v>44273</v>
      </c>
      <c r="C3747" s="1" t="n">
        <v>45182</v>
      </c>
      <c r="D3747" t="inlineStr">
        <is>
          <t>JÄMTLANDS LÄN</t>
        </is>
      </c>
      <c r="E3747" t="inlineStr">
        <is>
          <t>KROKOM</t>
        </is>
      </c>
      <c r="G3747" t="n">
        <v>13.7</v>
      </c>
      <c r="H3747" t="n">
        <v>0</v>
      </c>
      <c r="I3747" t="n">
        <v>0</v>
      </c>
      <c r="J3747" t="n">
        <v>0</v>
      </c>
      <c r="K3747" t="n">
        <v>0</v>
      </c>
      <c r="L3747" t="n">
        <v>0</v>
      </c>
      <c r="M3747" t="n">
        <v>0</v>
      </c>
      <c r="N3747" t="n">
        <v>0</v>
      </c>
      <c r="O3747" t="n">
        <v>0</v>
      </c>
      <c r="P3747" t="n">
        <v>0</v>
      </c>
      <c r="Q3747" t="n">
        <v>0</v>
      </c>
      <c r="R3747" s="2" t="inlineStr"/>
    </row>
    <row r="3748" ht="15" customHeight="1">
      <c r="A3748" t="inlineStr">
        <is>
          <t>A 13569-2021</t>
        </is>
      </c>
      <c r="B3748" s="1" t="n">
        <v>44273</v>
      </c>
      <c r="C3748" s="1" t="n">
        <v>45182</v>
      </c>
      <c r="D3748" t="inlineStr">
        <is>
          <t>JÄMTLANDS LÄN</t>
        </is>
      </c>
      <c r="E3748" t="inlineStr">
        <is>
          <t>RAGUNDA</t>
        </is>
      </c>
      <c r="G3748" t="n">
        <v>2.6</v>
      </c>
      <c r="H3748" t="n">
        <v>0</v>
      </c>
      <c r="I3748" t="n">
        <v>0</v>
      </c>
      <c r="J3748" t="n">
        <v>0</v>
      </c>
      <c r="K3748" t="n">
        <v>0</v>
      </c>
      <c r="L3748" t="n">
        <v>0</v>
      </c>
      <c r="M3748" t="n">
        <v>0</v>
      </c>
      <c r="N3748" t="n">
        <v>0</v>
      </c>
      <c r="O3748" t="n">
        <v>0</v>
      </c>
      <c r="P3748" t="n">
        <v>0</v>
      </c>
      <c r="Q3748" t="n">
        <v>0</v>
      </c>
      <c r="R3748" s="2" t="inlineStr"/>
    </row>
    <row r="3749" ht="15" customHeight="1">
      <c r="A3749" t="inlineStr">
        <is>
          <t>A 13506-2021</t>
        </is>
      </c>
      <c r="B3749" s="1" t="n">
        <v>44273</v>
      </c>
      <c r="C3749" s="1" t="n">
        <v>45182</v>
      </c>
      <c r="D3749" t="inlineStr">
        <is>
          <t>JÄMTLANDS LÄN</t>
        </is>
      </c>
      <c r="E3749" t="inlineStr">
        <is>
          <t>BRÄCKE</t>
        </is>
      </c>
      <c r="G3749" t="n">
        <v>1.4</v>
      </c>
      <c r="H3749" t="n">
        <v>0</v>
      </c>
      <c r="I3749" t="n">
        <v>0</v>
      </c>
      <c r="J3749" t="n">
        <v>0</v>
      </c>
      <c r="K3749" t="n">
        <v>0</v>
      </c>
      <c r="L3749" t="n">
        <v>0</v>
      </c>
      <c r="M3749" t="n">
        <v>0</v>
      </c>
      <c r="N3749" t="n">
        <v>0</v>
      </c>
      <c r="O3749" t="n">
        <v>0</v>
      </c>
      <c r="P3749" t="n">
        <v>0</v>
      </c>
      <c r="Q3749" t="n">
        <v>0</v>
      </c>
      <c r="R3749" s="2" t="inlineStr"/>
    </row>
    <row r="3750" ht="15" customHeight="1">
      <c r="A3750" t="inlineStr">
        <is>
          <t>A 13563-2021</t>
        </is>
      </c>
      <c r="B3750" s="1" t="n">
        <v>44273</v>
      </c>
      <c r="C3750" s="1" t="n">
        <v>45182</v>
      </c>
      <c r="D3750" t="inlineStr">
        <is>
          <t>JÄMTLANDS LÄN</t>
        </is>
      </c>
      <c r="E3750" t="inlineStr">
        <is>
          <t>STRÖMSUND</t>
        </is>
      </c>
      <c r="G3750" t="n">
        <v>27.1</v>
      </c>
      <c r="H3750" t="n">
        <v>0</v>
      </c>
      <c r="I3750" t="n">
        <v>0</v>
      </c>
      <c r="J3750" t="n">
        <v>0</v>
      </c>
      <c r="K3750" t="n">
        <v>0</v>
      </c>
      <c r="L3750" t="n">
        <v>0</v>
      </c>
      <c r="M3750" t="n">
        <v>0</v>
      </c>
      <c r="N3750" t="n">
        <v>0</v>
      </c>
      <c r="O3750" t="n">
        <v>0</v>
      </c>
      <c r="P3750" t="n">
        <v>0</v>
      </c>
      <c r="Q3750" t="n">
        <v>0</v>
      </c>
      <c r="R3750" s="2" t="inlineStr"/>
    </row>
    <row r="3751" ht="15" customHeight="1">
      <c r="A3751" t="inlineStr">
        <is>
          <t>A 14079-2021</t>
        </is>
      </c>
      <c r="B3751" s="1" t="n">
        <v>44277</v>
      </c>
      <c r="C3751" s="1" t="n">
        <v>45182</v>
      </c>
      <c r="D3751" t="inlineStr">
        <is>
          <t>JÄMTLANDS LÄN</t>
        </is>
      </c>
      <c r="E3751" t="inlineStr">
        <is>
          <t>BRÄCKE</t>
        </is>
      </c>
      <c r="F3751" t="inlineStr">
        <is>
          <t>SCA</t>
        </is>
      </c>
      <c r="G3751" t="n">
        <v>2</v>
      </c>
      <c r="H3751" t="n">
        <v>0</v>
      </c>
      <c r="I3751" t="n">
        <v>0</v>
      </c>
      <c r="J3751" t="n">
        <v>0</v>
      </c>
      <c r="K3751" t="n">
        <v>0</v>
      </c>
      <c r="L3751" t="n">
        <v>0</v>
      </c>
      <c r="M3751" t="n">
        <v>0</v>
      </c>
      <c r="N3751" t="n">
        <v>0</v>
      </c>
      <c r="O3751" t="n">
        <v>0</v>
      </c>
      <c r="P3751" t="n">
        <v>0</v>
      </c>
      <c r="Q3751" t="n">
        <v>0</v>
      </c>
      <c r="R3751" s="2" t="inlineStr"/>
    </row>
    <row r="3752" ht="15" customHeight="1">
      <c r="A3752" t="inlineStr">
        <is>
          <t>A 14163-2021</t>
        </is>
      </c>
      <c r="B3752" s="1" t="n">
        <v>44277</v>
      </c>
      <c r="C3752" s="1" t="n">
        <v>45182</v>
      </c>
      <c r="D3752" t="inlineStr">
        <is>
          <t>JÄMTLANDS LÄN</t>
        </is>
      </c>
      <c r="E3752" t="inlineStr">
        <is>
          <t>BERG</t>
        </is>
      </c>
      <c r="G3752" t="n">
        <v>8.1</v>
      </c>
      <c r="H3752" t="n">
        <v>0</v>
      </c>
      <c r="I3752" t="n">
        <v>0</v>
      </c>
      <c r="J3752" t="n">
        <v>0</v>
      </c>
      <c r="K3752" t="n">
        <v>0</v>
      </c>
      <c r="L3752" t="n">
        <v>0</v>
      </c>
      <c r="M3752" t="n">
        <v>0</v>
      </c>
      <c r="N3752" t="n">
        <v>0</v>
      </c>
      <c r="O3752" t="n">
        <v>0</v>
      </c>
      <c r="P3752" t="n">
        <v>0</v>
      </c>
      <c r="Q3752" t="n">
        <v>0</v>
      </c>
      <c r="R3752" s="2" t="inlineStr"/>
    </row>
    <row r="3753" ht="15" customHeight="1">
      <c r="A3753" t="inlineStr">
        <is>
          <t>A 14224-2021</t>
        </is>
      </c>
      <c r="B3753" s="1" t="n">
        <v>44277</v>
      </c>
      <c r="C3753" s="1" t="n">
        <v>45182</v>
      </c>
      <c r="D3753" t="inlineStr">
        <is>
          <t>JÄMTLANDS LÄN</t>
        </is>
      </c>
      <c r="E3753" t="inlineStr">
        <is>
          <t>BERG</t>
        </is>
      </c>
      <c r="G3753" t="n">
        <v>24.9</v>
      </c>
      <c r="H3753" t="n">
        <v>0</v>
      </c>
      <c r="I3753" t="n">
        <v>0</v>
      </c>
      <c r="J3753" t="n">
        <v>0</v>
      </c>
      <c r="K3753" t="n">
        <v>0</v>
      </c>
      <c r="L3753" t="n">
        <v>0</v>
      </c>
      <c r="M3753" t="n">
        <v>0</v>
      </c>
      <c r="N3753" t="n">
        <v>0</v>
      </c>
      <c r="O3753" t="n">
        <v>0</v>
      </c>
      <c r="P3753" t="n">
        <v>0</v>
      </c>
      <c r="Q3753" t="n">
        <v>0</v>
      </c>
      <c r="R3753" s="2" t="inlineStr"/>
    </row>
    <row r="3754" ht="15" customHeight="1">
      <c r="A3754" t="inlineStr">
        <is>
          <t>A 14067-2021</t>
        </is>
      </c>
      <c r="B3754" s="1" t="n">
        <v>44277</v>
      </c>
      <c r="C3754" s="1" t="n">
        <v>45182</v>
      </c>
      <c r="D3754" t="inlineStr">
        <is>
          <t>JÄMTLANDS LÄN</t>
        </is>
      </c>
      <c r="E3754" t="inlineStr">
        <is>
          <t>STRÖMSUND</t>
        </is>
      </c>
      <c r="G3754" t="n">
        <v>27.7</v>
      </c>
      <c r="H3754" t="n">
        <v>0</v>
      </c>
      <c r="I3754" t="n">
        <v>0</v>
      </c>
      <c r="J3754" t="n">
        <v>0</v>
      </c>
      <c r="K3754" t="n">
        <v>0</v>
      </c>
      <c r="L3754" t="n">
        <v>0</v>
      </c>
      <c r="M3754" t="n">
        <v>0</v>
      </c>
      <c r="N3754" t="n">
        <v>0</v>
      </c>
      <c r="O3754" t="n">
        <v>0</v>
      </c>
      <c r="P3754" t="n">
        <v>0</v>
      </c>
      <c r="Q3754" t="n">
        <v>0</v>
      </c>
      <c r="R3754" s="2" t="inlineStr"/>
    </row>
    <row r="3755" ht="15" customHeight="1">
      <c r="A3755" t="inlineStr">
        <is>
          <t>A 14226-2021</t>
        </is>
      </c>
      <c r="B3755" s="1" t="n">
        <v>44277</v>
      </c>
      <c r="C3755" s="1" t="n">
        <v>45182</v>
      </c>
      <c r="D3755" t="inlineStr">
        <is>
          <t>JÄMTLANDS LÄN</t>
        </is>
      </c>
      <c r="E3755" t="inlineStr">
        <is>
          <t>BERG</t>
        </is>
      </c>
      <c r="G3755" t="n">
        <v>23.7</v>
      </c>
      <c r="H3755" t="n">
        <v>0</v>
      </c>
      <c r="I3755" t="n">
        <v>0</v>
      </c>
      <c r="J3755" t="n">
        <v>0</v>
      </c>
      <c r="K3755" t="n">
        <v>0</v>
      </c>
      <c r="L3755" t="n">
        <v>0</v>
      </c>
      <c r="M3755" t="n">
        <v>0</v>
      </c>
      <c r="N3755" t="n">
        <v>0</v>
      </c>
      <c r="O3755" t="n">
        <v>0</v>
      </c>
      <c r="P3755" t="n">
        <v>0</v>
      </c>
      <c r="Q3755" t="n">
        <v>0</v>
      </c>
      <c r="R3755" s="2" t="inlineStr"/>
    </row>
    <row r="3756" ht="15" customHeight="1">
      <c r="A3756" t="inlineStr">
        <is>
          <t>A 14218-2021</t>
        </is>
      </c>
      <c r="B3756" s="1" t="n">
        <v>44277</v>
      </c>
      <c r="C3756" s="1" t="n">
        <v>45182</v>
      </c>
      <c r="D3756" t="inlineStr">
        <is>
          <t>JÄMTLANDS LÄN</t>
        </is>
      </c>
      <c r="E3756" t="inlineStr">
        <is>
          <t>BERG</t>
        </is>
      </c>
      <c r="G3756" t="n">
        <v>19.9</v>
      </c>
      <c r="H3756" t="n">
        <v>0</v>
      </c>
      <c r="I3756" t="n">
        <v>0</v>
      </c>
      <c r="J3756" t="n">
        <v>0</v>
      </c>
      <c r="K3756" t="n">
        <v>0</v>
      </c>
      <c r="L3756" t="n">
        <v>0</v>
      </c>
      <c r="M3756" t="n">
        <v>0</v>
      </c>
      <c r="N3756" t="n">
        <v>0</v>
      </c>
      <c r="O3756" t="n">
        <v>0</v>
      </c>
      <c r="P3756" t="n">
        <v>0</v>
      </c>
      <c r="Q3756" t="n">
        <v>0</v>
      </c>
      <c r="R3756" s="2" t="inlineStr"/>
    </row>
    <row r="3757" ht="15" customHeight="1">
      <c r="A3757" t="inlineStr">
        <is>
          <t>A 14202-2021</t>
        </is>
      </c>
      <c r="B3757" s="1" t="n">
        <v>44278</v>
      </c>
      <c r="C3757" s="1" t="n">
        <v>45182</v>
      </c>
      <c r="D3757" t="inlineStr">
        <is>
          <t>JÄMTLANDS LÄN</t>
        </is>
      </c>
      <c r="E3757" t="inlineStr">
        <is>
          <t>ÅRE</t>
        </is>
      </c>
      <c r="G3757" t="n">
        <v>17.8</v>
      </c>
      <c r="H3757" t="n">
        <v>0</v>
      </c>
      <c r="I3757" t="n">
        <v>0</v>
      </c>
      <c r="J3757" t="n">
        <v>0</v>
      </c>
      <c r="K3757" t="n">
        <v>0</v>
      </c>
      <c r="L3757" t="n">
        <v>0</v>
      </c>
      <c r="M3757" t="n">
        <v>0</v>
      </c>
      <c r="N3757" t="n">
        <v>0</v>
      </c>
      <c r="O3757" t="n">
        <v>0</v>
      </c>
      <c r="P3757" t="n">
        <v>0</v>
      </c>
      <c r="Q3757" t="n">
        <v>0</v>
      </c>
      <c r="R3757" s="2" t="inlineStr"/>
    </row>
    <row r="3758" ht="15" customHeight="1">
      <c r="A3758" t="inlineStr">
        <is>
          <t>A 14285-2021</t>
        </is>
      </c>
      <c r="B3758" s="1" t="n">
        <v>44278</v>
      </c>
      <c r="C3758" s="1" t="n">
        <v>45182</v>
      </c>
      <c r="D3758" t="inlineStr">
        <is>
          <t>JÄMTLANDS LÄN</t>
        </is>
      </c>
      <c r="E3758" t="inlineStr">
        <is>
          <t>HÄRJEDALEN</t>
        </is>
      </c>
      <c r="F3758" t="inlineStr">
        <is>
          <t>Bergvik skog väst AB</t>
        </is>
      </c>
      <c r="G3758" t="n">
        <v>31</v>
      </c>
      <c r="H3758" t="n">
        <v>0</v>
      </c>
      <c r="I3758" t="n">
        <v>0</v>
      </c>
      <c r="J3758" t="n">
        <v>0</v>
      </c>
      <c r="K3758" t="n">
        <v>0</v>
      </c>
      <c r="L3758" t="n">
        <v>0</v>
      </c>
      <c r="M3758" t="n">
        <v>0</v>
      </c>
      <c r="N3758" t="n">
        <v>0</v>
      </c>
      <c r="O3758" t="n">
        <v>0</v>
      </c>
      <c r="P3758" t="n">
        <v>0</v>
      </c>
      <c r="Q3758" t="n">
        <v>0</v>
      </c>
      <c r="R3758" s="2" t="inlineStr"/>
    </row>
    <row r="3759" ht="15" customHeight="1">
      <c r="A3759" t="inlineStr">
        <is>
          <t>A 14167-2021</t>
        </is>
      </c>
      <c r="B3759" s="1" t="n">
        <v>44278</v>
      </c>
      <c r="C3759" s="1" t="n">
        <v>45182</v>
      </c>
      <c r="D3759" t="inlineStr">
        <is>
          <t>JÄMTLANDS LÄN</t>
        </is>
      </c>
      <c r="E3759" t="inlineStr">
        <is>
          <t>KROKOM</t>
        </is>
      </c>
      <c r="G3759" t="n">
        <v>5.4</v>
      </c>
      <c r="H3759" t="n">
        <v>0</v>
      </c>
      <c r="I3759" t="n">
        <v>0</v>
      </c>
      <c r="J3759" t="n">
        <v>0</v>
      </c>
      <c r="K3759" t="n">
        <v>0</v>
      </c>
      <c r="L3759" t="n">
        <v>0</v>
      </c>
      <c r="M3759" t="n">
        <v>0</v>
      </c>
      <c r="N3759" t="n">
        <v>0</v>
      </c>
      <c r="O3759" t="n">
        <v>0</v>
      </c>
      <c r="P3759" t="n">
        <v>0</v>
      </c>
      <c r="Q3759" t="n">
        <v>0</v>
      </c>
      <c r="R3759" s="2" t="inlineStr"/>
    </row>
    <row r="3760" ht="15" customHeight="1">
      <c r="A3760" t="inlineStr">
        <is>
          <t>A 14204-2021</t>
        </is>
      </c>
      <c r="B3760" s="1" t="n">
        <v>44278</v>
      </c>
      <c r="C3760" s="1" t="n">
        <v>45182</v>
      </c>
      <c r="D3760" t="inlineStr">
        <is>
          <t>JÄMTLANDS LÄN</t>
        </is>
      </c>
      <c r="E3760" t="inlineStr">
        <is>
          <t>ÅRE</t>
        </is>
      </c>
      <c r="G3760" t="n">
        <v>24.6</v>
      </c>
      <c r="H3760" t="n">
        <v>0</v>
      </c>
      <c r="I3760" t="n">
        <v>0</v>
      </c>
      <c r="J3760" t="n">
        <v>0</v>
      </c>
      <c r="K3760" t="n">
        <v>0</v>
      </c>
      <c r="L3760" t="n">
        <v>0</v>
      </c>
      <c r="M3760" t="n">
        <v>0</v>
      </c>
      <c r="N3760" t="n">
        <v>0</v>
      </c>
      <c r="O3760" t="n">
        <v>0</v>
      </c>
      <c r="P3760" t="n">
        <v>0</v>
      </c>
      <c r="Q3760" t="n">
        <v>0</v>
      </c>
      <c r="R3760" s="2" t="inlineStr"/>
    </row>
    <row r="3761" ht="15" customHeight="1">
      <c r="A3761" t="inlineStr">
        <is>
          <t>A 14325-2021</t>
        </is>
      </c>
      <c r="B3761" s="1" t="n">
        <v>44278</v>
      </c>
      <c r="C3761" s="1" t="n">
        <v>45182</v>
      </c>
      <c r="D3761" t="inlineStr">
        <is>
          <t>JÄMTLANDS LÄN</t>
        </is>
      </c>
      <c r="E3761" t="inlineStr">
        <is>
          <t>BERG</t>
        </is>
      </c>
      <c r="G3761" t="n">
        <v>27.3</v>
      </c>
      <c r="H3761" t="n">
        <v>0</v>
      </c>
      <c r="I3761" t="n">
        <v>0</v>
      </c>
      <c r="J3761" t="n">
        <v>0</v>
      </c>
      <c r="K3761" t="n">
        <v>0</v>
      </c>
      <c r="L3761" t="n">
        <v>0</v>
      </c>
      <c r="M3761" t="n">
        <v>0</v>
      </c>
      <c r="N3761" t="n">
        <v>0</v>
      </c>
      <c r="O3761" t="n">
        <v>0</v>
      </c>
      <c r="P3761" t="n">
        <v>0</v>
      </c>
      <c r="Q3761" t="n">
        <v>0</v>
      </c>
      <c r="R3761" s="2" t="inlineStr"/>
    </row>
    <row r="3762" ht="15" customHeight="1">
      <c r="A3762" t="inlineStr">
        <is>
          <t>A 14147-2021</t>
        </is>
      </c>
      <c r="B3762" s="1" t="n">
        <v>44278</v>
      </c>
      <c r="C3762" s="1" t="n">
        <v>45182</v>
      </c>
      <c r="D3762" t="inlineStr">
        <is>
          <t>JÄMTLANDS LÄN</t>
        </is>
      </c>
      <c r="E3762" t="inlineStr">
        <is>
          <t>STRÖMSUND</t>
        </is>
      </c>
      <c r="G3762" t="n">
        <v>3.9</v>
      </c>
      <c r="H3762" t="n">
        <v>0</v>
      </c>
      <c r="I3762" t="n">
        <v>0</v>
      </c>
      <c r="J3762" t="n">
        <v>0</v>
      </c>
      <c r="K3762" t="n">
        <v>0</v>
      </c>
      <c r="L3762" t="n">
        <v>0</v>
      </c>
      <c r="M3762" t="n">
        <v>0</v>
      </c>
      <c r="N3762" t="n">
        <v>0</v>
      </c>
      <c r="O3762" t="n">
        <v>0</v>
      </c>
      <c r="P3762" t="n">
        <v>0</v>
      </c>
      <c r="Q3762" t="n">
        <v>0</v>
      </c>
      <c r="R3762" s="2" t="inlineStr"/>
    </row>
    <row r="3763" ht="15" customHeight="1">
      <c r="A3763" t="inlineStr">
        <is>
          <t>A 14591-2021</t>
        </is>
      </c>
      <c r="B3763" s="1" t="n">
        <v>44279</v>
      </c>
      <c r="C3763" s="1" t="n">
        <v>45182</v>
      </c>
      <c r="D3763" t="inlineStr">
        <is>
          <t>JÄMTLANDS LÄN</t>
        </is>
      </c>
      <c r="E3763" t="inlineStr">
        <is>
          <t>KROKOM</t>
        </is>
      </c>
      <c r="G3763" t="n">
        <v>4</v>
      </c>
      <c r="H3763" t="n">
        <v>0</v>
      </c>
      <c r="I3763" t="n">
        <v>0</v>
      </c>
      <c r="J3763" t="n">
        <v>0</v>
      </c>
      <c r="K3763" t="n">
        <v>0</v>
      </c>
      <c r="L3763" t="n">
        <v>0</v>
      </c>
      <c r="M3763" t="n">
        <v>0</v>
      </c>
      <c r="N3763" t="n">
        <v>0</v>
      </c>
      <c r="O3763" t="n">
        <v>0</v>
      </c>
      <c r="P3763" t="n">
        <v>0</v>
      </c>
      <c r="Q3763" t="n">
        <v>0</v>
      </c>
      <c r="R3763" s="2" t="inlineStr"/>
    </row>
    <row r="3764" ht="15" customHeight="1">
      <c r="A3764" t="inlineStr">
        <is>
          <t>A 14598-2021</t>
        </is>
      </c>
      <c r="B3764" s="1" t="n">
        <v>44279</v>
      </c>
      <c r="C3764" s="1" t="n">
        <v>45182</v>
      </c>
      <c r="D3764" t="inlineStr">
        <is>
          <t>JÄMTLANDS LÄN</t>
        </is>
      </c>
      <c r="E3764" t="inlineStr">
        <is>
          <t>KROKOM</t>
        </is>
      </c>
      <c r="G3764" t="n">
        <v>25.4</v>
      </c>
      <c r="H3764" t="n">
        <v>0</v>
      </c>
      <c r="I3764" t="n">
        <v>0</v>
      </c>
      <c r="J3764" t="n">
        <v>0</v>
      </c>
      <c r="K3764" t="n">
        <v>0</v>
      </c>
      <c r="L3764" t="n">
        <v>0</v>
      </c>
      <c r="M3764" t="n">
        <v>0</v>
      </c>
      <c r="N3764" t="n">
        <v>0</v>
      </c>
      <c r="O3764" t="n">
        <v>0</v>
      </c>
      <c r="P3764" t="n">
        <v>0</v>
      </c>
      <c r="Q3764" t="n">
        <v>0</v>
      </c>
      <c r="R3764" s="2" t="inlineStr"/>
    </row>
    <row r="3765" ht="15" customHeight="1">
      <c r="A3765" t="inlineStr">
        <is>
          <t>A 14519-2021</t>
        </is>
      </c>
      <c r="B3765" s="1" t="n">
        <v>44279</v>
      </c>
      <c r="C3765" s="1" t="n">
        <v>45182</v>
      </c>
      <c r="D3765" t="inlineStr">
        <is>
          <t>JÄMTLANDS LÄN</t>
        </is>
      </c>
      <c r="E3765" t="inlineStr">
        <is>
          <t>STRÖMSUND</t>
        </is>
      </c>
      <c r="G3765" t="n">
        <v>61.3</v>
      </c>
      <c r="H3765" t="n">
        <v>0</v>
      </c>
      <c r="I3765" t="n">
        <v>0</v>
      </c>
      <c r="J3765" t="n">
        <v>0</v>
      </c>
      <c r="K3765" t="n">
        <v>0</v>
      </c>
      <c r="L3765" t="n">
        <v>0</v>
      </c>
      <c r="M3765" t="n">
        <v>0</v>
      </c>
      <c r="N3765" t="n">
        <v>0</v>
      </c>
      <c r="O3765" t="n">
        <v>0</v>
      </c>
      <c r="P3765" t="n">
        <v>0</v>
      </c>
      <c r="Q3765" t="n">
        <v>0</v>
      </c>
      <c r="R3765" s="2" t="inlineStr"/>
    </row>
    <row r="3766" ht="15" customHeight="1">
      <c r="A3766" t="inlineStr">
        <is>
          <t>A 14593-2021</t>
        </is>
      </c>
      <c r="B3766" s="1" t="n">
        <v>44279</v>
      </c>
      <c r="C3766" s="1" t="n">
        <v>45182</v>
      </c>
      <c r="D3766" t="inlineStr">
        <is>
          <t>JÄMTLANDS LÄN</t>
        </is>
      </c>
      <c r="E3766" t="inlineStr">
        <is>
          <t>KROKOM</t>
        </is>
      </c>
      <c r="G3766" t="n">
        <v>3.1</v>
      </c>
      <c r="H3766" t="n">
        <v>0</v>
      </c>
      <c r="I3766" t="n">
        <v>0</v>
      </c>
      <c r="J3766" t="n">
        <v>0</v>
      </c>
      <c r="K3766" t="n">
        <v>0</v>
      </c>
      <c r="L3766" t="n">
        <v>0</v>
      </c>
      <c r="M3766" t="n">
        <v>0</v>
      </c>
      <c r="N3766" t="n">
        <v>0</v>
      </c>
      <c r="O3766" t="n">
        <v>0</v>
      </c>
      <c r="P3766" t="n">
        <v>0</v>
      </c>
      <c r="Q3766" t="n">
        <v>0</v>
      </c>
      <c r="R3766" s="2" t="inlineStr"/>
    </row>
    <row r="3767" ht="15" customHeight="1">
      <c r="A3767" t="inlineStr">
        <is>
          <t>A 14556-2021</t>
        </is>
      </c>
      <c r="B3767" s="1" t="n">
        <v>44279</v>
      </c>
      <c r="C3767" s="1" t="n">
        <v>45182</v>
      </c>
      <c r="D3767" t="inlineStr">
        <is>
          <t>JÄMTLANDS LÄN</t>
        </is>
      </c>
      <c r="E3767" t="inlineStr">
        <is>
          <t>STRÖMSUND</t>
        </is>
      </c>
      <c r="F3767" t="inlineStr">
        <is>
          <t>SCA</t>
        </is>
      </c>
      <c r="G3767" t="n">
        <v>5.2</v>
      </c>
      <c r="H3767" t="n">
        <v>0</v>
      </c>
      <c r="I3767" t="n">
        <v>0</v>
      </c>
      <c r="J3767" t="n">
        <v>0</v>
      </c>
      <c r="K3767" t="n">
        <v>0</v>
      </c>
      <c r="L3767" t="n">
        <v>0</v>
      </c>
      <c r="M3767" t="n">
        <v>0</v>
      </c>
      <c r="N3767" t="n">
        <v>0</v>
      </c>
      <c r="O3767" t="n">
        <v>0</v>
      </c>
      <c r="P3767" t="n">
        <v>0</v>
      </c>
      <c r="Q3767" t="n">
        <v>0</v>
      </c>
      <c r="R3767" s="2" t="inlineStr"/>
    </row>
    <row r="3768" ht="15" customHeight="1">
      <c r="A3768" t="inlineStr">
        <is>
          <t>A 14592-2021</t>
        </is>
      </c>
      <c r="B3768" s="1" t="n">
        <v>44279</v>
      </c>
      <c r="C3768" s="1" t="n">
        <v>45182</v>
      </c>
      <c r="D3768" t="inlineStr">
        <is>
          <t>JÄMTLANDS LÄN</t>
        </is>
      </c>
      <c r="E3768" t="inlineStr">
        <is>
          <t>KROKOM</t>
        </is>
      </c>
      <c r="G3768" t="n">
        <v>5.6</v>
      </c>
      <c r="H3768" t="n">
        <v>0</v>
      </c>
      <c r="I3768" t="n">
        <v>0</v>
      </c>
      <c r="J3768" t="n">
        <v>0</v>
      </c>
      <c r="K3768" t="n">
        <v>0</v>
      </c>
      <c r="L3768" t="n">
        <v>0</v>
      </c>
      <c r="M3768" t="n">
        <v>0</v>
      </c>
      <c r="N3768" t="n">
        <v>0</v>
      </c>
      <c r="O3768" t="n">
        <v>0</v>
      </c>
      <c r="P3768" t="n">
        <v>0</v>
      </c>
      <c r="Q3768" t="n">
        <v>0</v>
      </c>
      <c r="R3768" s="2" t="inlineStr"/>
    </row>
    <row r="3769" ht="15" customHeight="1">
      <c r="A3769" t="inlineStr">
        <is>
          <t>A 14776-2021</t>
        </is>
      </c>
      <c r="B3769" s="1" t="n">
        <v>44280</v>
      </c>
      <c r="C3769" s="1" t="n">
        <v>45182</v>
      </c>
      <c r="D3769" t="inlineStr">
        <is>
          <t>JÄMTLANDS LÄN</t>
        </is>
      </c>
      <c r="E3769" t="inlineStr">
        <is>
          <t>RAGUNDA</t>
        </is>
      </c>
      <c r="G3769" t="n">
        <v>0.8</v>
      </c>
      <c r="H3769" t="n">
        <v>0</v>
      </c>
      <c r="I3769" t="n">
        <v>0</v>
      </c>
      <c r="J3769" t="n">
        <v>0</v>
      </c>
      <c r="K3769" t="n">
        <v>0</v>
      </c>
      <c r="L3769" t="n">
        <v>0</v>
      </c>
      <c r="M3769" t="n">
        <v>0</v>
      </c>
      <c r="N3769" t="n">
        <v>0</v>
      </c>
      <c r="O3769" t="n">
        <v>0</v>
      </c>
      <c r="P3769" t="n">
        <v>0</v>
      </c>
      <c r="Q3769" t="n">
        <v>0</v>
      </c>
      <c r="R3769" s="2" t="inlineStr"/>
    </row>
    <row r="3770" ht="15" customHeight="1">
      <c r="A3770" t="inlineStr">
        <is>
          <t>A 14798-2021</t>
        </is>
      </c>
      <c r="B3770" s="1" t="n">
        <v>44280</v>
      </c>
      <c r="C3770" s="1" t="n">
        <v>45182</v>
      </c>
      <c r="D3770" t="inlineStr">
        <is>
          <t>JÄMTLANDS LÄN</t>
        </is>
      </c>
      <c r="E3770" t="inlineStr">
        <is>
          <t>HÄRJEDALEN</t>
        </is>
      </c>
      <c r="G3770" t="n">
        <v>2.6</v>
      </c>
      <c r="H3770" t="n">
        <v>0</v>
      </c>
      <c r="I3770" t="n">
        <v>0</v>
      </c>
      <c r="J3770" t="n">
        <v>0</v>
      </c>
      <c r="K3770" t="n">
        <v>0</v>
      </c>
      <c r="L3770" t="n">
        <v>0</v>
      </c>
      <c r="M3770" t="n">
        <v>0</v>
      </c>
      <c r="N3770" t="n">
        <v>0</v>
      </c>
      <c r="O3770" t="n">
        <v>0</v>
      </c>
      <c r="P3770" t="n">
        <v>0</v>
      </c>
      <c r="Q3770" t="n">
        <v>0</v>
      </c>
      <c r="R3770" s="2" t="inlineStr"/>
    </row>
    <row r="3771" ht="15" customHeight="1">
      <c r="A3771" t="inlineStr">
        <is>
          <t>A 14826-2021</t>
        </is>
      </c>
      <c r="B3771" s="1" t="n">
        <v>44280</v>
      </c>
      <c r="C3771" s="1" t="n">
        <v>45182</v>
      </c>
      <c r="D3771" t="inlineStr">
        <is>
          <t>JÄMTLANDS LÄN</t>
        </is>
      </c>
      <c r="E3771" t="inlineStr">
        <is>
          <t>ÅRE</t>
        </is>
      </c>
      <c r="G3771" t="n">
        <v>1.1</v>
      </c>
      <c r="H3771" t="n">
        <v>0</v>
      </c>
      <c r="I3771" t="n">
        <v>0</v>
      </c>
      <c r="J3771" t="n">
        <v>0</v>
      </c>
      <c r="K3771" t="n">
        <v>0</v>
      </c>
      <c r="L3771" t="n">
        <v>0</v>
      </c>
      <c r="M3771" t="n">
        <v>0</v>
      </c>
      <c r="N3771" t="n">
        <v>0</v>
      </c>
      <c r="O3771" t="n">
        <v>0</v>
      </c>
      <c r="P3771" t="n">
        <v>0</v>
      </c>
      <c r="Q3771" t="n">
        <v>0</v>
      </c>
      <c r="R3771" s="2" t="inlineStr"/>
    </row>
    <row r="3772" ht="15" customHeight="1">
      <c r="A3772" t="inlineStr">
        <is>
          <t>A 14790-2021</t>
        </is>
      </c>
      <c r="B3772" s="1" t="n">
        <v>44280</v>
      </c>
      <c r="C3772" s="1" t="n">
        <v>45182</v>
      </c>
      <c r="D3772" t="inlineStr">
        <is>
          <t>JÄMTLANDS LÄN</t>
        </is>
      </c>
      <c r="E3772" t="inlineStr">
        <is>
          <t>RAGUNDA</t>
        </is>
      </c>
      <c r="G3772" t="n">
        <v>1</v>
      </c>
      <c r="H3772" t="n">
        <v>0</v>
      </c>
      <c r="I3772" t="n">
        <v>0</v>
      </c>
      <c r="J3772" t="n">
        <v>0</v>
      </c>
      <c r="K3772" t="n">
        <v>0</v>
      </c>
      <c r="L3772" t="n">
        <v>0</v>
      </c>
      <c r="M3772" t="n">
        <v>0</v>
      </c>
      <c r="N3772" t="n">
        <v>0</v>
      </c>
      <c r="O3772" t="n">
        <v>0</v>
      </c>
      <c r="P3772" t="n">
        <v>0</v>
      </c>
      <c r="Q3772" t="n">
        <v>0</v>
      </c>
      <c r="R3772" s="2" t="inlineStr"/>
    </row>
    <row r="3773" ht="15" customHeight="1">
      <c r="A3773" t="inlineStr">
        <is>
          <t>A 14868-2021</t>
        </is>
      </c>
      <c r="B3773" s="1" t="n">
        <v>44280</v>
      </c>
      <c r="C3773" s="1" t="n">
        <v>45182</v>
      </c>
      <c r="D3773" t="inlineStr">
        <is>
          <t>JÄMTLANDS LÄN</t>
        </is>
      </c>
      <c r="E3773" t="inlineStr">
        <is>
          <t>BRÄCKE</t>
        </is>
      </c>
      <c r="F3773" t="inlineStr">
        <is>
          <t>SCA</t>
        </is>
      </c>
      <c r="G3773" t="n">
        <v>10.8</v>
      </c>
      <c r="H3773" t="n">
        <v>0</v>
      </c>
      <c r="I3773" t="n">
        <v>0</v>
      </c>
      <c r="J3773" t="n">
        <v>0</v>
      </c>
      <c r="K3773" t="n">
        <v>0</v>
      </c>
      <c r="L3773" t="n">
        <v>0</v>
      </c>
      <c r="M3773" t="n">
        <v>0</v>
      </c>
      <c r="N3773" t="n">
        <v>0</v>
      </c>
      <c r="O3773" t="n">
        <v>0</v>
      </c>
      <c r="P3773" t="n">
        <v>0</v>
      </c>
      <c r="Q3773" t="n">
        <v>0</v>
      </c>
      <c r="R3773" s="2" t="inlineStr"/>
    </row>
    <row r="3774" ht="15" customHeight="1">
      <c r="A3774" t="inlineStr">
        <is>
          <t>A 15008-2021</t>
        </is>
      </c>
      <c r="B3774" s="1" t="n">
        <v>44281</v>
      </c>
      <c r="C3774" s="1" t="n">
        <v>45182</v>
      </c>
      <c r="D3774" t="inlineStr">
        <is>
          <t>JÄMTLANDS LÄN</t>
        </is>
      </c>
      <c r="E3774" t="inlineStr">
        <is>
          <t>STRÖMSUND</t>
        </is>
      </c>
      <c r="G3774" t="n">
        <v>14.8</v>
      </c>
      <c r="H3774" t="n">
        <v>0</v>
      </c>
      <c r="I3774" t="n">
        <v>0</v>
      </c>
      <c r="J3774" t="n">
        <v>0</v>
      </c>
      <c r="K3774" t="n">
        <v>0</v>
      </c>
      <c r="L3774" t="n">
        <v>0</v>
      </c>
      <c r="M3774" t="n">
        <v>0</v>
      </c>
      <c r="N3774" t="n">
        <v>0</v>
      </c>
      <c r="O3774" t="n">
        <v>0</v>
      </c>
      <c r="P3774" t="n">
        <v>0</v>
      </c>
      <c r="Q3774" t="n">
        <v>0</v>
      </c>
      <c r="R3774" s="2" t="inlineStr"/>
    </row>
    <row r="3775" ht="15" customHeight="1">
      <c r="A3775" t="inlineStr">
        <is>
          <t>A 15102-2021</t>
        </is>
      </c>
      <c r="B3775" s="1" t="n">
        <v>44281</v>
      </c>
      <c r="C3775" s="1" t="n">
        <v>45182</v>
      </c>
      <c r="D3775" t="inlineStr">
        <is>
          <t>JÄMTLANDS LÄN</t>
        </is>
      </c>
      <c r="E3775" t="inlineStr">
        <is>
          <t>RAGUNDA</t>
        </is>
      </c>
      <c r="F3775" t="inlineStr">
        <is>
          <t>SCA</t>
        </is>
      </c>
      <c r="G3775" t="n">
        <v>0.4</v>
      </c>
      <c r="H3775" t="n">
        <v>0</v>
      </c>
      <c r="I3775" t="n">
        <v>0</v>
      </c>
      <c r="J3775" t="n">
        <v>0</v>
      </c>
      <c r="K3775" t="n">
        <v>0</v>
      </c>
      <c r="L3775" t="n">
        <v>0</v>
      </c>
      <c r="M3775" t="n">
        <v>0</v>
      </c>
      <c r="N3775" t="n">
        <v>0</v>
      </c>
      <c r="O3775" t="n">
        <v>0</v>
      </c>
      <c r="P3775" t="n">
        <v>0</v>
      </c>
      <c r="Q3775" t="n">
        <v>0</v>
      </c>
      <c r="R3775" s="2" t="inlineStr"/>
    </row>
    <row r="3776" ht="15" customHeight="1">
      <c r="A3776" t="inlineStr">
        <is>
          <t>A 15118-2021</t>
        </is>
      </c>
      <c r="B3776" s="1" t="n">
        <v>44282</v>
      </c>
      <c r="C3776" s="1" t="n">
        <v>45182</v>
      </c>
      <c r="D3776" t="inlineStr">
        <is>
          <t>JÄMTLANDS LÄN</t>
        </is>
      </c>
      <c r="E3776" t="inlineStr">
        <is>
          <t>STRÖMSUND</t>
        </is>
      </c>
      <c r="G3776" t="n">
        <v>0.8</v>
      </c>
      <c r="H3776" t="n">
        <v>0</v>
      </c>
      <c r="I3776" t="n">
        <v>0</v>
      </c>
      <c r="J3776" t="n">
        <v>0</v>
      </c>
      <c r="K3776" t="n">
        <v>0</v>
      </c>
      <c r="L3776" t="n">
        <v>0</v>
      </c>
      <c r="M3776" t="n">
        <v>0</v>
      </c>
      <c r="N3776" t="n">
        <v>0</v>
      </c>
      <c r="O3776" t="n">
        <v>0</v>
      </c>
      <c r="P3776" t="n">
        <v>0</v>
      </c>
      <c r="Q3776" t="n">
        <v>0</v>
      </c>
      <c r="R3776" s="2" t="inlineStr"/>
    </row>
    <row r="3777" ht="15" customHeight="1">
      <c r="A3777" t="inlineStr">
        <is>
          <t>A 15360-2021</t>
        </is>
      </c>
      <c r="B3777" s="1" t="n">
        <v>44284</v>
      </c>
      <c r="C3777" s="1" t="n">
        <v>45182</v>
      </c>
      <c r="D3777" t="inlineStr">
        <is>
          <t>JÄMTLANDS LÄN</t>
        </is>
      </c>
      <c r="E3777" t="inlineStr">
        <is>
          <t>STRÖMSUND</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15425-2021</t>
        </is>
      </c>
      <c r="B3778" s="1" t="n">
        <v>44284</v>
      </c>
      <c r="C3778" s="1" t="n">
        <v>45182</v>
      </c>
      <c r="D3778" t="inlineStr">
        <is>
          <t>JÄMTLANDS LÄN</t>
        </is>
      </c>
      <c r="E3778" t="inlineStr">
        <is>
          <t>KROKOM</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15305-2021</t>
        </is>
      </c>
      <c r="B3779" s="1" t="n">
        <v>44284</v>
      </c>
      <c r="C3779" s="1" t="n">
        <v>45182</v>
      </c>
      <c r="D3779" t="inlineStr">
        <is>
          <t>JÄMTLANDS LÄN</t>
        </is>
      </c>
      <c r="E3779" t="inlineStr">
        <is>
          <t>ÅRE</t>
        </is>
      </c>
      <c r="G3779" t="n">
        <v>1.2</v>
      </c>
      <c r="H3779" t="n">
        <v>0</v>
      </c>
      <c r="I3779" t="n">
        <v>0</v>
      </c>
      <c r="J3779" t="n">
        <v>0</v>
      </c>
      <c r="K3779" t="n">
        <v>0</v>
      </c>
      <c r="L3779" t="n">
        <v>0</v>
      </c>
      <c r="M3779" t="n">
        <v>0</v>
      </c>
      <c r="N3779" t="n">
        <v>0</v>
      </c>
      <c r="O3779" t="n">
        <v>0</v>
      </c>
      <c r="P3779" t="n">
        <v>0</v>
      </c>
      <c r="Q3779" t="n">
        <v>0</v>
      </c>
      <c r="R3779" s="2" t="inlineStr"/>
    </row>
    <row r="3780" ht="15" customHeight="1">
      <c r="A3780" t="inlineStr">
        <is>
          <t>A 15355-2021</t>
        </is>
      </c>
      <c r="B3780" s="1" t="n">
        <v>44284</v>
      </c>
      <c r="C3780" s="1" t="n">
        <v>45182</v>
      </c>
      <c r="D3780" t="inlineStr">
        <is>
          <t>JÄMTLANDS LÄN</t>
        </is>
      </c>
      <c r="E3780" t="inlineStr">
        <is>
          <t>STRÖMSUND</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15371-2021</t>
        </is>
      </c>
      <c r="B3781" s="1" t="n">
        <v>44284</v>
      </c>
      <c r="C3781" s="1" t="n">
        <v>45182</v>
      </c>
      <c r="D3781" t="inlineStr">
        <is>
          <t>JÄMTLANDS LÄN</t>
        </is>
      </c>
      <c r="E3781" t="inlineStr">
        <is>
          <t>STRÖMSUND</t>
        </is>
      </c>
      <c r="G3781" t="n">
        <v>10.7</v>
      </c>
      <c r="H3781" t="n">
        <v>0</v>
      </c>
      <c r="I3781" t="n">
        <v>0</v>
      </c>
      <c r="J3781" t="n">
        <v>0</v>
      </c>
      <c r="K3781" t="n">
        <v>0</v>
      </c>
      <c r="L3781" t="n">
        <v>0</v>
      </c>
      <c r="M3781" t="n">
        <v>0</v>
      </c>
      <c r="N3781" t="n">
        <v>0</v>
      </c>
      <c r="O3781" t="n">
        <v>0</v>
      </c>
      <c r="P3781" t="n">
        <v>0</v>
      </c>
      <c r="Q3781" t="n">
        <v>0</v>
      </c>
      <c r="R3781" s="2" t="inlineStr"/>
    </row>
    <row r="3782" ht="15" customHeight="1">
      <c r="A3782" t="inlineStr">
        <is>
          <t>A 15452-2021</t>
        </is>
      </c>
      <c r="B3782" s="1" t="n">
        <v>44285</v>
      </c>
      <c r="C3782" s="1" t="n">
        <v>45182</v>
      </c>
      <c r="D3782" t="inlineStr">
        <is>
          <t>JÄMTLANDS LÄN</t>
        </is>
      </c>
      <c r="E3782" t="inlineStr">
        <is>
          <t>KROKOM</t>
        </is>
      </c>
      <c r="G3782" t="n">
        <v>1.3</v>
      </c>
      <c r="H3782" t="n">
        <v>0</v>
      </c>
      <c r="I3782" t="n">
        <v>0</v>
      </c>
      <c r="J3782" t="n">
        <v>0</v>
      </c>
      <c r="K3782" t="n">
        <v>0</v>
      </c>
      <c r="L3782" t="n">
        <v>0</v>
      </c>
      <c r="M3782" t="n">
        <v>0</v>
      </c>
      <c r="N3782" t="n">
        <v>0</v>
      </c>
      <c r="O3782" t="n">
        <v>0</v>
      </c>
      <c r="P3782" t="n">
        <v>0</v>
      </c>
      <c r="Q3782" t="n">
        <v>0</v>
      </c>
      <c r="R3782" s="2" t="inlineStr"/>
    </row>
    <row r="3783" ht="15" customHeight="1">
      <c r="A3783" t="inlineStr">
        <is>
          <t>A 15455-2021</t>
        </is>
      </c>
      <c r="B3783" s="1" t="n">
        <v>44285</v>
      </c>
      <c r="C3783" s="1" t="n">
        <v>45182</v>
      </c>
      <c r="D3783" t="inlineStr">
        <is>
          <t>JÄMTLANDS LÄN</t>
        </is>
      </c>
      <c r="E3783" t="inlineStr">
        <is>
          <t>KROKOM</t>
        </is>
      </c>
      <c r="G3783" t="n">
        <v>0.3</v>
      </c>
      <c r="H3783" t="n">
        <v>0</v>
      </c>
      <c r="I3783" t="n">
        <v>0</v>
      </c>
      <c r="J3783" t="n">
        <v>0</v>
      </c>
      <c r="K3783" t="n">
        <v>0</v>
      </c>
      <c r="L3783" t="n">
        <v>0</v>
      </c>
      <c r="M3783" t="n">
        <v>0</v>
      </c>
      <c r="N3783" t="n">
        <v>0</v>
      </c>
      <c r="O3783" t="n">
        <v>0</v>
      </c>
      <c r="P3783" t="n">
        <v>0</v>
      </c>
      <c r="Q3783" t="n">
        <v>0</v>
      </c>
      <c r="R3783" s="2" t="inlineStr"/>
    </row>
    <row r="3784" ht="15" customHeight="1">
      <c r="A3784" t="inlineStr">
        <is>
          <t>A 15549-2021</t>
        </is>
      </c>
      <c r="B3784" s="1" t="n">
        <v>44285</v>
      </c>
      <c r="C3784" s="1" t="n">
        <v>45182</v>
      </c>
      <c r="D3784" t="inlineStr">
        <is>
          <t>JÄMTLANDS LÄN</t>
        </is>
      </c>
      <c r="E3784" t="inlineStr">
        <is>
          <t>KROKOM</t>
        </is>
      </c>
      <c r="G3784" t="n">
        <v>3</v>
      </c>
      <c r="H3784" t="n">
        <v>0</v>
      </c>
      <c r="I3784" t="n">
        <v>0</v>
      </c>
      <c r="J3784" t="n">
        <v>0</v>
      </c>
      <c r="K3784" t="n">
        <v>0</v>
      </c>
      <c r="L3784" t="n">
        <v>0</v>
      </c>
      <c r="M3784" t="n">
        <v>0</v>
      </c>
      <c r="N3784" t="n">
        <v>0</v>
      </c>
      <c r="O3784" t="n">
        <v>0</v>
      </c>
      <c r="P3784" t="n">
        <v>0</v>
      </c>
      <c r="Q3784" t="n">
        <v>0</v>
      </c>
      <c r="R3784" s="2" t="inlineStr"/>
    </row>
    <row r="3785" ht="15" customHeight="1">
      <c r="A3785" t="inlineStr">
        <is>
          <t>A 15580-2021</t>
        </is>
      </c>
      <c r="B3785" s="1" t="n">
        <v>44285</v>
      </c>
      <c r="C3785" s="1" t="n">
        <v>45182</v>
      </c>
      <c r="D3785" t="inlineStr">
        <is>
          <t>JÄMTLANDS LÄN</t>
        </is>
      </c>
      <c r="E3785" t="inlineStr">
        <is>
          <t>HÄRJEDALEN</t>
        </is>
      </c>
      <c r="G3785" t="n">
        <v>22.1</v>
      </c>
      <c r="H3785" t="n">
        <v>0</v>
      </c>
      <c r="I3785" t="n">
        <v>0</v>
      </c>
      <c r="J3785" t="n">
        <v>0</v>
      </c>
      <c r="K3785" t="n">
        <v>0</v>
      </c>
      <c r="L3785" t="n">
        <v>0</v>
      </c>
      <c r="M3785" t="n">
        <v>0</v>
      </c>
      <c r="N3785" t="n">
        <v>0</v>
      </c>
      <c r="O3785" t="n">
        <v>0</v>
      </c>
      <c r="P3785" t="n">
        <v>0</v>
      </c>
      <c r="Q3785" t="n">
        <v>0</v>
      </c>
      <c r="R3785" s="2" t="inlineStr"/>
    </row>
    <row r="3786" ht="15" customHeight="1">
      <c r="A3786" t="inlineStr">
        <is>
          <t>A 15594-2021</t>
        </is>
      </c>
      <c r="B3786" s="1" t="n">
        <v>44285</v>
      </c>
      <c r="C3786" s="1" t="n">
        <v>45182</v>
      </c>
      <c r="D3786" t="inlineStr">
        <is>
          <t>JÄMTLANDS LÄN</t>
        </is>
      </c>
      <c r="E3786" t="inlineStr">
        <is>
          <t>HÄRJEDALEN</t>
        </is>
      </c>
      <c r="G3786" t="n">
        <v>28.5</v>
      </c>
      <c r="H3786" t="n">
        <v>0</v>
      </c>
      <c r="I3786" t="n">
        <v>0</v>
      </c>
      <c r="J3786" t="n">
        <v>0</v>
      </c>
      <c r="K3786" t="n">
        <v>0</v>
      </c>
      <c r="L3786" t="n">
        <v>0</v>
      </c>
      <c r="M3786" t="n">
        <v>0</v>
      </c>
      <c r="N3786" t="n">
        <v>0</v>
      </c>
      <c r="O3786" t="n">
        <v>0</v>
      </c>
      <c r="P3786" t="n">
        <v>0</v>
      </c>
      <c r="Q3786" t="n">
        <v>0</v>
      </c>
      <c r="R3786" s="2" t="inlineStr"/>
    </row>
    <row r="3787" ht="15" customHeight="1">
      <c r="A3787" t="inlineStr">
        <is>
          <t>A 15650-2021</t>
        </is>
      </c>
      <c r="B3787" s="1" t="n">
        <v>44285</v>
      </c>
      <c r="C3787" s="1" t="n">
        <v>45182</v>
      </c>
      <c r="D3787" t="inlineStr">
        <is>
          <t>JÄMTLANDS LÄN</t>
        </is>
      </c>
      <c r="E3787" t="inlineStr">
        <is>
          <t>STRÖMSUND</t>
        </is>
      </c>
      <c r="F3787" t="inlineStr">
        <is>
          <t>SCA</t>
        </is>
      </c>
      <c r="G3787" t="n">
        <v>9.6</v>
      </c>
      <c r="H3787" t="n">
        <v>0</v>
      </c>
      <c r="I3787" t="n">
        <v>0</v>
      </c>
      <c r="J3787" t="n">
        <v>0</v>
      </c>
      <c r="K3787" t="n">
        <v>0</v>
      </c>
      <c r="L3787" t="n">
        <v>0</v>
      </c>
      <c r="M3787" t="n">
        <v>0</v>
      </c>
      <c r="N3787" t="n">
        <v>0</v>
      </c>
      <c r="O3787" t="n">
        <v>0</v>
      </c>
      <c r="P3787" t="n">
        <v>0</v>
      </c>
      <c r="Q3787" t="n">
        <v>0</v>
      </c>
      <c r="R3787" s="2" t="inlineStr"/>
    </row>
    <row r="3788" ht="15" customHeight="1">
      <c r="A3788" t="inlineStr">
        <is>
          <t>A 15451-2021</t>
        </is>
      </c>
      <c r="B3788" s="1" t="n">
        <v>44285</v>
      </c>
      <c r="C3788" s="1" t="n">
        <v>45182</v>
      </c>
      <c r="D3788" t="inlineStr">
        <is>
          <t>JÄMTLANDS LÄN</t>
        </is>
      </c>
      <c r="E3788" t="inlineStr">
        <is>
          <t>KROKOM</t>
        </is>
      </c>
      <c r="G3788" t="n">
        <v>9.699999999999999</v>
      </c>
      <c r="H3788" t="n">
        <v>0</v>
      </c>
      <c r="I3788" t="n">
        <v>0</v>
      </c>
      <c r="J3788" t="n">
        <v>0</v>
      </c>
      <c r="K3788" t="n">
        <v>0</v>
      </c>
      <c r="L3788" t="n">
        <v>0</v>
      </c>
      <c r="M3788" t="n">
        <v>0</v>
      </c>
      <c r="N3788" t="n">
        <v>0</v>
      </c>
      <c r="O3788" t="n">
        <v>0</v>
      </c>
      <c r="P3788" t="n">
        <v>0</v>
      </c>
      <c r="Q3788" t="n">
        <v>0</v>
      </c>
      <c r="R3788" s="2" t="inlineStr"/>
    </row>
    <row r="3789" ht="15" customHeight="1">
      <c r="A3789" t="inlineStr">
        <is>
          <t>A 15585-2021</t>
        </is>
      </c>
      <c r="B3789" s="1" t="n">
        <v>44285</v>
      </c>
      <c r="C3789" s="1" t="n">
        <v>45182</v>
      </c>
      <c r="D3789" t="inlineStr">
        <is>
          <t>JÄMTLANDS LÄN</t>
        </is>
      </c>
      <c r="E3789" t="inlineStr">
        <is>
          <t>HÄRJEDALEN</t>
        </is>
      </c>
      <c r="G3789" t="n">
        <v>21.2</v>
      </c>
      <c r="H3789" t="n">
        <v>0</v>
      </c>
      <c r="I3789" t="n">
        <v>0</v>
      </c>
      <c r="J3789" t="n">
        <v>0</v>
      </c>
      <c r="K3789" t="n">
        <v>0</v>
      </c>
      <c r="L3789" t="n">
        <v>0</v>
      </c>
      <c r="M3789" t="n">
        <v>0</v>
      </c>
      <c r="N3789" t="n">
        <v>0</v>
      </c>
      <c r="O3789" t="n">
        <v>0</v>
      </c>
      <c r="P3789" t="n">
        <v>0</v>
      </c>
      <c r="Q3789" t="n">
        <v>0</v>
      </c>
      <c r="R3789" s="2" t="inlineStr"/>
    </row>
    <row r="3790" ht="15" customHeight="1">
      <c r="A3790" t="inlineStr">
        <is>
          <t>A 15720-2021</t>
        </is>
      </c>
      <c r="B3790" s="1" t="n">
        <v>44286</v>
      </c>
      <c r="C3790" s="1" t="n">
        <v>45182</v>
      </c>
      <c r="D3790" t="inlineStr">
        <is>
          <t>JÄMTLANDS LÄN</t>
        </is>
      </c>
      <c r="E3790" t="inlineStr">
        <is>
          <t>RAGUNDA</t>
        </is>
      </c>
      <c r="G3790" t="n">
        <v>0.5</v>
      </c>
      <c r="H3790" t="n">
        <v>0</v>
      </c>
      <c r="I3790" t="n">
        <v>0</v>
      </c>
      <c r="J3790" t="n">
        <v>0</v>
      </c>
      <c r="K3790" t="n">
        <v>0</v>
      </c>
      <c r="L3790" t="n">
        <v>0</v>
      </c>
      <c r="M3790" t="n">
        <v>0</v>
      </c>
      <c r="N3790" t="n">
        <v>0</v>
      </c>
      <c r="O3790" t="n">
        <v>0</v>
      </c>
      <c r="P3790" t="n">
        <v>0</v>
      </c>
      <c r="Q3790" t="n">
        <v>0</v>
      </c>
      <c r="R3790" s="2" t="inlineStr"/>
    </row>
    <row r="3791" ht="15" customHeight="1">
      <c r="A3791" t="inlineStr">
        <is>
          <t>A 15672-2021</t>
        </is>
      </c>
      <c r="B3791" s="1" t="n">
        <v>44286</v>
      </c>
      <c r="C3791" s="1" t="n">
        <v>45182</v>
      </c>
      <c r="D3791" t="inlineStr">
        <is>
          <t>JÄMTLANDS LÄN</t>
        </is>
      </c>
      <c r="E3791" t="inlineStr">
        <is>
          <t>RAGUNDA</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15685-2021</t>
        </is>
      </c>
      <c r="B3792" s="1" t="n">
        <v>44286</v>
      </c>
      <c r="C3792" s="1" t="n">
        <v>45182</v>
      </c>
      <c r="D3792" t="inlineStr">
        <is>
          <t>JÄMTLANDS LÄN</t>
        </is>
      </c>
      <c r="E3792" t="inlineStr">
        <is>
          <t>HÄRJEDALEN</t>
        </is>
      </c>
      <c r="G3792" t="n">
        <v>3.6</v>
      </c>
      <c r="H3792" t="n">
        <v>0</v>
      </c>
      <c r="I3792" t="n">
        <v>0</v>
      </c>
      <c r="J3792" t="n">
        <v>0</v>
      </c>
      <c r="K3792" t="n">
        <v>0</v>
      </c>
      <c r="L3792" t="n">
        <v>0</v>
      </c>
      <c r="M3792" t="n">
        <v>0</v>
      </c>
      <c r="N3792" t="n">
        <v>0</v>
      </c>
      <c r="O3792" t="n">
        <v>0</v>
      </c>
      <c r="P3792" t="n">
        <v>0</v>
      </c>
      <c r="Q3792" t="n">
        <v>0</v>
      </c>
      <c r="R3792" s="2" t="inlineStr"/>
    </row>
    <row r="3793" ht="15" customHeight="1">
      <c r="A3793" t="inlineStr">
        <is>
          <t>A 15681-2021</t>
        </is>
      </c>
      <c r="B3793" s="1" t="n">
        <v>44286</v>
      </c>
      <c r="C3793" s="1" t="n">
        <v>45182</v>
      </c>
      <c r="D3793" t="inlineStr">
        <is>
          <t>JÄMTLANDS LÄN</t>
        </is>
      </c>
      <c r="E3793" t="inlineStr">
        <is>
          <t>HÄRJEDALEN</t>
        </is>
      </c>
      <c r="G3793" t="n">
        <v>9.6</v>
      </c>
      <c r="H3793" t="n">
        <v>0</v>
      </c>
      <c r="I3793" t="n">
        <v>0</v>
      </c>
      <c r="J3793" t="n">
        <v>0</v>
      </c>
      <c r="K3793" t="n">
        <v>0</v>
      </c>
      <c r="L3793" t="n">
        <v>0</v>
      </c>
      <c r="M3793" t="n">
        <v>0</v>
      </c>
      <c r="N3793" t="n">
        <v>0</v>
      </c>
      <c r="O3793" t="n">
        <v>0</v>
      </c>
      <c r="P3793" t="n">
        <v>0</v>
      </c>
      <c r="Q3793" t="n">
        <v>0</v>
      </c>
      <c r="R3793" s="2" t="inlineStr"/>
    </row>
    <row r="3794" ht="15" customHeight="1">
      <c r="A3794" t="inlineStr">
        <is>
          <t>A 15748-2021</t>
        </is>
      </c>
      <c r="B3794" s="1" t="n">
        <v>44286</v>
      </c>
      <c r="C3794" s="1" t="n">
        <v>45182</v>
      </c>
      <c r="D3794" t="inlineStr">
        <is>
          <t>JÄMTLANDS LÄN</t>
        </is>
      </c>
      <c r="E3794" t="inlineStr">
        <is>
          <t>KROKOM</t>
        </is>
      </c>
      <c r="G3794" t="n">
        <v>2.5</v>
      </c>
      <c r="H3794" t="n">
        <v>0</v>
      </c>
      <c r="I3794" t="n">
        <v>0</v>
      </c>
      <c r="J3794" t="n">
        <v>0</v>
      </c>
      <c r="K3794" t="n">
        <v>0</v>
      </c>
      <c r="L3794" t="n">
        <v>0</v>
      </c>
      <c r="M3794" t="n">
        <v>0</v>
      </c>
      <c r="N3794" t="n">
        <v>0</v>
      </c>
      <c r="O3794" t="n">
        <v>0</v>
      </c>
      <c r="P3794" t="n">
        <v>0</v>
      </c>
      <c r="Q3794" t="n">
        <v>0</v>
      </c>
      <c r="R3794" s="2" t="inlineStr"/>
    </row>
    <row r="3795" ht="15" customHeight="1">
      <c r="A3795" t="inlineStr">
        <is>
          <t>A 16002-2021</t>
        </is>
      </c>
      <c r="B3795" s="1" t="n">
        <v>44287</v>
      </c>
      <c r="C3795" s="1" t="n">
        <v>45182</v>
      </c>
      <c r="D3795" t="inlineStr">
        <is>
          <t>JÄMTLANDS LÄN</t>
        </is>
      </c>
      <c r="E3795" t="inlineStr">
        <is>
          <t>RAGUNDA</t>
        </is>
      </c>
      <c r="G3795" t="n">
        <v>3.6</v>
      </c>
      <c r="H3795" t="n">
        <v>0</v>
      </c>
      <c r="I3795" t="n">
        <v>0</v>
      </c>
      <c r="J3795" t="n">
        <v>0</v>
      </c>
      <c r="K3795" t="n">
        <v>0</v>
      </c>
      <c r="L3795" t="n">
        <v>0</v>
      </c>
      <c r="M3795" t="n">
        <v>0</v>
      </c>
      <c r="N3795" t="n">
        <v>0</v>
      </c>
      <c r="O3795" t="n">
        <v>0</v>
      </c>
      <c r="P3795" t="n">
        <v>0</v>
      </c>
      <c r="Q3795" t="n">
        <v>0</v>
      </c>
      <c r="R3795" s="2" t="inlineStr"/>
    </row>
    <row r="3796" ht="15" customHeight="1">
      <c r="A3796" t="inlineStr">
        <is>
          <t>A 16073-2021</t>
        </is>
      </c>
      <c r="B3796" s="1" t="n">
        <v>44287</v>
      </c>
      <c r="C3796" s="1" t="n">
        <v>45182</v>
      </c>
      <c r="D3796" t="inlineStr">
        <is>
          <t>JÄMTLANDS LÄN</t>
        </is>
      </c>
      <c r="E3796" t="inlineStr">
        <is>
          <t>BRÄCKE</t>
        </is>
      </c>
      <c r="F3796" t="inlineStr">
        <is>
          <t>SCA</t>
        </is>
      </c>
      <c r="G3796" t="n">
        <v>1.3</v>
      </c>
      <c r="H3796" t="n">
        <v>0</v>
      </c>
      <c r="I3796" t="n">
        <v>0</v>
      </c>
      <c r="J3796" t="n">
        <v>0</v>
      </c>
      <c r="K3796" t="n">
        <v>0</v>
      </c>
      <c r="L3796" t="n">
        <v>0</v>
      </c>
      <c r="M3796" t="n">
        <v>0</v>
      </c>
      <c r="N3796" t="n">
        <v>0</v>
      </c>
      <c r="O3796" t="n">
        <v>0</v>
      </c>
      <c r="P3796" t="n">
        <v>0</v>
      </c>
      <c r="Q3796" t="n">
        <v>0</v>
      </c>
      <c r="R3796" s="2" t="inlineStr"/>
    </row>
    <row r="3797" ht="15" customHeight="1">
      <c r="A3797" t="inlineStr">
        <is>
          <t>A 16188-2021</t>
        </is>
      </c>
      <c r="B3797" s="1" t="n">
        <v>44287</v>
      </c>
      <c r="C3797" s="1" t="n">
        <v>45182</v>
      </c>
      <c r="D3797" t="inlineStr">
        <is>
          <t>JÄMTLANDS LÄN</t>
        </is>
      </c>
      <c r="E3797" t="inlineStr">
        <is>
          <t>KROKOM</t>
        </is>
      </c>
      <c r="G3797" t="n">
        <v>30.5</v>
      </c>
      <c r="H3797" t="n">
        <v>0</v>
      </c>
      <c r="I3797" t="n">
        <v>0</v>
      </c>
      <c r="J3797" t="n">
        <v>0</v>
      </c>
      <c r="K3797" t="n">
        <v>0</v>
      </c>
      <c r="L3797" t="n">
        <v>0</v>
      </c>
      <c r="M3797" t="n">
        <v>0</v>
      </c>
      <c r="N3797" t="n">
        <v>0</v>
      </c>
      <c r="O3797" t="n">
        <v>0</v>
      </c>
      <c r="P3797" t="n">
        <v>0</v>
      </c>
      <c r="Q3797" t="n">
        <v>0</v>
      </c>
      <c r="R3797" s="2" t="inlineStr"/>
    </row>
    <row r="3798" ht="15" customHeight="1">
      <c r="A3798" t="inlineStr">
        <is>
          <t>A 16117-2021</t>
        </is>
      </c>
      <c r="B3798" s="1" t="n">
        <v>44291</v>
      </c>
      <c r="C3798" s="1" t="n">
        <v>45182</v>
      </c>
      <c r="D3798" t="inlineStr">
        <is>
          <t>JÄMTLANDS LÄN</t>
        </is>
      </c>
      <c r="E3798" t="inlineStr">
        <is>
          <t>BRÄCKE</t>
        </is>
      </c>
      <c r="G3798" t="n">
        <v>3.6</v>
      </c>
      <c r="H3798" t="n">
        <v>0</v>
      </c>
      <c r="I3798" t="n">
        <v>0</v>
      </c>
      <c r="J3798" t="n">
        <v>0</v>
      </c>
      <c r="K3798" t="n">
        <v>0</v>
      </c>
      <c r="L3798" t="n">
        <v>0</v>
      </c>
      <c r="M3798" t="n">
        <v>0</v>
      </c>
      <c r="N3798" t="n">
        <v>0</v>
      </c>
      <c r="O3798" t="n">
        <v>0</v>
      </c>
      <c r="P3798" t="n">
        <v>0</v>
      </c>
      <c r="Q3798" t="n">
        <v>0</v>
      </c>
      <c r="R3798" s="2" t="inlineStr"/>
    </row>
    <row r="3799" ht="15" customHeight="1">
      <c r="A3799" t="inlineStr">
        <is>
          <t>A 16128-2021</t>
        </is>
      </c>
      <c r="B3799" s="1" t="n">
        <v>44291</v>
      </c>
      <c r="C3799" s="1" t="n">
        <v>45182</v>
      </c>
      <c r="D3799" t="inlineStr">
        <is>
          <t>JÄMTLANDS LÄN</t>
        </is>
      </c>
      <c r="E3799" t="inlineStr">
        <is>
          <t>STRÖMSUND</t>
        </is>
      </c>
      <c r="G3799" t="n">
        <v>1.7</v>
      </c>
      <c r="H3799" t="n">
        <v>0</v>
      </c>
      <c r="I3799" t="n">
        <v>0</v>
      </c>
      <c r="J3799" t="n">
        <v>0</v>
      </c>
      <c r="K3799" t="n">
        <v>0</v>
      </c>
      <c r="L3799" t="n">
        <v>0</v>
      </c>
      <c r="M3799" t="n">
        <v>0</v>
      </c>
      <c r="N3799" t="n">
        <v>0</v>
      </c>
      <c r="O3799" t="n">
        <v>0</v>
      </c>
      <c r="P3799" t="n">
        <v>0</v>
      </c>
      <c r="Q3799" t="n">
        <v>0</v>
      </c>
      <c r="R3799" s="2" t="inlineStr"/>
    </row>
    <row r="3800" ht="15" customHeight="1">
      <c r="A3800" t="inlineStr">
        <is>
          <t>A 16379-2021</t>
        </is>
      </c>
      <c r="B3800" s="1" t="n">
        <v>44292</v>
      </c>
      <c r="C3800" s="1" t="n">
        <v>45182</v>
      </c>
      <c r="D3800" t="inlineStr">
        <is>
          <t>JÄMTLANDS LÄN</t>
        </is>
      </c>
      <c r="E3800" t="inlineStr">
        <is>
          <t>RAGUNDA</t>
        </is>
      </c>
      <c r="G3800" t="n">
        <v>2</v>
      </c>
      <c r="H3800" t="n">
        <v>0</v>
      </c>
      <c r="I3800" t="n">
        <v>0</v>
      </c>
      <c r="J3800" t="n">
        <v>0</v>
      </c>
      <c r="K3800" t="n">
        <v>0</v>
      </c>
      <c r="L3800" t="n">
        <v>0</v>
      </c>
      <c r="M3800" t="n">
        <v>0</v>
      </c>
      <c r="N3800" t="n">
        <v>0</v>
      </c>
      <c r="O3800" t="n">
        <v>0</v>
      </c>
      <c r="P3800" t="n">
        <v>0</v>
      </c>
      <c r="Q3800" t="n">
        <v>0</v>
      </c>
      <c r="R3800" s="2" t="inlineStr"/>
    </row>
    <row r="3801" ht="15" customHeight="1">
      <c r="A3801" t="inlineStr">
        <is>
          <t>A 16242-2021</t>
        </is>
      </c>
      <c r="B3801" s="1" t="n">
        <v>44292</v>
      </c>
      <c r="C3801" s="1" t="n">
        <v>45182</v>
      </c>
      <c r="D3801" t="inlineStr">
        <is>
          <t>JÄMTLANDS LÄN</t>
        </is>
      </c>
      <c r="E3801" t="inlineStr">
        <is>
          <t>KROKOM</t>
        </is>
      </c>
      <c r="G3801" t="n">
        <v>1.4</v>
      </c>
      <c r="H3801" t="n">
        <v>0</v>
      </c>
      <c r="I3801" t="n">
        <v>0</v>
      </c>
      <c r="J3801" t="n">
        <v>0</v>
      </c>
      <c r="K3801" t="n">
        <v>0</v>
      </c>
      <c r="L3801" t="n">
        <v>0</v>
      </c>
      <c r="M3801" t="n">
        <v>0</v>
      </c>
      <c r="N3801" t="n">
        <v>0</v>
      </c>
      <c r="O3801" t="n">
        <v>0</v>
      </c>
      <c r="P3801" t="n">
        <v>0</v>
      </c>
      <c r="Q3801" t="n">
        <v>0</v>
      </c>
      <c r="R3801" s="2" t="inlineStr"/>
    </row>
    <row r="3802" ht="15" customHeight="1">
      <c r="A3802" t="inlineStr">
        <is>
          <t>A 16825-2021</t>
        </is>
      </c>
      <c r="B3802" s="1" t="n">
        <v>44293</v>
      </c>
      <c r="C3802" s="1" t="n">
        <v>45182</v>
      </c>
      <c r="D3802" t="inlineStr">
        <is>
          <t>JÄMTLANDS LÄN</t>
        </is>
      </c>
      <c r="E3802" t="inlineStr">
        <is>
          <t>BERG</t>
        </is>
      </c>
      <c r="G3802" t="n">
        <v>20</v>
      </c>
      <c r="H3802" t="n">
        <v>0</v>
      </c>
      <c r="I3802" t="n">
        <v>0</v>
      </c>
      <c r="J3802" t="n">
        <v>0</v>
      </c>
      <c r="K3802" t="n">
        <v>0</v>
      </c>
      <c r="L3802" t="n">
        <v>0</v>
      </c>
      <c r="M3802" t="n">
        <v>0</v>
      </c>
      <c r="N3802" t="n">
        <v>0</v>
      </c>
      <c r="O3802" t="n">
        <v>0</v>
      </c>
      <c r="P3802" t="n">
        <v>0</v>
      </c>
      <c r="Q3802" t="n">
        <v>0</v>
      </c>
      <c r="R3802" s="2" t="inlineStr"/>
    </row>
    <row r="3803" ht="15" customHeight="1">
      <c r="A3803" t="inlineStr">
        <is>
          <t>A 16733-2021</t>
        </is>
      </c>
      <c r="B3803" s="1" t="n">
        <v>44293</v>
      </c>
      <c r="C3803" s="1" t="n">
        <v>45182</v>
      </c>
      <c r="D3803" t="inlineStr">
        <is>
          <t>JÄMTLANDS LÄN</t>
        </is>
      </c>
      <c r="E3803" t="inlineStr">
        <is>
          <t>BRÄCKE</t>
        </is>
      </c>
      <c r="G3803" t="n">
        <v>4</v>
      </c>
      <c r="H3803" t="n">
        <v>0</v>
      </c>
      <c r="I3803" t="n">
        <v>0</v>
      </c>
      <c r="J3803" t="n">
        <v>0</v>
      </c>
      <c r="K3803" t="n">
        <v>0</v>
      </c>
      <c r="L3803" t="n">
        <v>0</v>
      </c>
      <c r="M3803" t="n">
        <v>0</v>
      </c>
      <c r="N3803" t="n">
        <v>0</v>
      </c>
      <c r="O3803" t="n">
        <v>0</v>
      </c>
      <c r="P3803" t="n">
        <v>0</v>
      </c>
      <c r="Q3803" t="n">
        <v>0</v>
      </c>
      <c r="R3803" s="2" t="inlineStr"/>
    </row>
    <row r="3804" ht="15" customHeight="1">
      <c r="A3804" t="inlineStr">
        <is>
          <t>A 16822-2021</t>
        </is>
      </c>
      <c r="B3804" s="1" t="n">
        <v>44293</v>
      </c>
      <c r="C3804" s="1" t="n">
        <v>45182</v>
      </c>
      <c r="D3804" t="inlineStr">
        <is>
          <t>JÄMTLANDS LÄN</t>
        </is>
      </c>
      <c r="E3804" t="inlineStr">
        <is>
          <t>BERG</t>
        </is>
      </c>
      <c r="G3804" t="n">
        <v>4.5</v>
      </c>
      <c r="H3804" t="n">
        <v>0</v>
      </c>
      <c r="I3804" t="n">
        <v>0</v>
      </c>
      <c r="J3804" t="n">
        <v>0</v>
      </c>
      <c r="K3804" t="n">
        <v>0</v>
      </c>
      <c r="L3804" t="n">
        <v>0</v>
      </c>
      <c r="M3804" t="n">
        <v>0</v>
      </c>
      <c r="N3804" t="n">
        <v>0</v>
      </c>
      <c r="O3804" t="n">
        <v>0</v>
      </c>
      <c r="P3804" t="n">
        <v>0</v>
      </c>
      <c r="Q3804" t="n">
        <v>0</v>
      </c>
      <c r="R3804" s="2" t="inlineStr"/>
    </row>
    <row r="3805" ht="15" customHeight="1">
      <c r="A3805" t="inlineStr">
        <is>
          <t>A 16831-2021</t>
        </is>
      </c>
      <c r="B3805" s="1" t="n">
        <v>44293</v>
      </c>
      <c r="C3805" s="1" t="n">
        <v>45182</v>
      </c>
      <c r="D3805" t="inlineStr">
        <is>
          <t>JÄMTLANDS LÄN</t>
        </is>
      </c>
      <c r="E3805" t="inlineStr">
        <is>
          <t>BERG</t>
        </is>
      </c>
      <c r="G3805" t="n">
        <v>13.7</v>
      </c>
      <c r="H3805" t="n">
        <v>0</v>
      </c>
      <c r="I3805" t="n">
        <v>0</v>
      </c>
      <c r="J3805" t="n">
        <v>0</v>
      </c>
      <c r="K3805" t="n">
        <v>0</v>
      </c>
      <c r="L3805" t="n">
        <v>0</v>
      </c>
      <c r="M3805" t="n">
        <v>0</v>
      </c>
      <c r="N3805" t="n">
        <v>0</v>
      </c>
      <c r="O3805" t="n">
        <v>0</v>
      </c>
      <c r="P3805" t="n">
        <v>0</v>
      </c>
      <c r="Q3805" t="n">
        <v>0</v>
      </c>
      <c r="R3805" s="2" t="inlineStr"/>
    </row>
    <row r="3806" ht="15" customHeight="1">
      <c r="A3806" t="inlineStr">
        <is>
          <t>A 16723-2021</t>
        </is>
      </c>
      <c r="B3806" s="1" t="n">
        <v>44293</v>
      </c>
      <c r="C3806" s="1" t="n">
        <v>45182</v>
      </c>
      <c r="D3806" t="inlineStr">
        <is>
          <t>JÄMTLANDS LÄN</t>
        </is>
      </c>
      <c r="E3806" t="inlineStr">
        <is>
          <t>BRÄCKE</t>
        </is>
      </c>
      <c r="G3806" t="n">
        <v>1.7</v>
      </c>
      <c r="H3806" t="n">
        <v>0</v>
      </c>
      <c r="I3806" t="n">
        <v>0</v>
      </c>
      <c r="J3806" t="n">
        <v>0</v>
      </c>
      <c r="K3806" t="n">
        <v>0</v>
      </c>
      <c r="L3806" t="n">
        <v>0</v>
      </c>
      <c r="M3806" t="n">
        <v>0</v>
      </c>
      <c r="N3806" t="n">
        <v>0</v>
      </c>
      <c r="O3806" t="n">
        <v>0</v>
      </c>
      <c r="P3806" t="n">
        <v>0</v>
      </c>
      <c r="Q3806" t="n">
        <v>0</v>
      </c>
      <c r="R3806" s="2" t="inlineStr"/>
    </row>
    <row r="3807" ht="15" customHeight="1">
      <c r="A3807" t="inlineStr">
        <is>
          <t>A 16819-2021</t>
        </is>
      </c>
      <c r="B3807" s="1" t="n">
        <v>44293</v>
      </c>
      <c r="C3807" s="1" t="n">
        <v>45182</v>
      </c>
      <c r="D3807" t="inlineStr">
        <is>
          <t>JÄMTLANDS LÄN</t>
        </is>
      </c>
      <c r="E3807" t="inlineStr">
        <is>
          <t>BERG</t>
        </is>
      </c>
      <c r="G3807" t="n">
        <v>12</v>
      </c>
      <c r="H3807" t="n">
        <v>0</v>
      </c>
      <c r="I3807" t="n">
        <v>0</v>
      </c>
      <c r="J3807" t="n">
        <v>0</v>
      </c>
      <c r="K3807" t="n">
        <v>0</v>
      </c>
      <c r="L3807" t="n">
        <v>0</v>
      </c>
      <c r="M3807" t="n">
        <v>0</v>
      </c>
      <c r="N3807" t="n">
        <v>0</v>
      </c>
      <c r="O3807" t="n">
        <v>0</v>
      </c>
      <c r="P3807" t="n">
        <v>0</v>
      </c>
      <c r="Q3807" t="n">
        <v>0</v>
      </c>
      <c r="R3807" s="2" t="inlineStr"/>
    </row>
    <row r="3808" ht="15" customHeight="1">
      <c r="A3808" t="inlineStr">
        <is>
          <t>A 16828-2021</t>
        </is>
      </c>
      <c r="B3808" s="1" t="n">
        <v>44293</v>
      </c>
      <c r="C3808" s="1" t="n">
        <v>45182</v>
      </c>
      <c r="D3808" t="inlineStr">
        <is>
          <t>JÄMTLANDS LÄN</t>
        </is>
      </c>
      <c r="E3808" t="inlineStr">
        <is>
          <t>BERG</t>
        </is>
      </c>
      <c r="G3808" t="n">
        <v>2.2</v>
      </c>
      <c r="H3808" t="n">
        <v>0</v>
      </c>
      <c r="I3808" t="n">
        <v>0</v>
      </c>
      <c r="J3808" t="n">
        <v>0</v>
      </c>
      <c r="K3808" t="n">
        <v>0</v>
      </c>
      <c r="L3808" t="n">
        <v>0</v>
      </c>
      <c r="M3808" t="n">
        <v>0</v>
      </c>
      <c r="N3808" t="n">
        <v>0</v>
      </c>
      <c r="O3808" t="n">
        <v>0</v>
      </c>
      <c r="P3808" t="n">
        <v>0</v>
      </c>
      <c r="Q3808" t="n">
        <v>0</v>
      </c>
      <c r="R3808" s="2" t="inlineStr"/>
    </row>
    <row r="3809" ht="15" customHeight="1">
      <c r="A3809" t="inlineStr">
        <is>
          <t>A 16625-2021</t>
        </is>
      </c>
      <c r="B3809" s="1" t="n">
        <v>44294</v>
      </c>
      <c r="C3809" s="1" t="n">
        <v>45182</v>
      </c>
      <c r="D3809" t="inlineStr">
        <is>
          <t>JÄMTLANDS LÄN</t>
        </is>
      </c>
      <c r="E3809" t="inlineStr">
        <is>
          <t>ÅRE</t>
        </is>
      </c>
      <c r="F3809" t="inlineStr">
        <is>
          <t>Övriga Aktiebolag</t>
        </is>
      </c>
      <c r="G3809" t="n">
        <v>0.1</v>
      </c>
      <c r="H3809" t="n">
        <v>0</v>
      </c>
      <c r="I3809" t="n">
        <v>0</v>
      </c>
      <c r="J3809" t="n">
        <v>0</v>
      </c>
      <c r="K3809" t="n">
        <v>0</v>
      </c>
      <c r="L3809" t="n">
        <v>0</v>
      </c>
      <c r="M3809" t="n">
        <v>0</v>
      </c>
      <c r="N3809" t="n">
        <v>0</v>
      </c>
      <c r="O3809" t="n">
        <v>0</v>
      </c>
      <c r="P3809" t="n">
        <v>0</v>
      </c>
      <c r="Q3809" t="n">
        <v>0</v>
      </c>
      <c r="R3809" s="2" t="inlineStr"/>
    </row>
    <row r="3810" ht="15" customHeight="1">
      <c r="A3810" t="inlineStr">
        <is>
          <t>A 16774-2021</t>
        </is>
      </c>
      <c r="B3810" s="1" t="n">
        <v>44294</v>
      </c>
      <c r="C3810" s="1" t="n">
        <v>45182</v>
      </c>
      <c r="D3810" t="inlineStr">
        <is>
          <t>JÄMTLANDS LÄN</t>
        </is>
      </c>
      <c r="E3810" t="inlineStr">
        <is>
          <t>STRÖMSUND</t>
        </is>
      </c>
      <c r="G3810" t="n">
        <v>10.5</v>
      </c>
      <c r="H3810" t="n">
        <v>0</v>
      </c>
      <c r="I3810" t="n">
        <v>0</v>
      </c>
      <c r="J3810" t="n">
        <v>0</v>
      </c>
      <c r="K3810" t="n">
        <v>0</v>
      </c>
      <c r="L3810" t="n">
        <v>0</v>
      </c>
      <c r="M3810" t="n">
        <v>0</v>
      </c>
      <c r="N3810" t="n">
        <v>0</v>
      </c>
      <c r="O3810" t="n">
        <v>0</v>
      </c>
      <c r="P3810" t="n">
        <v>0</v>
      </c>
      <c r="Q3810" t="n">
        <v>0</v>
      </c>
      <c r="R3810" s="2" t="inlineStr"/>
    </row>
    <row r="3811" ht="15" customHeight="1">
      <c r="A3811" t="inlineStr">
        <is>
          <t>A 16619-2021</t>
        </is>
      </c>
      <c r="B3811" s="1" t="n">
        <v>44294</v>
      </c>
      <c r="C3811" s="1" t="n">
        <v>45182</v>
      </c>
      <c r="D3811" t="inlineStr">
        <is>
          <t>JÄMTLANDS LÄN</t>
        </is>
      </c>
      <c r="E3811" t="inlineStr">
        <is>
          <t>BRÄCKE</t>
        </is>
      </c>
      <c r="G3811" t="n">
        <v>10.3</v>
      </c>
      <c r="H3811" t="n">
        <v>0</v>
      </c>
      <c r="I3811" t="n">
        <v>0</v>
      </c>
      <c r="J3811" t="n">
        <v>0</v>
      </c>
      <c r="K3811" t="n">
        <v>0</v>
      </c>
      <c r="L3811" t="n">
        <v>0</v>
      </c>
      <c r="M3811" t="n">
        <v>0</v>
      </c>
      <c r="N3811" t="n">
        <v>0</v>
      </c>
      <c r="O3811" t="n">
        <v>0</v>
      </c>
      <c r="P3811" t="n">
        <v>0</v>
      </c>
      <c r="Q3811" t="n">
        <v>0</v>
      </c>
      <c r="R3811" s="2" t="inlineStr"/>
    </row>
    <row r="3812" ht="15" customHeight="1">
      <c r="A3812" t="inlineStr">
        <is>
          <t>A 17173-2021</t>
        </is>
      </c>
      <c r="B3812" s="1" t="n">
        <v>44295</v>
      </c>
      <c r="C3812" s="1" t="n">
        <v>45182</v>
      </c>
      <c r="D3812" t="inlineStr">
        <is>
          <t>JÄMTLANDS LÄN</t>
        </is>
      </c>
      <c r="E3812" t="inlineStr">
        <is>
          <t>BRÄCKE</t>
        </is>
      </c>
      <c r="G3812" t="n">
        <v>4.3</v>
      </c>
      <c r="H3812" t="n">
        <v>0</v>
      </c>
      <c r="I3812" t="n">
        <v>0</v>
      </c>
      <c r="J3812" t="n">
        <v>0</v>
      </c>
      <c r="K3812" t="n">
        <v>0</v>
      </c>
      <c r="L3812" t="n">
        <v>0</v>
      </c>
      <c r="M3812" t="n">
        <v>0</v>
      </c>
      <c r="N3812" t="n">
        <v>0</v>
      </c>
      <c r="O3812" t="n">
        <v>0</v>
      </c>
      <c r="P3812" t="n">
        <v>0</v>
      </c>
      <c r="Q3812" t="n">
        <v>0</v>
      </c>
      <c r="R3812" s="2" t="inlineStr"/>
    </row>
    <row r="3813" ht="15" customHeight="1">
      <c r="A3813" t="inlineStr">
        <is>
          <t>A 15659-2021</t>
        </is>
      </c>
      <c r="B3813" s="1" t="n">
        <v>44298</v>
      </c>
      <c r="C3813" s="1" t="n">
        <v>45182</v>
      </c>
      <c r="D3813" t="inlineStr">
        <is>
          <t>JÄMTLANDS LÄN</t>
        </is>
      </c>
      <c r="E3813" t="inlineStr">
        <is>
          <t>ÖSTERSUND</t>
        </is>
      </c>
      <c r="G3813" t="n">
        <v>13.3</v>
      </c>
      <c r="H3813" t="n">
        <v>0</v>
      </c>
      <c r="I3813" t="n">
        <v>0</v>
      </c>
      <c r="J3813" t="n">
        <v>0</v>
      </c>
      <c r="K3813" t="n">
        <v>0</v>
      </c>
      <c r="L3813" t="n">
        <v>0</v>
      </c>
      <c r="M3813" t="n">
        <v>0</v>
      </c>
      <c r="N3813" t="n">
        <v>0</v>
      </c>
      <c r="O3813" t="n">
        <v>0</v>
      </c>
      <c r="P3813" t="n">
        <v>0</v>
      </c>
      <c r="Q3813" t="n">
        <v>0</v>
      </c>
      <c r="R3813" s="2" t="inlineStr"/>
    </row>
    <row r="3814" ht="15" customHeight="1">
      <c r="A3814" t="inlineStr">
        <is>
          <t>A 17315-2021</t>
        </is>
      </c>
      <c r="B3814" s="1" t="n">
        <v>44298</v>
      </c>
      <c r="C3814" s="1" t="n">
        <v>45182</v>
      </c>
      <c r="D3814" t="inlineStr">
        <is>
          <t>JÄMTLANDS LÄN</t>
        </is>
      </c>
      <c r="E3814" t="inlineStr">
        <is>
          <t>RAGUNDA</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17362-2021</t>
        </is>
      </c>
      <c r="B3815" s="1" t="n">
        <v>44298</v>
      </c>
      <c r="C3815" s="1" t="n">
        <v>45182</v>
      </c>
      <c r="D3815" t="inlineStr">
        <is>
          <t>JÄMTLANDS LÄN</t>
        </is>
      </c>
      <c r="E3815" t="inlineStr">
        <is>
          <t>ÖSTERSUND</t>
        </is>
      </c>
      <c r="G3815" t="n">
        <v>3.7</v>
      </c>
      <c r="H3815" t="n">
        <v>0</v>
      </c>
      <c r="I3815" t="n">
        <v>0</v>
      </c>
      <c r="J3815" t="n">
        <v>0</v>
      </c>
      <c r="K3815" t="n">
        <v>0</v>
      </c>
      <c r="L3815" t="n">
        <v>0</v>
      </c>
      <c r="M3815" t="n">
        <v>0</v>
      </c>
      <c r="N3815" t="n">
        <v>0</v>
      </c>
      <c r="O3815" t="n">
        <v>0</v>
      </c>
      <c r="P3815" t="n">
        <v>0</v>
      </c>
      <c r="Q3815" t="n">
        <v>0</v>
      </c>
      <c r="R3815" s="2" t="inlineStr"/>
    </row>
    <row r="3816" ht="15" customHeight="1">
      <c r="A3816" t="inlineStr">
        <is>
          <t>A 17187-2021</t>
        </is>
      </c>
      <c r="B3816" s="1" t="n">
        <v>44298</v>
      </c>
      <c r="C3816" s="1" t="n">
        <v>45182</v>
      </c>
      <c r="D3816" t="inlineStr">
        <is>
          <t>JÄMTLANDS LÄN</t>
        </is>
      </c>
      <c r="E3816" t="inlineStr">
        <is>
          <t>HÄRJEDALEN</t>
        </is>
      </c>
      <c r="G3816" t="n">
        <v>20.1</v>
      </c>
      <c r="H3816" t="n">
        <v>0</v>
      </c>
      <c r="I3816" t="n">
        <v>0</v>
      </c>
      <c r="J3816" t="n">
        <v>0</v>
      </c>
      <c r="K3816" t="n">
        <v>0</v>
      </c>
      <c r="L3816" t="n">
        <v>0</v>
      </c>
      <c r="M3816" t="n">
        <v>0</v>
      </c>
      <c r="N3816" t="n">
        <v>0</v>
      </c>
      <c r="O3816" t="n">
        <v>0</v>
      </c>
      <c r="P3816" t="n">
        <v>0</v>
      </c>
      <c r="Q3816" t="n">
        <v>0</v>
      </c>
      <c r="R3816" s="2" t="inlineStr"/>
    </row>
    <row r="3817" ht="15" customHeight="1">
      <c r="A3817" t="inlineStr">
        <is>
          <t>A 17217-2021</t>
        </is>
      </c>
      <c r="B3817" s="1" t="n">
        <v>44298</v>
      </c>
      <c r="C3817" s="1" t="n">
        <v>45182</v>
      </c>
      <c r="D3817" t="inlineStr">
        <is>
          <t>JÄMTLANDS LÄN</t>
        </is>
      </c>
      <c r="E3817" t="inlineStr">
        <is>
          <t>ÖSTERSUND</t>
        </is>
      </c>
      <c r="G3817" t="n">
        <v>10.4</v>
      </c>
      <c r="H3817" t="n">
        <v>0</v>
      </c>
      <c r="I3817" t="n">
        <v>0</v>
      </c>
      <c r="J3817" t="n">
        <v>0</v>
      </c>
      <c r="K3817" t="n">
        <v>0</v>
      </c>
      <c r="L3817" t="n">
        <v>0</v>
      </c>
      <c r="M3817" t="n">
        <v>0</v>
      </c>
      <c r="N3817" t="n">
        <v>0</v>
      </c>
      <c r="O3817" t="n">
        <v>0</v>
      </c>
      <c r="P3817" t="n">
        <v>0</v>
      </c>
      <c r="Q3817" t="n">
        <v>0</v>
      </c>
      <c r="R3817" s="2" t="inlineStr"/>
    </row>
    <row r="3818" ht="15" customHeight="1">
      <c r="A3818" t="inlineStr">
        <is>
          <t>A 17599-2021</t>
        </is>
      </c>
      <c r="B3818" s="1" t="n">
        <v>44299</v>
      </c>
      <c r="C3818" s="1" t="n">
        <v>45182</v>
      </c>
      <c r="D3818" t="inlineStr">
        <is>
          <t>JÄMTLANDS LÄN</t>
        </is>
      </c>
      <c r="E3818" t="inlineStr">
        <is>
          <t>KROKOM</t>
        </is>
      </c>
      <c r="G3818" t="n">
        <v>1.8</v>
      </c>
      <c r="H3818" t="n">
        <v>0</v>
      </c>
      <c r="I3818" t="n">
        <v>0</v>
      </c>
      <c r="J3818" t="n">
        <v>0</v>
      </c>
      <c r="K3818" t="n">
        <v>0</v>
      </c>
      <c r="L3818" t="n">
        <v>0</v>
      </c>
      <c r="M3818" t="n">
        <v>0</v>
      </c>
      <c r="N3818" t="n">
        <v>0</v>
      </c>
      <c r="O3818" t="n">
        <v>0</v>
      </c>
      <c r="P3818" t="n">
        <v>0</v>
      </c>
      <c r="Q3818" t="n">
        <v>0</v>
      </c>
      <c r="R3818" s="2" t="inlineStr"/>
    </row>
    <row r="3819" ht="15" customHeight="1">
      <c r="A3819" t="inlineStr">
        <is>
          <t>A 17596-2021</t>
        </is>
      </c>
      <c r="B3819" s="1" t="n">
        <v>44299</v>
      </c>
      <c r="C3819" s="1" t="n">
        <v>45182</v>
      </c>
      <c r="D3819" t="inlineStr">
        <is>
          <t>JÄMTLANDS LÄN</t>
        </is>
      </c>
      <c r="E3819" t="inlineStr">
        <is>
          <t>ÖSTERSUND</t>
        </is>
      </c>
      <c r="G3819" t="n">
        <v>3.7</v>
      </c>
      <c r="H3819" t="n">
        <v>0</v>
      </c>
      <c r="I3819" t="n">
        <v>0</v>
      </c>
      <c r="J3819" t="n">
        <v>0</v>
      </c>
      <c r="K3819" t="n">
        <v>0</v>
      </c>
      <c r="L3819" t="n">
        <v>0</v>
      </c>
      <c r="M3819" t="n">
        <v>0</v>
      </c>
      <c r="N3819" t="n">
        <v>0</v>
      </c>
      <c r="O3819" t="n">
        <v>0</v>
      </c>
      <c r="P3819" t="n">
        <v>0</v>
      </c>
      <c r="Q3819" t="n">
        <v>0</v>
      </c>
      <c r="R3819" s="2" t="inlineStr"/>
    </row>
    <row r="3820" ht="15" customHeight="1">
      <c r="A3820" t="inlineStr">
        <is>
          <t>A 17598-2021</t>
        </is>
      </c>
      <c r="B3820" s="1" t="n">
        <v>44299</v>
      </c>
      <c r="C3820" s="1" t="n">
        <v>45182</v>
      </c>
      <c r="D3820" t="inlineStr">
        <is>
          <t>JÄMTLANDS LÄN</t>
        </is>
      </c>
      <c r="E3820" t="inlineStr">
        <is>
          <t>RAGUNDA</t>
        </is>
      </c>
      <c r="G3820" t="n">
        <v>4.6</v>
      </c>
      <c r="H3820" t="n">
        <v>0</v>
      </c>
      <c r="I3820" t="n">
        <v>0</v>
      </c>
      <c r="J3820" t="n">
        <v>0</v>
      </c>
      <c r="K3820" t="n">
        <v>0</v>
      </c>
      <c r="L3820" t="n">
        <v>0</v>
      </c>
      <c r="M3820" t="n">
        <v>0</v>
      </c>
      <c r="N3820" t="n">
        <v>0</v>
      </c>
      <c r="O3820" t="n">
        <v>0</v>
      </c>
      <c r="P3820" t="n">
        <v>0</v>
      </c>
      <c r="Q3820" t="n">
        <v>0</v>
      </c>
      <c r="R3820" s="2" t="inlineStr"/>
    </row>
    <row r="3821" ht="15" customHeight="1">
      <c r="A3821" t="inlineStr">
        <is>
          <t>A 17726-2021</t>
        </is>
      </c>
      <c r="B3821" s="1" t="n">
        <v>44300</v>
      </c>
      <c r="C3821" s="1" t="n">
        <v>45182</v>
      </c>
      <c r="D3821" t="inlineStr">
        <is>
          <t>JÄMTLANDS LÄN</t>
        </is>
      </c>
      <c r="E3821" t="inlineStr">
        <is>
          <t>KROKOM</t>
        </is>
      </c>
      <c r="G3821" t="n">
        <v>30.7</v>
      </c>
      <c r="H3821" t="n">
        <v>0</v>
      </c>
      <c r="I3821" t="n">
        <v>0</v>
      </c>
      <c r="J3821" t="n">
        <v>0</v>
      </c>
      <c r="K3821" t="n">
        <v>0</v>
      </c>
      <c r="L3821" t="n">
        <v>0</v>
      </c>
      <c r="M3821" t="n">
        <v>0</v>
      </c>
      <c r="N3821" t="n">
        <v>0</v>
      </c>
      <c r="O3821" t="n">
        <v>0</v>
      </c>
      <c r="P3821" t="n">
        <v>0</v>
      </c>
      <c r="Q3821" t="n">
        <v>0</v>
      </c>
      <c r="R3821" s="2" t="inlineStr"/>
    </row>
    <row r="3822" ht="15" customHeight="1">
      <c r="A3822" t="inlineStr">
        <is>
          <t>A 17705-2021</t>
        </is>
      </c>
      <c r="B3822" s="1" t="n">
        <v>44300</v>
      </c>
      <c r="C3822" s="1" t="n">
        <v>45182</v>
      </c>
      <c r="D3822" t="inlineStr">
        <is>
          <t>JÄMTLANDS LÄN</t>
        </is>
      </c>
      <c r="E3822" t="inlineStr">
        <is>
          <t>HÄRJEDALEN</t>
        </is>
      </c>
      <c r="G3822" t="n">
        <v>5.2</v>
      </c>
      <c r="H3822" t="n">
        <v>0</v>
      </c>
      <c r="I3822" t="n">
        <v>0</v>
      </c>
      <c r="J3822" t="n">
        <v>0</v>
      </c>
      <c r="K3822" t="n">
        <v>0</v>
      </c>
      <c r="L3822" t="n">
        <v>0</v>
      </c>
      <c r="M3822" t="n">
        <v>0</v>
      </c>
      <c r="N3822" t="n">
        <v>0</v>
      </c>
      <c r="O3822" t="n">
        <v>0</v>
      </c>
      <c r="P3822" t="n">
        <v>0</v>
      </c>
      <c r="Q3822" t="n">
        <v>0</v>
      </c>
      <c r="R3822" s="2" t="inlineStr"/>
    </row>
    <row r="3823" ht="15" customHeight="1">
      <c r="A3823" t="inlineStr">
        <is>
          <t>A 17857-2021</t>
        </is>
      </c>
      <c r="B3823" s="1" t="n">
        <v>44300</v>
      </c>
      <c r="C3823" s="1" t="n">
        <v>45182</v>
      </c>
      <c r="D3823" t="inlineStr">
        <is>
          <t>JÄMTLANDS LÄN</t>
        </is>
      </c>
      <c r="E3823" t="inlineStr">
        <is>
          <t>STRÖMSUND</t>
        </is>
      </c>
      <c r="F3823" t="inlineStr">
        <is>
          <t>SCA</t>
        </is>
      </c>
      <c r="G3823" t="n">
        <v>5.8</v>
      </c>
      <c r="H3823" t="n">
        <v>0</v>
      </c>
      <c r="I3823" t="n">
        <v>0</v>
      </c>
      <c r="J3823" t="n">
        <v>0</v>
      </c>
      <c r="K3823" t="n">
        <v>0</v>
      </c>
      <c r="L3823" t="n">
        <v>0</v>
      </c>
      <c r="M3823" t="n">
        <v>0</v>
      </c>
      <c r="N3823" t="n">
        <v>0</v>
      </c>
      <c r="O3823" t="n">
        <v>0</v>
      </c>
      <c r="P3823" t="n">
        <v>0</v>
      </c>
      <c r="Q3823" t="n">
        <v>0</v>
      </c>
      <c r="R3823" s="2" t="inlineStr"/>
    </row>
    <row r="3824" ht="15" customHeight="1">
      <c r="A3824" t="inlineStr">
        <is>
          <t>A 17883-2021</t>
        </is>
      </c>
      <c r="B3824" s="1" t="n">
        <v>44301</v>
      </c>
      <c r="C3824" s="1" t="n">
        <v>45182</v>
      </c>
      <c r="D3824" t="inlineStr">
        <is>
          <t>JÄMTLANDS LÄN</t>
        </is>
      </c>
      <c r="E3824" t="inlineStr">
        <is>
          <t>ÅRE</t>
        </is>
      </c>
      <c r="F3824" t="inlineStr">
        <is>
          <t>Övriga Aktiebolag</t>
        </is>
      </c>
      <c r="G3824" t="n">
        <v>6.7</v>
      </c>
      <c r="H3824" t="n">
        <v>0</v>
      </c>
      <c r="I3824" t="n">
        <v>0</v>
      </c>
      <c r="J3824" t="n">
        <v>0</v>
      </c>
      <c r="K3824" t="n">
        <v>0</v>
      </c>
      <c r="L3824" t="n">
        <v>0</v>
      </c>
      <c r="M3824" t="n">
        <v>0</v>
      </c>
      <c r="N3824" t="n">
        <v>0</v>
      </c>
      <c r="O3824" t="n">
        <v>0</v>
      </c>
      <c r="P3824" t="n">
        <v>0</v>
      </c>
      <c r="Q3824" t="n">
        <v>0</v>
      </c>
      <c r="R3824" s="2" t="inlineStr"/>
    </row>
    <row r="3825" ht="15" customHeight="1">
      <c r="A3825" t="inlineStr">
        <is>
          <t>A 17933-2021</t>
        </is>
      </c>
      <c r="B3825" s="1" t="n">
        <v>44301</v>
      </c>
      <c r="C3825" s="1" t="n">
        <v>45182</v>
      </c>
      <c r="D3825" t="inlineStr">
        <is>
          <t>JÄMTLANDS LÄN</t>
        </is>
      </c>
      <c r="E3825" t="inlineStr">
        <is>
          <t>STRÖMSUND</t>
        </is>
      </c>
      <c r="G3825" t="n">
        <v>1</v>
      </c>
      <c r="H3825" t="n">
        <v>0</v>
      </c>
      <c r="I3825" t="n">
        <v>0</v>
      </c>
      <c r="J3825" t="n">
        <v>0</v>
      </c>
      <c r="K3825" t="n">
        <v>0</v>
      </c>
      <c r="L3825" t="n">
        <v>0</v>
      </c>
      <c r="M3825" t="n">
        <v>0</v>
      </c>
      <c r="N3825" t="n">
        <v>0</v>
      </c>
      <c r="O3825" t="n">
        <v>0</v>
      </c>
      <c r="P3825" t="n">
        <v>0</v>
      </c>
      <c r="Q3825" t="n">
        <v>0</v>
      </c>
      <c r="R3825" s="2" t="inlineStr"/>
    </row>
    <row r="3826" ht="15" customHeight="1">
      <c r="A3826" t="inlineStr">
        <is>
          <t>A 18006-2021</t>
        </is>
      </c>
      <c r="B3826" s="1" t="n">
        <v>44301</v>
      </c>
      <c r="C3826" s="1" t="n">
        <v>45182</v>
      </c>
      <c r="D3826" t="inlineStr">
        <is>
          <t>JÄMTLANDS LÄN</t>
        </is>
      </c>
      <c r="E3826" t="inlineStr">
        <is>
          <t>BRÄCKE</t>
        </is>
      </c>
      <c r="F3826" t="inlineStr">
        <is>
          <t>SCA</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18220-2021</t>
        </is>
      </c>
      <c r="B3827" s="1" t="n">
        <v>44302</v>
      </c>
      <c r="C3827" s="1" t="n">
        <v>45182</v>
      </c>
      <c r="D3827" t="inlineStr">
        <is>
          <t>JÄMTLANDS LÄN</t>
        </is>
      </c>
      <c r="E3827" t="inlineStr">
        <is>
          <t>STRÖMSUND</t>
        </is>
      </c>
      <c r="F3827" t="inlineStr">
        <is>
          <t>SCA</t>
        </is>
      </c>
      <c r="G3827" t="n">
        <v>11.3</v>
      </c>
      <c r="H3827" t="n">
        <v>0</v>
      </c>
      <c r="I3827" t="n">
        <v>0</v>
      </c>
      <c r="J3827" t="n">
        <v>0</v>
      </c>
      <c r="K3827" t="n">
        <v>0</v>
      </c>
      <c r="L3827" t="n">
        <v>0</v>
      </c>
      <c r="M3827" t="n">
        <v>0</v>
      </c>
      <c r="N3827" t="n">
        <v>0</v>
      </c>
      <c r="O3827" t="n">
        <v>0</v>
      </c>
      <c r="P3827" t="n">
        <v>0</v>
      </c>
      <c r="Q3827" t="n">
        <v>0</v>
      </c>
      <c r="R3827" s="2" t="inlineStr"/>
    </row>
    <row r="3828" ht="15" customHeight="1">
      <c r="A3828" t="inlineStr">
        <is>
          <t>A 18389-2021</t>
        </is>
      </c>
      <c r="B3828" s="1" t="n">
        <v>44305</v>
      </c>
      <c r="C3828" s="1" t="n">
        <v>45182</v>
      </c>
      <c r="D3828" t="inlineStr">
        <is>
          <t>JÄMTLANDS LÄN</t>
        </is>
      </c>
      <c r="E3828" t="inlineStr">
        <is>
          <t>HÄRJEDALEN</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18374-2021</t>
        </is>
      </c>
      <c r="B3829" s="1" t="n">
        <v>44305</v>
      </c>
      <c r="C3829" s="1" t="n">
        <v>45182</v>
      </c>
      <c r="D3829" t="inlineStr">
        <is>
          <t>JÄMTLANDS LÄN</t>
        </is>
      </c>
      <c r="E3829" t="inlineStr">
        <is>
          <t>ÅRE</t>
        </is>
      </c>
      <c r="G3829" t="n">
        <v>1.5</v>
      </c>
      <c r="H3829" t="n">
        <v>0</v>
      </c>
      <c r="I3829" t="n">
        <v>0</v>
      </c>
      <c r="J3829" t="n">
        <v>0</v>
      </c>
      <c r="K3829" t="n">
        <v>0</v>
      </c>
      <c r="L3829" t="n">
        <v>0</v>
      </c>
      <c r="M3829" t="n">
        <v>0</v>
      </c>
      <c r="N3829" t="n">
        <v>0</v>
      </c>
      <c r="O3829" t="n">
        <v>0</v>
      </c>
      <c r="P3829" t="n">
        <v>0</v>
      </c>
      <c r="Q3829" t="n">
        <v>0</v>
      </c>
      <c r="R3829" s="2" t="inlineStr"/>
    </row>
    <row r="3830" ht="15" customHeight="1">
      <c r="A3830" t="inlineStr">
        <is>
          <t>A 18531-2021</t>
        </is>
      </c>
      <c r="B3830" s="1" t="n">
        <v>44306</v>
      </c>
      <c r="C3830" s="1" t="n">
        <v>45182</v>
      </c>
      <c r="D3830" t="inlineStr">
        <is>
          <t>JÄMTLANDS LÄN</t>
        </is>
      </c>
      <c r="E3830" t="inlineStr">
        <is>
          <t>ÅRE</t>
        </is>
      </c>
      <c r="G3830" t="n">
        <v>4</v>
      </c>
      <c r="H3830" t="n">
        <v>0</v>
      </c>
      <c r="I3830" t="n">
        <v>0</v>
      </c>
      <c r="J3830" t="n">
        <v>0</v>
      </c>
      <c r="K3830" t="n">
        <v>0</v>
      </c>
      <c r="L3830" t="n">
        <v>0</v>
      </c>
      <c r="M3830" t="n">
        <v>0</v>
      </c>
      <c r="N3830" t="n">
        <v>0</v>
      </c>
      <c r="O3830" t="n">
        <v>0</v>
      </c>
      <c r="P3830" t="n">
        <v>0</v>
      </c>
      <c r="Q3830" t="n">
        <v>0</v>
      </c>
      <c r="R3830" s="2" t="inlineStr"/>
    </row>
    <row r="3831" ht="15" customHeight="1">
      <c r="A3831" t="inlineStr">
        <is>
          <t>A 18544-2021</t>
        </is>
      </c>
      <c r="B3831" s="1" t="n">
        <v>44306</v>
      </c>
      <c r="C3831" s="1" t="n">
        <v>45182</v>
      </c>
      <c r="D3831" t="inlineStr">
        <is>
          <t>JÄMTLANDS LÄN</t>
        </is>
      </c>
      <c r="E3831" t="inlineStr">
        <is>
          <t>KROKOM</t>
        </is>
      </c>
      <c r="G3831" t="n">
        <v>4.1</v>
      </c>
      <c r="H3831" t="n">
        <v>0</v>
      </c>
      <c r="I3831" t="n">
        <v>0</v>
      </c>
      <c r="J3831" t="n">
        <v>0</v>
      </c>
      <c r="K3831" t="n">
        <v>0</v>
      </c>
      <c r="L3831" t="n">
        <v>0</v>
      </c>
      <c r="M3831" t="n">
        <v>0</v>
      </c>
      <c r="N3831" t="n">
        <v>0</v>
      </c>
      <c r="O3831" t="n">
        <v>0</v>
      </c>
      <c r="P3831" t="n">
        <v>0</v>
      </c>
      <c r="Q3831" t="n">
        <v>0</v>
      </c>
      <c r="R3831" s="2" t="inlineStr"/>
    </row>
    <row r="3832" ht="15" customHeight="1">
      <c r="A3832" t="inlineStr">
        <is>
          <t>A 18792-2021</t>
        </is>
      </c>
      <c r="B3832" s="1" t="n">
        <v>44307</v>
      </c>
      <c r="C3832" s="1" t="n">
        <v>45182</v>
      </c>
      <c r="D3832" t="inlineStr">
        <is>
          <t>JÄMTLANDS LÄN</t>
        </is>
      </c>
      <c r="E3832" t="inlineStr">
        <is>
          <t>ÅRE</t>
        </is>
      </c>
      <c r="G3832" t="n">
        <v>16.6</v>
      </c>
      <c r="H3832" t="n">
        <v>0</v>
      </c>
      <c r="I3832" t="n">
        <v>0</v>
      </c>
      <c r="J3832" t="n">
        <v>0</v>
      </c>
      <c r="K3832" t="n">
        <v>0</v>
      </c>
      <c r="L3832" t="n">
        <v>0</v>
      </c>
      <c r="M3832" t="n">
        <v>0</v>
      </c>
      <c r="N3832" t="n">
        <v>0</v>
      </c>
      <c r="O3832" t="n">
        <v>0</v>
      </c>
      <c r="P3832" t="n">
        <v>0</v>
      </c>
      <c r="Q3832" t="n">
        <v>0</v>
      </c>
      <c r="R3832" s="2" t="inlineStr"/>
    </row>
    <row r="3833" ht="15" customHeight="1">
      <c r="A3833" t="inlineStr">
        <is>
          <t>A 18775-2021</t>
        </is>
      </c>
      <c r="B3833" s="1" t="n">
        <v>44307</v>
      </c>
      <c r="C3833" s="1" t="n">
        <v>45182</v>
      </c>
      <c r="D3833" t="inlineStr">
        <is>
          <t>JÄMTLANDS LÄN</t>
        </is>
      </c>
      <c r="E3833" t="inlineStr">
        <is>
          <t>STRÖMSUND</t>
        </is>
      </c>
      <c r="G3833" t="n">
        <v>39.7</v>
      </c>
      <c r="H3833" t="n">
        <v>0</v>
      </c>
      <c r="I3833" t="n">
        <v>0</v>
      </c>
      <c r="J3833" t="n">
        <v>0</v>
      </c>
      <c r="K3833" t="n">
        <v>0</v>
      </c>
      <c r="L3833" t="n">
        <v>0</v>
      </c>
      <c r="M3833" t="n">
        <v>0</v>
      </c>
      <c r="N3833" t="n">
        <v>0</v>
      </c>
      <c r="O3833" t="n">
        <v>0</v>
      </c>
      <c r="P3833" t="n">
        <v>0</v>
      </c>
      <c r="Q3833" t="n">
        <v>0</v>
      </c>
      <c r="R3833" s="2" t="inlineStr"/>
    </row>
    <row r="3834" ht="15" customHeight="1">
      <c r="A3834" t="inlineStr">
        <is>
          <t>A 19088-2021</t>
        </is>
      </c>
      <c r="B3834" s="1" t="n">
        <v>44308</v>
      </c>
      <c r="C3834" s="1" t="n">
        <v>45182</v>
      </c>
      <c r="D3834" t="inlineStr">
        <is>
          <t>JÄMTLANDS LÄN</t>
        </is>
      </c>
      <c r="E3834" t="inlineStr">
        <is>
          <t>BRÄCKE</t>
        </is>
      </c>
      <c r="G3834" t="n">
        <v>3.6</v>
      </c>
      <c r="H3834" t="n">
        <v>0</v>
      </c>
      <c r="I3834" t="n">
        <v>0</v>
      </c>
      <c r="J3834" t="n">
        <v>0</v>
      </c>
      <c r="K3834" t="n">
        <v>0</v>
      </c>
      <c r="L3834" t="n">
        <v>0</v>
      </c>
      <c r="M3834" t="n">
        <v>0</v>
      </c>
      <c r="N3834" t="n">
        <v>0</v>
      </c>
      <c r="O3834" t="n">
        <v>0</v>
      </c>
      <c r="P3834" t="n">
        <v>0</v>
      </c>
      <c r="Q3834" t="n">
        <v>0</v>
      </c>
      <c r="R3834" s="2" t="inlineStr"/>
    </row>
    <row r="3835" ht="15" customHeight="1">
      <c r="A3835" t="inlineStr">
        <is>
          <t>A 19615-2021</t>
        </is>
      </c>
      <c r="B3835" s="1" t="n">
        <v>44308</v>
      </c>
      <c r="C3835" s="1" t="n">
        <v>45182</v>
      </c>
      <c r="D3835" t="inlineStr">
        <is>
          <t>JÄMTLANDS LÄN</t>
        </is>
      </c>
      <c r="E3835" t="inlineStr">
        <is>
          <t>RAGUNDA</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19600-2021</t>
        </is>
      </c>
      <c r="B3836" s="1" t="n">
        <v>44308</v>
      </c>
      <c r="C3836" s="1" t="n">
        <v>45182</v>
      </c>
      <c r="D3836" t="inlineStr">
        <is>
          <t>JÄMTLANDS LÄN</t>
        </is>
      </c>
      <c r="E3836" t="inlineStr">
        <is>
          <t>RAGUNDA</t>
        </is>
      </c>
      <c r="G3836" t="n">
        <v>4.3</v>
      </c>
      <c r="H3836" t="n">
        <v>0</v>
      </c>
      <c r="I3836" t="n">
        <v>0</v>
      </c>
      <c r="J3836" t="n">
        <v>0</v>
      </c>
      <c r="K3836" t="n">
        <v>0</v>
      </c>
      <c r="L3836" t="n">
        <v>0</v>
      </c>
      <c r="M3836" t="n">
        <v>0</v>
      </c>
      <c r="N3836" t="n">
        <v>0</v>
      </c>
      <c r="O3836" t="n">
        <v>0</v>
      </c>
      <c r="P3836" t="n">
        <v>0</v>
      </c>
      <c r="Q3836" t="n">
        <v>0</v>
      </c>
      <c r="R3836" s="2" t="inlineStr"/>
    </row>
    <row r="3837" ht="15" customHeight="1">
      <c r="A3837" t="inlineStr">
        <is>
          <t>A 19595-2021</t>
        </is>
      </c>
      <c r="B3837" s="1" t="n">
        <v>44308</v>
      </c>
      <c r="C3837" s="1" t="n">
        <v>45182</v>
      </c>
      <c r="D3837" t="inlineStr">
        <is>
          <t>JÄMTLANDS LÄN</t>
        </is>
      </c>
      <c r="E3837" t="inlineStr">
        <is>
          <t>RAGUNDA</t>
        </is>
      </c>
      <c r="G3837" t="n">
        <v>5.4</v>
      </c>
      <c r="H3837" t="n">
        <v>0</v>
      </c>
      <c r="I3837" t="n">
        <v>0</v>
      </c>
      <c r="J3837" t="n">
        <v>0</v>
      </c>
      <c r="K3837" t="n">
        <v>0</v>
      </c>
      <c r="L3837" t="n">
        <v>0</v>
      </c>
      <c r="M3837" t="n">
        <v>0</v>
      </c>
      <c r="N3837" t="n">
        <v>0</v>
      </c>
      <c r="O3837" t="n">
        <v>0</v>
      </c>
      <c r="P3837" t="n">
        <v>0</v>
      </c>
      <c r="Q3837" t="n">
        <v>0</v>
      </c>
      <c r="R3837" s="2" t="inlineStr"/>
    </row>
    <row r="3838" ht="15" customHeight="1">
      <c r="A3838" t="inlineStr">
        <is>
          <t>A 19612-2021</t>
        </is>
      </c>
      <c r="B3838" s="1" t="n">
        <v>44308</v>
      </c>
      <c r="C3838" s="1" t="n">
        <v>45182</v>
      </c>
      <c r="D3838" t="inlineStr">
        <is>
          <t>JÄMTLANDS LÄN</t>
        </is>
      </c>
      <c r="E3838" t="inlineStr">
        <is>
          <t>RAGUNDA</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19275-2021</t>
        </is>
      </c>
      <c r="B3839" s="1" t="n">
        <v>44309</v>
      </c>
      <c r="C3839" s="1" t="n">
        <v>45182</v>
      </c>
      <c r="D3839" t="inlineStr">
        <is>
          <t>JÄMTLANDS LÄN</t>
        </is>
      </c>
      <c r="E3839" t="inlineStr">
        <is>
          <t>ÅRE</t>
        </is>
      </c>
      <c r="G3839" t="n">
        <v>16.4</v>
      </c>
      <c r="H3839" t="n">
        <v>0</v>
      </c>
      <c r="I3839" t="n">
        <v>0</v>
      </c>
      <c r="J3839" t="n">
        <v>0</v>
      </c>
      <c r="K3839" t="n">
        <v>0</v>
      </c>
      <c r="L3839" t="n">
        <v>0</v>
      </c>
      <c r="M3839" t="n">
        <v>0</v>
      </c>
      <c r="N3839" t="n">
        <v>0</v>
      </c>
      <c r="O3839" t="n">
        <v>0</v>
      </c>
      <c r="P3839" t="n">
        <v>0</v>
      </c>
      <c r="Q3839" t="n">
        <v>0</v>
      </c>
      <c r="R3839" s="2" t="inlineStr"/>
    </row>
    <row r="3840" ht="15" customHeight="1">
      <c r="A3840" t="inlineStr">
        <is>
          <t>A 19567-2021</t>
        </is>
      </c>
      <c r="B3840" s="1" t="n">
        <v>44312</v>
      </c>
      <c r="C3840" s="1" t="n">
        <v>45182</v>
      </c>
      <c r="D3840" t="inlineStr">
        <is>
          <t>JÄMTLANDS LÄN</t>
        </is>
      </c>
      <c r="E3840" t="inlineStr">
        <is>
          <t>STRÖMSUND</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19958-2021</t>
        </is>
      </c>
      <c r="B3841" s="1" t="n">
        <v>44312</v>
      </c>
      <c r="C3841" s="1" t="n">
        <v>45182</v>
      </c>
      <c r="D3841" t="inlineStr">
        <is>
          <t>JÄMTLANDS LÄN</t>
        </is>
      </c>
      <c r="E3841" t="inlineStr">
        <is>
          <t>HÄRJEDALEN</t>
        </is>
      </c>
      <c r="G3841" t="n">
        <v>10.7</v>
      </c>
      <c r="H3841" t="n">
        <v>0</v>
      </c>
      <c r="I3841" t="n">
        <v>0</v>
      </c>
      <c r="J3841" t="n">
        <v>0</v>
      </c>
      <c r="K3841" t="n">
        <v>0</v>
      </c>
      <c r="L3841" t="n">
        <v>0</v>
      </c>
      <c r="M3841" t="n">
        <v>0</v>
      </c>
      <c r="N3841" t="n">
        <v>0</v>
      </c>
      <c r="O3841" t="n">
        <v>0</v>
      </c>
      <c r="P3841" t="n">
        <v>0</v>
      </c>
      <c r="Q3841" t="n">
        <v>0</v>
      </c>
      <c r="R3841" s="2" t="inlineStr"/>
    </row>
    <row r="3842" ht="15" customHeight="1">
      <c r="A3842" t="inlineStr">
        <is>
          <t>A 20413-2021</t>
        </is>
      </c>
      <c r="B3842" s="1" t="n">
        <v>44312</v>
      </c>
      <c r="C3842" s="1" t="n">
        <v>45182</v>
      </c>
      <c r="D3842" t="inlineStr">
        <is>
          <t>JÄMTLANDS LÄN</t>
        </is>
      </c>
      <c r="E3842" t="inlineStr">
        <is>
          <t>STRÖMSUND</t>
        </is>
      </c>
      <c r="G3842" t="n">
        <v>1.9</v>
      </c>
      <c r="H3842" t="n">
        <v>0</v>
      </c>
      <c r="I3842" t="n">
        <v>0</v>
      </c>
      <c r="J3842" t="n">
        <v>0</v>
      </c>
      <c r="K3842" t="n">
        <v>0</v>
      </c>
      <c r="L3842" t="n">
        <v>0</v>
      </c>
      <c r="M3842" t="n">
        <v>0</v>
      </c>
      <c r="N3842" t="n">
        <v>0</v>
      </c>
      <c r="O3842" t="n">
        <v>0</v>
      </c>
      <c r="P3842" t="n">
        <v>0</v>
      </c>
      <c r="Q3842" t="n">
        <v>0</v>
      </c>
      <c r="R3842" s="2" t="inlineStr"/>
    </row>
    <row r="3843" ht="15" customHeight="1">
      <c r="A3843" t="inlineStr">
        <is>
          <t>A 19556-2021</t>
        </is>
      </c>
      <c r="B3843" s="1" t="n">
        <v>44312</v>
      </c>
      <c r="C3843" s="1" t="n">
        <v>45182</v>
      </c>
      <c r="D3843" t="inlineStr">
        <is>
          <t>JÄMTLANDS LÄN</t>
        </is>
      </c>
      <c r="E3843" t="inlineStr">
        <is>
          <t>STRÖMSUND</t>
        </is>
      </c>
      <c r="G3843" t="n">
        <v>2.1</v>
      </c>
      <c r="H3843" t="n">
        <v>0</v>
      </c>
      <c r="I3843" t="n">
        <v>0</v>
      </c>
      <c r="J3843" t="n">
        <v>0</v>
      </c>
      <c r="K3843" t="n">
        <v>0</v>
      </c>
      <c r="L3843" t="n">
        <v>0</v>
      </c>
      <c r="M3843" t="n">
        <v>0</v>
      </c>
      <c r="N3843" t="n">
        <v>0</v>
      </c>
      <c r="O3843" t="n">
        <v>0</v>
      </c>
      <c r="P3843" t="n">
        <v>0</v>
      </c>
      <c r="Q3843" t="n">
        <v>0</v>
      </c>
      <c r="R3843" s="2" t="inlineStr"/>
    </row>
    <row r="3844" ht="15" customHeight="1">
      <c r="A3844" t="inlineStr">
        <is>
          <t>A 19955-2021</t>
        </is>
      </c>
      <c r="B3844" s="1" t="n">
        <v>44312</v>
      </c>
      <c r="C3844" s="1" t="n">
        <v>45182</v>
      </c>
      <c r="D3844" t="inlineStr">
        <is>
          <t>JÄMTLANDS LÄN</t>
        </is>
      </c>
      <c r="E3844" t="inlineStr">
        <is>
          <t>HÄRJEDALEN</t>
        </is>
      </c>
      <c r="G3844" t="n">
        <v>4.6</v>
      </c>
      <c r="H3844" t="n">
        <v>0</v>
      </c>
      <c r="I3844" t="n">
        <v>0</v>
      </c>
      <c r="J3844" t="n">
        <v>0</v>
      </c>
      <c r="K3844" t="n">
        <v>0</v>
      </c>
      <c r="L3844" t="n">
        <v>0</v>
      </c>
      <c r="M3844" t="n">
        <v>0</v>
      </c>
      <c r="N3844" t="n">
        <v>0</v>
      </c>
      <c r="O3844" t="n">
        <v>0</v>
      </c>
      <c r="P3844" t="n">
        <v>0</v>
      </c>
      <c r="Q3844" t="n">
        <v>0</v>
      </c>
      <c r="R3844" s="2" t="inlineStr"/>
    </row>
    <row r="3845" ht="15" customHeight="1">
      <c r="A3845" t="inlineStr">
        <is>
          <t>A 20405-2021</t>
        </is>
      </c>
      <c r="B3845" s="1" t="n">
        <v>44312</v>
      </c>
      <c r="C3845" s="1" t="n">
        <v>45182</v>
      </c>
      <c r="D3845" t="inlineStr">
        <is>
          <t>JÄMTLANDS LÄN</t>
        </is>
      </c>
      <c r="E3845" t="inlineStr">
        <is>
          <t>KROKOM</t>
        </is>
      </c>
      <c r="G3845" t="n">
        <v>7.1</v>
      </c>
      <c r="H3845" t="n">
        <v>0</v>
      </c>
      <c r="I3845" t="n">
        <v>0</v>
      </c>
      <c r="J3845" t="n">
        <v>0</v>
      </c>
      <c r="K3845" t="n">
        <v>0</v>
      </c>
      <c r="L3845" t="n">
        <v>0</v>
      </c>
      <c r="M3845" t="n">
        <v>0</v>
      </c>
      <c r="N3845" t="n">
        <v>0</v>
      </c>
      <c r="O3845" t="n">
        <v>0</v>
      </c>
      <c r="P3845" t="n">
        <v>0</v>
      </c>
      <c r="Q3845" t="n">
        <v>0</v>
      </c>
      <c r="R3845" s="2" t="inlineStr"/>
    </row>
    <row r="3846" ht="15" customHeight="1">
      <c r="A3846" t="inlineStr">
        <is>
          <t>A 19572-2021</t>
        </is>
      </c>
      <c r="B3846" s="1" t="n">
        <v>44312</v>
      </c>
      <c r="C3846" s="1" t="n">
        <v>45182</v>
      </c>
      <c r="D3846" t="inlineStr">
        <is>
          <t>JÄMTLANDS LÄN</t>
        </is>
      </c>
      <c r="E3846" t="inlineStr">
        <is>
          <t>STRÖMSUND</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19962-2021</t>
        </is>
      </c>
      <c r="B3847" s="1" t="n">
        <v>44312</v>
      </c>
      <c r="C3847" s="1" t="n">
        <v>45182</v>
      </c>
      <c r="D3847" t="inlineStr">
        <is>
          <t>JÄMTLANDS LÄN</t>
        </is>
      </c>
      <c r="E3847" t="inlineStr">
        <is>
          <t>HÄRJEDALEN</t>
        </is>
      </c>
      <c r="G3847" t="n">
        <v>3.7</v>
      </c>
      <c r="H3847" t="n">
        <v>0</v>
      </c>
      <c r="I3847" t="n">
        <v>0</v>
      </c>
      <c r="J3847" t="n">
        <v>0</v>
      </c>
      <c r="K3847" t="n">
        <v>0</v>
      </c>
      <c r="L3847" t="n">
        <v>0</v>
      </c>
      <c r="M3847" t="n">
        <v>0</v>
      </c>
      <c r="N3847" t="n">
        <v>0</v>
      </c>
      <c r="O3847" t="n">
        <v>0</v>
      </c>
      <c r="P3847" t="n">
        <v>0</v>
      </c>
      <c r="Q3847" t="n">
        <v>0</v>
      </c>
      <c r="R3847" s="2" t="inlineStr"/>
    </row>
    <row r="3848" ht="15" customHeight="1">
      <c r="A3848" t="inlineStr">
        <is>
          <t>A 19726-2021</t>
        </is>
      </c>
      <c r="B3848" s="1" t="n">
        <v>44312</v>
      </c>
      <c r="C3848" s="1" t="n">
        <v>45182</v>
      </c>
      <c r="D3848" t="inlineStr">
        <is>
          <t>JÄMTLANDS LÄN</t>
        </is>
      </c>
      <c r="E3848" t="inlineStr">
        <is>
          <t>STRÖMSUND</t>
        </is>
      </c>
      <c r="G3848" t="n">
        <v>0.5</v>
      </c>
      <c r="H3848" t="n">
        <v>0</v>
      </c>
      <c r="I3848" t="n">
        <v>0</v>
      </c>
      <c r="J3848" t="n">
        <v>0</v>
      </c>
      <c r="K3848" t="n">
        <v>0</v>
      </c>
      <c r="L3848" t="n">
        <v>0</v>
      </c>
      <c r="M3848" t="n">
        <v>0</v>
      </c>
      <c r="N3848" t="n">
        <v>0</v>
      </c>
      <c r="O3848" t="n">
        <v>0</v>
      </c>
      <c r="P3848" t="n">
        <v>0</v>
      </c>
      <c r="Q3848" t="n">
        <v>0</v>
      </c>
      <c r="R3848" s="2" t="inlineStr"/>
    </row>
    <row r="3849" ht="15" customHeight="1">
      <c r="A3849" t="inlineStr">
        <is>
          <t>A 19984-2021</t>
        </is>
      </c>
      <c r="B3849" s="1" t="n">
        <v>44313</v>
      </c>
      <c r="C3849" s="1" t="n">
        <v>45182</v>
      </c>
      <c r="D3849" t="inlineStr">
        <is>
          <t>JÄMTLANDS LÄN</t>
        </is>
      </c>
      <c r="E3849" t="inlineStr">
        <is>
          <t>KROKOM</t>
        </is>
      </c>
      <c r="G3849" t="n">
        <v>1.9</v>
      </c>
      <c r="H3849" t="n">
        <v>0</v>
      </c>
      <c r="I3849" t="n">
        <v>0</v>
      </c>
      <c r="J3849" t="n">
        <v>0</v>
      </c>
      <c r="K3849" t="n">
        <v>0</v>
      </c>
      <c r="L3849" t="n">
        <v>0</v>
      </c>
      <c r="M3849" t="n">
        <v>0</v>
      </c>
      <c r="N3849" t="n">
        <v>0</v>
      </c>
      <c r="O3849" t="n">
        <v>0</v>
      </c>
      <c r="P3849" t="n">
        <v>0</v>
      </c>
      <c r="Q3849" t="n">
        <v>0</v>
      </c>
      <c r="R3849" s="2" t="inlineStr"/>
    </row>
    <row r="3850" ht="15" customHeight="1">
      <c r="A3850" t="inlineStr">
        <is>
          <t>A 20295-2021</t>
        </is>
      </c>
      <c r="B3850" s="1" t="n">
        <v>44314</v>
      </c>
      <c r="C3850" s="1" t="n">
        <v>45182</v>
      </c>
      <c r="D3850" t="inlineStr">
        <is>
          <t>JÄMTLANDS LÄN</t>
        </is>
      </c>
      <c r="E3850" t="inlineStr">
        <is>
          <t>STRÖMSUND</t>
        </is>
      </c>
      <c r="F3850" t="inlineStr">
        <is>
          <t>SCA</t>
        </is>
      </c>
      <c r="G3850" t="n">
        <v>1.9</v>
      </c>
      <c r="H3850" t="n">
        <v>0</v>
      </c>
      <c r="I3850" t="n">
        <v>0</v>
      </c>
      <c r="J3850" t="n">
        <v>0</v>
      </c>
      <c r="K3850" t="n">
        <v>0</v>
      </c>
      <c r="L3850" t="n">
        <v>0</v>
      </c>
      <c r="M3850" t="n">
        <v>0</v>
      </c>
      <c r="N3850" t="n">
        <v>0</v>
      </c>
      <c r="O3850" t="n">
        <v>0</v>
      </c>
      <c r="P3850" t="n">
        <v>0</v>
      </c>
      <c r="Q3850" t="n">
        <v>0</v>
      </c>
      <c r="R3850" s="2" t="inlineStr"/>
    </row>
    <row r="3851" ht="15" customHeight="1">
      <c r="A3851" t="inlineStr">
        <is>
          <t>A 21593-2021</t>
        </is>
      </c>
      <c r="B3851" s="1" t="n">
        <v>44314</v>
      </c>
      <c r="C3851" s="1" t="n">
        <v>45182</v>
      </c>
      <c r="D3851" t="inlineStr">
        <is>
          <t>JÄMTLANDS LÄN</t>
        </is>
      </c>
      <c r="E3851" t="inlineStr">
        <is>
          <t>HÄRJEDALEN</t>
        </is>
      </c>
      <c r="G3851" t="n">
        <v>7.7</v>
      </c>
      <c r="H3851" t="n">
        <v>0</v>
      </c>
      <c r="I3851" t="n">
        <v>0</v>
      </c>
      <c r="J3851" t="n">
        <v>0</v>
      </c>
      <c r="K3851" t="n">
        <v>0</v>
      </c>
      <c r="L3851" t="n">
        <v>0</v>
      </c>
      <c r="M3851" t="n">
        <v>0</v>
      </c>
      <c r="N3851" t="n">
        <v>0</v>
      </c>
      <c r="O3851" t="n">
        <v>0</v>
      </c>
      <c r="P3851" t="n">
        <v>0</v>
      </c>
      <c r="Q3851" t="n">
        <v>0</v>
      </c>
      <c r="R3851" s="2" t="inlineStr"/>
    </row>
    <row r="3852" ht="15" customHeight="1">
      <c r="A3852" t="inlineStr">
        <is>
          <t>A 20290-2021</t>
        </is>
      </c>
      <c r="B3852" s="1" t="n">
        <v>44314</v>
      </c>
      <c r="C3852" s="1" t="n">
        <v>45182</v>
      </c>
      <c r="D3852" t="inlineStr">
        <is>
          <t>JÄMTLANDS LÄN</t>
        </is>
      </c>
      <c r="E3852" t="inlineStr">
        <is>
          <t>ÖSTERSUND</t>
        </is>
      </c>
      <c r="F3852" t="inlineStr">
        <is>
          <t>SCA</t>
        </is>
      </c>
      <c r="G3852" t="n">
        <v>8.1</v>
      </c>
      <c r="H3852" t="n">
        <v>0</v>
      </c>
      <c r="I3852" t="n">
        <v>0</v>
      </c>
      <c r="J3852" t="n">
        <v>0</v>
      </c>
      <c r="K3852" t="n">
        <v>0</v>
      </c>
      <c r="L3852" t="n">
        <v>0</v>
      </c>
      <c r="M3852" t="n">
        <v>0</v>
      </c>
      <c r="N3852" t="n">
        <v>0</v>
      </c>
      <c r="O3852" t="n">
        <v>0</v>
      </c>
      <c r="P3852" t="n">
        <v>0</v>
      </c>
      <c r="Q3852" t="n">
        <v>0</v>
      </c>
      <c r="R3852" s="2" t="inlineStr"/>
    </row>
    <row r="3853" ht="15" customHeight="1">
      <c r="A3853" t="inlineStr">
        <is>
          <t>A 21596-2021</t>
        </is>
      </c>
      <c r="B3853" s="1" t="n">
        <v>44314</v>
      </c>
      <c r="C3853" s="1" t="n">
        <v>45182</v>
      </c>
      <c r="D3853" t="inlineStr">
        <is>
          <t>JÄMTLANDS LÄN</t>
        </is>
      </c>
      <c r="E3853" t="inlineStr">
        <is>
          <t>HÄRJEDALEN</t>
        </is>
      </c>
      <c r="G3853" t="n">
        <v>18.2</v>
      </c>
      <c r="H3853" t="n">
        <v>0</v>
      </c>
      <c r="I3853" t="n">
        <v>0</v>
      </c>
      <c r="J3853" t="n">
        <v>0</v>
      </c>
      <c r="K3853" t="n">
        <v>0</v>
      </c>
      <c r="L3853" t="n">
        <v>0</v>
      </c>
      <c r="M3853" t="n">
        <v>0</v>
      </c>
      <c r="N3853" t="n">
        <v>0</v>
      </c>
      <c r="O3853" t="n">
        <v>0</v>
      </c>
      <c r="P3853" t="n">
        <v>0</v>
      </c>
      <c r="Q3853" t="n">
        <v>0</v>
      </c>
      <c r="R3853" s="2" t="inlineStr"/>
    </row>
    <row r="3854" ht="15" customHeight="1">
      <c r="A3854" t="inlineStr">
        <is>
          <t>A 20548-2021</t>
        </is>
      </c>
      <c r="B3854" s="1" t="n">
        <v>44315</v>
      </c>
      <c r="C3854" s="1" t="n">
        <v>45182</v>
      </c>
      <c r="D3854" t="inlineStr">
        <is>
          <t>JÄMTLANDS LÄN</t>
        </is>
      </c>
      <c r="E3854" t="inlineStr">
        <is>
          <t>RAGUNDA</t>
        </is>
      </c>
      <c r="F3854" t="inlineStr">
        <is>
          <t>SCA</t>
        </is>
      </c>
      <c r="G3854" t="n">
        <v>1.2</v>
      </c>
      <c r="H3854" t="n">
        <v>0</v>
      </c>
      <c r="I3854" t="n">
        <v>0</v>
      </c>
      <c r="J3854" t="n">
        <v>0</v>
      </c>
      <c r="K3854" t="n">
        <v>0</v>
      </c>
      <c r="L3854" t="n">
        <v>0</v>
      </c>
      <c r="M3854" t="n">
        <v>0</v>
      </c>
      <c r="N3854" t="n">
        <v>0</v>
      </c>
      <c r="O3854" t="n">
        <v>0</v>
      </c>
      <c r="P3854" t="n">
        <v>0</v>
      </c>
      <c r="Q3854" t="n">
        <v>0</v>
      </c>
      <c r="R3854" s="2" t="inlineStr"/>
    </row>
    <row r="3855" ht="15" customHeight="1">
      <c r="A3855" t="inlineStr">
        <is>
          <t>A 21000-2021</t>
        </is>
      </c>
      <c r="B3855" s="1" t="n">
        <v>44316</v>
      </c>
      <c r="C3855" s="1" t="n">
        <v>45182</v>
      </c>
      <c r="D3855" t="inlineStr">
        <is>
          <t>JÄMTLANDS LÄN</t>
        </is>
      </c>
      <c r="E3855" t="inlineStr">
        <is>
          <t>KROKOM</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21703-2021</t>
        </is>
      </c>
      <c r="B3856" s="1" t="n">
        <v>44316</v>
      </c>
      <c r="C3856" s="1" t="n">
        <v>45182</v>
      </c>
      <c r="D3856" t="inlineStr">
        <is>
          <t>JÄMTLANDS LÄN</t>
        </is>
      </c>
      <c r="E3856" t="inlineStr">
        <is>
          <t>HÄRJEDALEN</t>
        </is>
      </c>
      <c r="G3856" t="n">
        <v>11.9</v>
      </c>
      <c r="H3856" t="n">
        <v>0</v>
      </c>
      <c r="I3856" t="n">
        <v>0</v>
      </c>
      <c r="J3856" t="n">
        <v>0</v>
      </c>
      <c r="K3856" t="n">
        <v>0</v>
      </c>
      <c r="L3856" t="n">
        <v>0</v>
      </c>
      <c r="M3856" t="n">
        <v>0</v>
      </c>
      <c r="N3856" t="n">
        <v>0</v>
      </c>
      <c r="O3856" t="n">
        <v>0</v>
      </c>
      <c r="P3856" t="n">
        <v>0</v>
      </c>
      <c r="Q3856" t="n">
        <v>0</v>
      </c>
      <c r="R3856" s="2" t="inlineStr"/>
    </row>
    <row r="3857" ht="15" customHeight="1">
      <c r="A3857" t="inlineStr">
        <is>
          <t>A 21837-2021</t>
        </is>
      </c>
      <c r="B3857" s="1" t="n">
        <v>44316</v>
      </c>
      <c r="C3857" s="1" t="n">
        <v>45182</v>
      </c>
      <c r="D3857" t="inlineStr">
        <is>
          <t>JÄMTLANDS LÄN</t>
        </is>
      </c>
      <c r="E3857" t="inlineStr">
        <is>
          <t>HÄRJEDALEN</t>
        </is>
      </c>
      <c r="G3857" t="n">
        <v>20</v>
      </c>
      <c r="H3857" t="n">
        <v>0</v>
      </c>
      <c r="I3857" t="n">
        <v>0</v>
      </c>
      <c r="J3857" t="n">
        <v>0</v>
      </c>
      <c r="K3857" t="n">
        <v>0</v>
      </c>
      <c r="L3857" t="n">
        <v>0</v>
      </c>
      <c r="M3857" t="n">
        <v>0</v>
      </c>
      <c r="N3857" t="n">
        <v>0</v>
      </c>
      <c r="O3857" t="n">
        <v>0</v>
      </c>
      <c r="P3857" t="n">
        <v>0</v>
      </c>
      <c r="Q3857" t="n">
        <v>0</v>
      </c>
      <c r="R3857" s="2" t="inlineStr"/>
    </row>
    <row r="3858" ht="15" customHeight="1">
      <c r="A3858" t="inlineStr">
        <is>
          <t>A 20620-2021</t>
        </is>
      </c>
      <c r="B3858" s="1" t="n">
        <v>44316</v>
      </c>
      <c r="C3858" s="1" t="n">
        <v>45182</v>
      </c>
      <c r="D3858" t="inlineStr">
        <is>
          <t>JÄMTLANDS LÄN</t>
        </is>
      </c>
      <c r="E3858" t="inlineStr">
        <is>
          <t>ÖSTERSUND</t>
        </is>
      </c>
      <c r="G3858" t="n">
        <v>1.1</v>
      </c>
      <c r="H3858" t="n">
        <v>0</v>
      </c>
      <c r="I3858" t="n">
        <v>0</v>
      </c>
      <c r="J3858" t="n">
        <v>0</v>
      </c>
      <c r="K3858" t="n">
        <v>0</v>
      </c>
      <c r="L3858" t="n">
        <v>0</v>
      </c>
      <c r="M3858" t="n">
        <v>0</v>
      </c>
      <c r="N3858" t="n">
        <v>0</v>
      </c>
      <c r="O3858" t="n">
        <v>0</v>
      </c>
      <c r="P3858" t="n">
        <v>0</v>
      </c>
      <c r="Q3858" t="n">
        <v>0</v>
      </c>
      <c r="R3858" s="2" t="inlineStr"/>
    </row>
    <row r="3859" ht="15" customHeight="1">
      <c r="A3859" t="inlineStr">
        <is>
          <t>A 20804-2021</t>
        </is>
      </c>
      <c r="B3859" s="1" t="n">
        <v>44316</v>
      </c>
      <c r="C3859" s="1" t="n">
        <v>45182</v>
      </c>
      <c r="D3859" t="inlineStr">
        <is>
          <t>JÄMTLANDS LÄN</t>
        </is>
      </c>
      <c r="E3859" t="inlineStr">
        <is>
          <t>HÄRJEDALEN</t>
        </is>
      </c>
      <c r="F3859" t="inlineStr">
        <is>
          <t>SCA</t>
        </is>
      </c>
      <c r="G3859" t="n">
        <v>11.2</v>
      </c>
      <c r="H3859" t="n">
        <v>0</v>
      </c>
      <c r="I3859" t="n">
        <v>0</v>
      </c>
      <c r="J3859" t="n">
        <v>0</v>
      </c>
      <c r="K3859" t="n">
        <v>0</v>
      </c>
      <c r="L3859" t="n">
        <v>0</v>
      </c>
      <c r="M3859" t="n">
        <v>0</v>
      </c>
      <c r="N3859" t="n">
        <v>0</v>
      </c>
      <c r="O3859" t="n">
        <v>0</v>
      </c>
      <c r="P3859" t="n">
        <v>0</v>
      </c>
      <c r="Q3859" t="n">
        <v>0</v>
      </c>
      <c r="R3859" s="2" t="inlineStr"/>
    </row>
    <row r="3860" ht="15" customHeight="1">
      <c r="A3860" t="inlineStr">
        <is>
          <t>A 21699-2021</t>
        </is>
      </c>
      <c r="B3860" s="1" t="n">
        <v>44316</v>
      </c>
      <c r="C3860" s="1" t="n">
        <v>45182</v>
      </c>
      <c r="D3860" t="inlineStr">
        <is>
          <t>JÄMTLANDS LÄN</t>
        </is>
      </c>
      <c r="E3860" t="inlineStr">
        <is>
          <t>HÄRJEDALEN</t>
        </is>
      </c>
      <c r="G3860" t="n">
        <v>6.8</v>
      </c>
      <c r="H3860" t="n">
        <v>0</v>
      </c>
      <c r="I3860" t="n">
        <v>0</v>
      </c>
      <c r="J3860" t="n">
        <v>0</v>
      </c>
      <c r="K3860" t="n">
        <v>0</v>
      </c>
      <c r="L3860" t="n">
        <v>0</v>
      </c>
      <c r="M3860" t="n">
        <v>0</v>
      </c>
      <c r="N3860" t="n">
        <v>0</v>
      </c>
      <c r="O3860" t="n">
        <v>0</v>
      </c>
      <c r="P3860" t="n">
        <v>0</v>
      </c>
      <c r="Q3860" t="n">
        <v>0</v>
      </c>
      <c r="R3860" s="2" t="inlineStr"/>
    </row>
    <row r="3861" ht="15" customHeight="1">
      <c r="A3861" t="inlineStr">
        <is>
          <t>A 21848-2021</t>
        </is>
      </c>
      <c r="B3861" s="1" t="n">
        <v>44316</v>
      </c>
      <c r="C3861" s="1" t="n">
        <v>45182</v>
      </c>
      <c r="D3861" t="inlineStr">
        <is>
          <t>JÄMTLANDS LÄN</t>
        </is>
      </c>
      <c r="E3861" t="inlineStr">
        <is>
          <t>HÄRJEDALEN</t>
        </is>
      </c>
      <c r="G3861" t="n">
        <v>19.4</v>
      </c>
      <c r="H3861" t="n">
        <v>0</v>
      </c>
      <c r="I3861" t="n">
        <v>0</v>
      </c>
      <c r="J3861" t="n">
        <v>0</v>
      </c>
      <c r="K3861" t="n">
        <v>0</v>
      </c>
      <c r="L3861" t="n">
        <v>0</v>
      </c>
      <c r="M3861" t="n">
        <v>0</v>
      </c>
      <c r="N3861" t="n">
        <v>0</v>
      </c>
      <c r="O3861" t="n">
        <v>0</v>
      </c>
      <c r="P3861" t="n">
        <v>0</v>
      </c>
      <c r="Q3861" t="n">
        <v>0</v>
      </c>
      <c r="R3861" s="2" t="inlineStr"/>
    </row>
    <row r="3862" ht="15" customHeight="1">
      <c r="A3862" t="inlineStr">
        <is>
          <t>A 21702-2021</t>
        </is>
      </c>
      <c r="B3862" s="1" t="n">
        <v>44316</v>
      </c>
      <c r="C3862" s="1" t="n">
        <v>45182</v>
      </c>
      <c r="D3862" t="inlineStr">
        <is>
          <t>JÄMTLANDS LÄN</t>
        </is>
      </c>
      <c r="E3862" t="inlineStr">
        <is>
          <t>HÄRJEDALEN</t>
        </is>
      </c>
      <c r="G3862" t="n">
        <v>2.9</v>
      </c>
      <c r="H3862" t="n">
        <v>0</v>
      </c>
      <c r="I3862" t="n">
        <v>0</v>
      </c>
      <c r="J3862" t="n">
        <v>0</v>
      </c>
      <c r="K3862" t="n">
        <v>0</v>
      </c>
      <c r="L3862" t="n">
        <v>0</v>
      </c>
      <c r="M3862" t="n">
        <v>0</v>
      </c>
      <c r="N3862" t="n">
        <v>0</v>
      </c>
      <c r="O3862" t="n">
        <v>0</v>
      </c>
      <c r="P3862" t="n">
        <v>0</v>
      </c>
      <c r="Q3862" t="n">
        <v>0</v>
      </c>
      <c r="R3862" s="2" t="inlineStr"/>
    </row>
    <row r="3863" ht="15" customHeight="1">
      <c r="A3863" t="inlineStr">
        <is>
          <t>A 21833-2021</t>
        </is>
      </c>
      <c r="B3863" s="1" t="n">
        <v>44316</v>
      </c>
      <c r="C3863" s="1" t="n">
        <v>45182</v>
      </c>
      <c r="D3863" t="inlineStr">
        <is>
          <t>JÄMTLANDS LÄN</t>
        </is>
      </c>
      <c r="E3863" t="inlineStr">
        <is>
          <t>HÄRJEDALEN</t>
        </is>
      </c>
      <c r="G3863" t="n">
        <v>20.2</v>
      </c>
      <c r="H3863" t="n">
        <v>0</v>
      </c>
      <c r="I3863" t="n">
        <v>0</v>
      </c>
      <c r="J3863" t="n">
        <v>0</v>
      </c>
      <c r="K3863" t="n">
        <v>0</v>
      </c>
      <c r="L3863" t="n">
        <v>0</v>
      </c>
      <c r="M3863" t="n">
        <v>0</v>
      </c>
      <c r="N3863" t="n">
        <v>0</v>
      </c>
      <c r="O3863" t="n">
        <v>0</v>
      </c>
      <c r="P3863" t="n">
        <v>0</v>
      </c>
      <c r="Q3863" t="n">
        <v>0</v>
      </c>
      <c r="R3863" s="2" t="inlineStr"/>
    </row>
    <row r="3864" ht="15" customHeight="1">
      <c r="A3864" t="inlineStr">
        <is>
          <t>A 21854-2021</t>
        </is>
      </c>
      <c r="B3864" s="1" t="n">
        <v>44316</v>
      </c>
      <c r="C3864" s="1" t="n">
        <v>45182</v>
      </c>
      <c r="D3864" t="inlineStr">
        <is>
          <t>JÄMTLANDS LÄN</t>
        </is>
      </c>
      <c r="E3864" t="inlineStr">
        <is>
          <t>HÄRJEDALEN</t>
        </is>
      </c>
      <c r="G3864" t="n">
        <v>10.7</v>
      </c>
      <c r="H3864" t="n">
        <v>0</v>
      </c>
      <c r="I3864" t="n">
        <v>0</v>
      </c>
      <c r="J3864" t="n">
        <v>0</v>
      </c>
      <c r="K3864" t="n">
        <v>0</v>
      </c>
      <c r="L3864" t="n">
        <v>0</v>
      </c>
      <c r="M3864" t="n">
        <v>0</v>
      </c>
      <c r="N3864" t="n">
        <v>0</v>
      </c>
      <c r="O3864" t="n">
        <v>0</v>
      </c>
      <c r="P3864" t="n">
        <v>0</v>
      </c>
      <c r="Q3864" t="n">
        <v>0</v>
      </c>
      <c r="R3864" s="2" t="inlineStr"/>
    </row>
    <row r="3865" ht="15" customHeight="1">
      <c r="A3865" t="inlineStr">
        <is>
          <t>A 20803-2021</t>
        </is>
      </c>
      <c r="B3865" s="1" t="n">
        <v>44316</v>
      </c>
      <c r="C3865" s="1" t="n">
        <v>45182</v>
      </c>
      <c r="D3865" t="inlineStr">
        <is>
          <t>JÄMTLANDS LÄN</t>
        </is>
      </c>
      <c r="E3865" t="inlineStr">
        <is>
          <t>BRÄCKE</t>
        </is>
      </c>
      <c r="F3865" t="inlineStr">
        <is>
          <t>SCA</t>
        </is>
      </c>
      <c r="G3865" t="n">
        <v>1</v>
      </c>
      <c r="H3865" t="n">
        <v>0</v>
      </c>
      <c r="I3865" t="n">
        <v>0</v>
      </c>
      <c r="J3865" t="n">
        <v>0</v>
      </c>
      <c r="K3865" t="n">
        <v>0</v>
      </c>
      <c r="L3865" t="n">
        <v>0</v>
      </c>
      <c r="M3865" t="n">
        <v>0</v>
      </c>
      <c r="N3865" t="n">
        <v>0</v>
      </c>
      <c r="O3865" t="n">
        <v>0</v>
      </c>
      <c r="P3865" t="n">
        <v>0</v>
      </c>
      <c r="Q3865" t="n">
        <v>0</v>
      </c>
      <c r="R3865" s="2" t="inlineStr"/>
    </row>
    <row r="3866" ht="15" customHeight="1">
      <c r="A3866" t="inlineStr">
        <is>
          <t>A 21705-2021</t>
        </is>
      </c>
      <c r="B3866" s="1" t="n">
        <v>44316</v>
      </c>
      <c r="C3866" s="1" t="n">
        <v>45182</v>
      </c>
      <c r="D3866" t="inlineStr">
        <is>
          <t>JÄMTLANDS LÄN</t>
        </is>
      </c>
      <c r="E3866" t="inlineStr">
        <is>
          <t>HÄRJEDALEN</t>
        </is>
      </c>
      <c r="G3866" t="n">
        <v>6.1</v>
      </c>
      <c r="H3866" t="n">
        <v>0</v>
      </c>
      <c r="I3866" t="n">
        <v>0</v>
      </c>
      <c r="J3866" t="n">
        <v>0</v>
      </c>
      <c r="K3866" t="n">
        <v>0</v>
      </c>
      <c r="L3866" t="n">
        <v>0</v>
      </c>
      <c r="M3866" t="n">
        <v>0</v>
      </c>
      <c r="N3866" t="n">
        <v>0</v>
      </c>
      <c r="O3866" t="n">
        <v>0</v>
      </c>
      <c r="P3866" t="n">
        <v>0</v>
      </c>
      <c r="Q3866" t="n">
        <v>0</v>
      </c>
      <c r="R3866" s="2" t="inlineStr"/>
    </row>
    <row r="3867" ht="15" customHeight="1">
      <c r="A3867" t="inlineStr">
        <is>
          <t>A 21843-2021</t>
        </is>
      </c>
      <c r="B3867" s="1" t="n">
        <v>44316</v>
      </c>
      <c r="C3867" s="1" t="n">
        <v>45182</v>
      </c>
      <c r="D3867" t="inlineStr">
        <is>
          <t>JÄMTLANDS LÄN</t>
        </is>
      </c>
      <c r="E3867" t="inlineStr">
        <is>
          <t>HÄRJEDALEN</t>
        </is>
      </c>
      <c r="G3867" t="n">
        <v>15.1</v>
      </c>
      <c r="H3867" t="n">
        <v>0</v>
      </c>
      <c r="I3867" t="n">
        <v>0</v>
      </c>
      <c r="J3867" t="n">
        <v>0</v>
      </c>
      <c r="K3867" t="n">
        <v>0</v>
      </c>
      <c r="L3867" t="n">
        <v>0</v>
      </c>
      <c r="M3867" t="n">
        <v>0</v>
      </c>
      <c r="N3867" t="n">
        <v>0</v>
      </c>
      <c r="O3867" t="n">
        <v>0</v>
      </c>
      <c r="P3867" t="n">
        <v>0</v>
      </c>
      <c r="Q3867" t="n">
        <v>0</v>
      </c>
      <c r="R3867" s="2" t="inlineStr"/>
    </row>
    <row r="3868" ht="15" customHeight="1">
      <c r="A3868" t="inlineStr">
        <is>
          <t>A 21753-2021</t>
        </is>
      </c>
      <c r="B3868" s="1" t="n">
        <v>44319</v>
      </c>
      <c r="C3868" s="1" t="n">
        <v>45182</v>
      </c>
      <c r="D3868" t="inlineStr">
        <is>
          <t>JÄMTLANDS LÄN</t>
        </is>
      </c>
      <c r="E3868" t="inlineStr">
        <is>
          <t>HÄRJEDALEN</t>
        </is>
      </c>
      <c r="G3868" t="n">
        <v>6.2</v>
      </c>
      <c r="H3868" t="n">
        <v>0</v>
      </c>
      <c r="I3868" t="n">
        <v>0</v>
      </c>
      <c r="J3868" t="n">
        <v>0</v>
      </c>
      <c r="K3868" t="n">
        <v>0</v>
      </c>
      <c r="L3868" t="n">
        <v>0</v>
      </c>
      <c r="M3868" t="n">
        <v>0</v>
      </c>
      <c r="N3868" t="n">
        <v>0</v>
      </c>
      <c r="O3868" t="n">
        <v>0</v>
      </c>
      <c r="P3868" t="n">
        <v>0</v>
      </c>
      <c r="Q3868" t="n">
        <v>0</v>
      </c>
      <c r="R3868" s="2" t="inlineStr"/>
    </row>
    <row r="3869" ht="15" customHeight="1">
      <c r="A3869" t="inlineStr">
        <is>
          <t>A 21034-2021</t>
        </is>
      </c>
      <c r="B3869" s="1" t="n">
        <v>44319</v>
      </c>
      <c r="C3869" s="1" t="n">
        <v>45182</v>
      </c>
      <c r="D3869" t="inlineStr">
        <is>
          <t>JÄMTLANDS LÄN</t>
        </is>
      </c>
      <c r="E3869" t="inlineStr">
        <is>
          <t>BRÄCKE</t>
        </is>
      </c>
      <c r="G3869" t="n">
        <v>3.3</v>
      </c>
      <c r="H3869" t="n">
        <v>0</v>
      </c>
      <c r="I3869" t="n">
        <v>0</v>
      </c>
      <c r="J3869" t="n">
        <v>0</v>
      </c>
      <c r="K3869" t="n">
        <v>0</v>
      </c>
      <c r="L3869" t="n">
        <v>0</v>
      </c>
      <c r="M3869" t="n">
        <v>0</v>
      </c>
      <c r="N3869" t="n">
        <v>0</v>
      </c>
      <c r="O3869" t="n">
        <v>0</v>
      </c>
      <c r="P3869" t="n">
        <v>0</v>
      </c>
      <c r="Q3869" t="n">
        <v>0</v>
      </c>
      <c r="R3869" s="2" t="inlineStr"/>
    </row>
    <row r="3870" ht="15" customHeight="1">
      <c r="A3870" t="inlineStr">
        <is>
          <t>A 21095-2021</t>
        </is>
      </c>
      <c r="B3870" s="1" t="n">
        <v>44319</v>
      </c>
      <c r="C3870" s="1" t="n">
        <v>45182</v>
      </c>
      <c r="D3870" t="inlineStr">
        <is>
          <t>JÄMTLANDS LÄN</t>
        </is>
      </c>
      <c r="E3870" t="inlineStr">
        <is>
          <t>STRÖMSUND</t>
        </is>
      </c>
      <c r="F3870" t="inlineStr">
        <is>
          <t>SCA</t>
        </is>
      </c>
      <c r="G3870" t="n">
        <v>6.4</v>
      </c>
      <c r="H3870" t="n">
        <v>0</v>
      </c>
      <c r="I3870" t="n">
        <v>0</v>
      </c>
      <c r="J3870" t="n">
        <v>0</v>
      </c>
      <c r="K3870" t="n">
        <v>0</v>
      </c>
      <c r="L3870" t="n">
        <v>0</v>
      </c>
      <c r="M3870" t="n">
        <v>0</v>
      </c>
      <c r="N3870" t="n">
        <v>0</v>
      </c>
      <c r="O3870" t="n">
        <v>0</v>
      </c>
      <c r="P3870" t="n">
        <v>0</v>
      </c>
      <c r="Q3870" t="n">
        <v>0</v>
      </c>
      <c r="R3870" s="2" t="inlineStr"/>
    </row>
    <row r="3871" ht="15" customHeight="1">
      <c r="A3871" t="inlineStr">
        <is>
          <t>A 21097-2021</t>
        </is>
      </c>
      <c r="B3871" s="1" t="n">
        <v>44319</v>
      </c>
      <c r="C3871" s="1" t="n">
        <v>45182</v>
      </c>
      <c r="D3871" t="inlineStr">
        <is>
          <t>JÄMTLANDS LÄN</t>
        </is>
      </c>
      <c r="E3871" t="inlineStr">
        <is>
          <t>STRÖMSUND</t>
        </is>
      </c>
      <c r="F3871" t="inlineStr">
        <is>
          <t>SCA</t>
        </is>
      </c>
      <c r="G3871" t="n">
        <v>2.1</v>
      </c>
      <c r="H3871" t="n">
        <v>0</v>
      </c>
      <c r="I3871" t="n">
        <v>0</v>
      </c>
      <c r="J3871" t="n">
        <v>0</v>
      </c>
      <c r="K3871" t="n">
        <v>0</v>
      </c>
      <c r="L3871" t="n">
        <v>0</v>
      </c>
      <c r="M3871" t="n">
        <v>0</v>
      </c>
      <c r="N3871" t="n">
        <v>0</v>
      </c>
      <c r="O3871" t="n">
        <v>0</v>
      </c>
      <c r="P3871" t="n">
        <v>0</v>
      </c>
      <c r="Q3871" t="n">
        <v>0</v>
      </c>
      <c r="R3871" s="2" t="inlineStr"/>
    </row>
    <row r="3872" ht="15" customHeight="1">
      <c r="A3872" t="inlineStr">
        <is>
          <t>A 21093-2021</t>
        </is>
      </c>
      <c r="B3872" s="1" t="n">
        <v>44319</v>
      </c>
      <c r="C3872" s="1" t="n">
        <v>45182</v>
      </c>
      <c r="D3872" t="inlineStr">
        <is>
          <t>JÄMTLANDS LÄN</t>
        </is>
      </c>
      <c r="E3872" t="inlineStr">
        <is>
          <t>STRÖMSUND</t>
        </is>
      </c>
      <c r="F3872" t="inlineStr">
        <is>
          <t>SCA</t>
        </is>
      </c>
      <c r="G3872" t="n">
        <v>11.7</v>
      </c>
      <c r="H3872" t="n">
        <v>0</v>
      </c>
      <c r="I3872" t="n">
        <v>0</v>
      </c>
      <c r="J3872" t="n">
        <v>0</v>
      </c>
      <c r="K3872" t="n">
        <v>0</v>
      </c>
      <c r="L3872" t="n">
        <v>0</v>
      </c>
      <c r="M3872" t="n">
        <v>0</v>
      </c>
      <c r="N3872" t="n">
        <v>0</v>
      </c>
      <c r="O3872" t="n">
        <v>0</v>
      </c>
      <c r="P3872" t="n">
        <v>0</v>
      </c>
      <c r="Q3872" t="n">
        <v>0</v>
      </c>
      <c r="R3872" s="2" t="inlineStr"/>
    </row>
    <row r="3873" ht="15" customHeight="1">
      <c r="A3873" t="inlineStr">
        <is>
          <t>A 21334-2021</t>
        </is>
      </c>
      <c r="B3873" s="1" t="n">
        <v>44320</v>
      </c>
      <c r="C3873" s="1" t="n">
        <v>45182</v>
      </c>
      <c r="D3873" t="inlineStr">
        <is>
          <t>JÄMTLANDS LÄN</t>
        </is>
      </c>
      <c r="E3873" t="inlineStr">
        <is>
          <t>HÄRJEDALEN</t>
        </is>
      </c>
      <c r="G3873" t="n">
        <v>3.4</v>
      </c>
      <c r="H3873" t="n">
        <v>0</v>
      </c>
      <c r="I3873" t="n">
        <v>0</v>
      </c>
      <c r="J3873" t="n">
        <v>0</v>
      </c>
      <c r="K3873" t="n">
        <v>0</v>
      </c>
      <c r="L3873" t="n">
        <v>0</v>
      </c>
      <c r="M3873" t="n">
        <v>0</v>
      </c>
      <c r="N3873" t="n">
        <v>0</v>
      </c>
      <c r="O3873" t="n">
        <v>0</v>
      </c>
      <c r="P3873" t="n">
        <v>0</v>
      </c>
      <c r="Q3873" t="n">
        <v>0</v>
      </c>
      <c r="R3873" s="2" t="inlineStr"/>
    </row>
    <row r="3874" ht="15" customHeight="1">
      <c r="A3874" t="inlineStr">
        <is>
          <t>A 21366-2021</t>
        </is>
      </c>
      <c r="B3874" s="1" t="n">
        <v>44320</v>
      </c>
      <c r="C3874" s="1" t="n">
        <v>45182</v>
      </c>
      <c r="D3874" t="inlineStr">
        <is>
          <t>JÄMTLANDS LÄN</t>
        </is>
      </c>
      <c r="E3874" t="inlineStr">
        <is>
          <t>BRÄCKE</t>
        </is>
      </c>
      <c r="F3874" t="inlineStr">
        <is>
          <t>SCA</t>
        </is>
      </c>
      <c r="G3874" t="n">
        <v>3</v>
      </c>
      <c r="H3874" t="n">
        <v>0</v>
      </c>
      <c r="I3874" t="n">
        <v>0</v>
      </c>
      <c r="J3874" t="n">
        <v>0</v>
      </c>
      <c r="K3874" t="n">
        <v>0</v>
      </c>
      <c r="L3874" t="n">
        <v>0</v>
      </c>
      <c r="M3874" t="n">
        <v>0</v>
      </c>
      <c r="N3874" t="n">
        <v>0</v>
      </c>
      <c r="O3874" t="n">
        <v>0</v>
      </c>
      <c r="P3874" t="n">
        <v>0</v>
      </c>
      <c r="Q3874" t="n">
        <v>0</v>
      </c>
      <c r="R3874" s="2" t="inlineStr"/>
    </row>
    <row r="3875" ht="15" customHeight="1">
      <c r="A3875" t="inlineStr">
        <is>
          <t>A 21298-2021</t>
        </is>
      </c>
      <c r="B3875" s="1" t="n">
        <v>44320</v>
      </c>
      <c r="C3875" s="1" t="n">
        <v>45182</v>
      </c>
      <c r="D3875" t="inlineStr">
        <is>
          <t>JÄMTLANDS LÄN</t>
        </is>
      </c>
      <c r="E3875" t="inlineStr">
        <is>
          <t>HÄRJEDALEN</t>
        </is>
      </c>
      <c r="F3875" t="inlineStr">
        <is>
          <t>Holmen skog AB</t>
        </is>
      </c>
      <c r="G3875" t="n">
        <v>1.3</v>
      </c>
      <c r="H3875" t="n">
        <v>0</v>
      </c>
      <c r="I3875" t="n">
        <v>0</v>
      </c>
      <c r="J3875" t="n">
        <v>0</v>
      </c>
      <c r="K3875" t="n">
        <v>0</v>
      </c>
      <c r="L3875" t="n">
        <v>0</v>
      </c>
      <c r="M3875" t="n">
        <v>0</v>
      </c>
      <c r="N3875" t="n">
        <v>0</v>
      </c>
      <c r="O3875" t="n">
        <v>0</v>
      </c>
      <c r="P3875" t="n">
        <v>0</v>
      </c>
      <c r="Q3875" t="n">
        <v>0</v>
      </c>
      <c r="R3875" s="2" t="inlineStr"/>
    </row>
    <row r="3876" ht="15" customHeight="1">
      <c r="A3876" t="inlineStr">
        <is>
          <t>A 21306-2021</t>
        </is>
      </c>
      <c r="B3876" s="1" t="n">
        <v>44320</v>
      </c>
      <c r="C3876" s="1" t="n">
        <v>45182</v>
      </c>
      <c r="D3876" t="inlineStr">
        <is>
          <t>JÄMTLANDS LÄN</t>
        </is>
      </c>
      <c r="E3876" t="inlineStr">
        <is>
          <t>ÖSTERSUND</t>
        </is>
      </c>
      <c r="G3876" t="n">
        <v>4.5</v>
      </c>
      <c r="H3876" t="n">
        <v>0</v>
      </c>
      <c r="I3876" t="n">
        <v>0</v>
      </c>
      <c r="J3876" t="n">
        <v>0</v>
      </c>
      <c r="K3876" t="n">
        <v>0</v>
      </c>
      <c r="L3876" t="n">
        <v>0</v>
      </c>
      <c r="M3876" t="n">
        <v>0</v>
      </c>
      <c r="N3876" t="n">
        <v>0</v>
      </c>
      <c r="O3876" t="n">
        <v>0</v>
      </c>
      <c r="P3876" t="n">
        <v>0</v>
      </c>
      <c r="Q3876" t="n">
        <v>0</v>
      </c>
      <c r="R3876" s="2" t="inlineStr"/>
    </row>
    <row r="3877" ht="15" customHeight="1">
      <c r="A3877" t="inlineStr">
        <is>
          <t>A 21629-2021</t>
        </is>
      </c>
      <c r="B3877" s="1" t="n">
        <v>44321</v>
      </c>
      <c r="C3877" s="1" t="n">
        <v>45182</v>
      </c>
      <c r="D3877" t="inlineStr">
        <is>
          <t>JÄMTLANDS LÄN</t>
        </is>
      </c>
      <c r="E3877" t="inlineStr">
        <is>
          <t>BERG</t>
        </is>
      </c>
      <c r="G3877" t="n">
        <v>15.9</v>
      </c>
      <c r="H3877" t="n">
        <v>0</v>
      </c>
      <c r="I3877" t="n">
        <v>0</v>
      </c>
      <c r="J3877" t="n">
        <v>0</v>
      </c>
      <c r="K3877" t="n">
        <v>0</v>
      </c>
      <c r="L3877" t="n">
        <v>0</v>
      </c>
      <c r="M3877" t="n">
        <v>0</v>
      </c>
      <c r="N3877" t="n">
        <v>0</v>
      </c>
      <c r="O3877" t="n">
        <v>0</v>
      </c>
      <c r="P3877" t="n">
        <v>0</v>
      </c>
      <c r="Q3877" t="n">
        <v>0</v>
      </c>
      <c r="R3877" s="2" t="inlineStr"/>
    </row>
    <row r="3878" ht="15" customHeight="1">
      <c r="A3878" t="inlineStr">
        <is>
          <t>A 22318-2021</t>
        </is>
      </c>
      <c r="B3878" s="1" t="n">
        <v>44321</v>
      </c>
      <c r="C3878" s="1" t="n">
        <v>45182</v>
      </c>
      <c r="D3878" t="inlineStr">
        <is>
          <t>JÄMTLANDS LÄN</t>
        </is>
      </c>
      <c r="E3878" t="inlineStr">
        <is>
          <t>STRÖMSUND</t>
        </is>
      </c>
      <c r="F3878" t="inlineStr">
        <is>
          <t>Holmen skog AB</t>
        </is>
      </c>
      <c r="G3878" t="n">
        <v>13</v>
      </c>
      <c r="H3878" t="n">
        <v>0</v>
      </c>
      <c r="I3878" t="n">
        <v>0</v>
      </c>
      <c r="J3878" t="n">
        <v>0</v>
      </c>
      <c r="K3878" t="n">
        <v>0</v>
      </c>
      <c r="L3878" t="n">
        <v>0</v>
      </c>
      <c r="M3878" t="n">
        <v>0</v>
      </c>
      <c r="N3878" t="n">
        <v>0</v>
      </c>
      <c r="O3878" t="n">
        <v>0</v>
      </c>
      <c r="P3878" t="n">
        <v>0</v>
      </c>
      <c r="Q3878" t="n">
        <v>0</v>
      </c>
      <c r="R3878" s="2" t="inlineStr"/>
    </row>
    <row r="3879" ht="15" customHeight="1">
      <c r="A3879" t="inlineStr">
        <is>
          <t>A 21637-2021</t>
        </is>
      </c>
      <c r="B3879" s="1" t="n">
        <v>44321</v>
      </c>
      <c r="C3879" s="1" t="n">
        <v>45182</v>
      </c>
      <c r="D3879" t="inlineStr">
        <is>
          <t>JÄMTLANDS LÄN</t>
        </is>
      </c>
      <c r="E3879" t="inlineStr">
        <is>
          <t>BRÄCKE</t>
        </is>
      </c>
      <c r="F3879" t="inlineStr">
        <is>
          <t>SCA</t>
        </is>
      </c>
      <c r="G3879" t="n">
        <v>4.3</v>
      </c>
      <c r="H3879" t="n">
        <v>0</v>
      </c>
      <c r="I3879" t="n">
        <v>0</v>
      </c>
      <c r="J3879" t="n">
        <v>0</v>
      </c>
      <c r="K3879" t="n">
        <v>0</v>
      </c>
      <c r="L3879" t="n">
        <v>0</v>
      </c>
      <c r="M3879" t="n">
        <v>0</v>
      </c>
      <c r="N3879" t="n">
        <v>0</v>
      </c>
      <c r="O3879" t="n">
        <v>0</v>
      </c>
      <c r="P3879" t="n">
        <v>0</v>
      </c>
      <c r="Q3879" t="n">
        <v>0</v>
      </c>
      <c r="R3879" s="2" t="inlineStr"/>
    </row>
    <row r="3880" ht="15" customHeight="1">
      <c r="A3880" t="inlineStr">
        <is>
          <t>A 21661-2021</t>
        </is>
      </c>
      <c r="B3880" s="1" t="n">
        <v>44322</v>
      </c>
      <c r="C3880" s="1" t="n">
        <v>45182</v>
      </c>
      <c r="D3880" t="inlineStr">
        <is>
          <t>JÄMTLANDS LÄN</t>
        </is>
      </c>
      <c r="E3880" t="inlineStr">
        <is>
          <t>HÄRJEDALEN</t>
        </is>
      </c>
      <c r="F3880" t="inlineStr">
        <is>
          <t>Holmen skog AB</t>
        </is>
      </c>
      <c r="G3880" t="n">
        <v>3</v>
      </c>
      <c r="H3880" t="n">
        <v>0</v>
      </c>
      <c r="I3880" t="n">
        <v>0</v>
      </c>
      <c r="J3880" t="n">
        <v>0</v>
      </c>
      <c r="K3880" t="n">
        <v>0</v>
      </c>
      <c r="L3880" t="n">
        <v>0</v>
      </c>
      <c r="M3880" t="n">
        <v>0</v>
      </c>
      <c r="N3880" t="n">
        <v>0</v>
      </c>
      <c r="O3880" t="n">
        <v>0</v>
      </c>
      <c r="P3880" t="n">
        <v>0</v>
      </c>
      <c r="Q3880" t="n">
        <v>0</v>
      </c>
      <c r="R3880" s="2" t="inlineStr"/>
    </row>
    <row r="3881" ht="15" customHeight="1">
      <c r="A3881" t="inlineStr">
        <is>
          <t>A 21897-2021</t>
        </is>
      </c>
      <c r="B3881" s="1" t="n">
        <v>44322</v>
      </c>
      <c r="C3881" s="1" t="n">
        <v>45182</v>
      </c>
      <c r="D3881" t="inlineStr">
        <is>
          <t>JÄMTLANDS LÄN</t>
        </is>
      </c>
      <c r="E3881" t="inlineStr">
        <is>
          <t>ÅRE</t>
        </is>
      </c>
      <c r="G3881" t="n">
        <v>41.4</v>
      </c>
      <c r="H3881" t="n">
        <v>0</v>
      </c>
      <c r="I3881" t="n">
        <v>0</v>
      </c>
      <c r="J3881" t="n">
        <v>0</v>
      </c>
      <c r="K3881" t="n">
        <v>0</v>
      </c>
      <c r="L3881" t="n">
        <v>0</v>
      </c>
      <c r="M3881" t="n">
        <v>0</v>
      </c>
      <c r="N3881" t="n">
        <v>0</v>
      </c>
      <c r="O3881" t="n">
        <v>0</v>
      </c>
      <c r="P3881" t="n">
        <v>0</v>
      </c>
      <c r="Q3881" t="n">
        <v>0</v>
      </c>
      <c r="R3881" s="2" t="inlineStr"/>
    </row>
    <row r="3882" ht="15" customHeight="1">
      <c r="A3882" t="inlineStr">
        <is>
          <t>A 21938-2021</t>
        </is>
      </c>
      <c r="B3882" s="1" t="n">
        <v>44322</v>
      </c>
      <c r="C3882" s="1" t="n">
        <v>45182</v>
      </c>
      <c r="D3882" t="inlineStr">
        <is>
          <t>JÄMTLANDS LÄN</t>
        </is>
      </c>
      <c r="E3882" t="inlineStr">
        <is>
          <t>STRÖMSUND</t>
        </is>
      </c>
      <c r="F3882" t="inlineStr">
        <is>
          <t>SCA</t>
        </is>
      </c>
      <c r="G3882" t="n">
        <v>4.9</v>
      </c>
      <c r="H3882" t="n">
        <v>0</v>
      </c>
      <c r="I3882" t="n">
        <v>0</v>
      </c>
      <c r="J3882" t="n">
        <v>0</v>
      </c>
      <c r="K3882" t="n">
        <v>0</v>
      </c>
      <c r="L3882" t="n">
        <v>0</v>
      </c>
      <c r="M3882" t="n">
        <v>0</v>
      </c>
      <c r="N3882" t="n">
        <v>0</v>
      </c>
      <c r="O3882" t="n">
        <v>0</v>
      </c>
      <c r="P3882" t="n">
        <v>0</v>
      </c>
      <c r="Q3882" t="n">
        <v>0</v>
      </c>
      <c r="R3882" s="2" t="inlineStr"/>
    </row>
    <row r="3883" ht="15" customHeight="1">
      <c r="A3883" t="inlineStr">
        <is>
          <t>A 22655-2021</t>
        </is>
      </c>
      <c r="B3883" s="1" t="n">
        <v>44322</v>
      </c>
      <c r="C3883" s="1" t="n">
        <v>45182</v>
      </c>
      <c r="D3883" t="inlineStr">
        <is>
          <t>JÄMTLANDS LÄN</t>
        </is>
      </c>
      <c r="E3883" t="inlineStr">
        <is>
          <t>RAGUNDA</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21849-2021</t>
        </is>
      </c>
      <c r="B3884" s="1" t="n">
        <v>44322</v>
      </c>
      <c r="C3884" s="1" t="n">
        <v>45182</v>
      </c>
      <c r="D3884" t="inlineStr">
        <is>
          <t>JÄMTLANDS LÄN</t>
        </is>
      </c>
      <c r="E3884" t="inlineStr">
        <is>
          <t>ÖSTERSUND</t>
        </is>
      </c>
      <c r="G3884" t="n">
        <v>2.5</v>
      </c>
      <c r="H3884" t="n">
        <v>0</v>
      </c>
      <c r="I3884" t="n">
        <v>0</v>
      </c>
      <c r="J3884" t="n">
        <v>0</v>
      </c>
      <c r="K3884" t="n">
        <v>0</v>
      </c>
      <c r="L3884" t="n">
        <v>0</v>
      </c>
      <c r="M3884" t="n">
        <v>0</v>
      </c>
      <c r="N3884" t="n">
        <v>0</v>
      </c>
      <c r="O3884" t="n">
        <v>0</v>
      </c>
      <c r="P3884" t="n">
        <v>0</v>
      </c>
      <c r="Q3884" t="n">
        <v>0</v>
      </c>
      <c r="R3884" s="2" t="inlineStr"/>
    </row>
    <row r="3885" ht="15" customHeight="1">
      <c r="A3885" t="inlineStr">
        <is>
          <t>A 21905-2021</t>
        </is>
      </c>
      <c r="B3885" s="1" t="n">
        <v>44322</v>
      </c>
      <c r="C3885" s="1" t="n">
        <v>45182</v>
      </c>
      <c r="D3885" t="inlineStr">
        <is>
          <t>JÄMTLANDS LÄN</t>
        </is>
      </c>
      <c r="E3885" t="inlineStr">
        <is>
          <t>ÅRE</t>
        </is>
      </c>
      <c r="G3885" t="n">
        <v>14.3</v>
      </c>
      <c r="H3885" t="n">
        <v>0</v>
      </c>
      <c r="I3885" t="n">
        <v>0</v>
      </c>
      <c r="J3885" t="n">
        <v>0</v>
      </c>
      <c r="K3885" t="n">
        <v>0</v>
      </c>
      <c r="L3885" t="n">
        <v>0</v>
      </c>
      <c r="M3885" t="n">
        <v>0</v>
      </c>
      <c r="N3885" t="n">
        <v>0</v>
      </c>
      <c r="O3885" t="n">
        <v>0</v>
      </c>
      <c r="P3885" t="n">
        <v>0</v>
      </c>
      <c r="Q3885" t="n">
        <v>0</v>
      </c>
      <c r="R3885" s="2" t="inlineStr"/>
    </row>
    <row r="3886" ht="15" customHeight="1">
      <c r="A3886" t="inlineStr">
        <is>
          <t>A 22131-2021</t>
        </is>
      </c>
      <c r="B3886" s="1" t="n">
        <v>44323</v>
      </c>
      <c r="C3886" s="1" t="n">
        <v>45182</v>
      </c>
      <c r="D3886" t="inlineStr">
        <is>
          <t>JÄMTLANDS LÄN</t>
        </is>
      </c>
      <c r="E3886" t="inlineStr">
        <is>
          <t>RAGUNDA</t>
        </is>
      </c>
      <c r="F3886" t="inlineStr">
        <is>
          <t>SCA</t>
        </is>
      </c>
      <c r="G3886" t="n">
        <v>3.5</v>
      </c>
      <c r="H3886" t="n">
        <v>0</v>
      </c>
      <c r="I3886" t="n">
        <v>0</v>
      </c>
      <c r="J3886" t="n">
        <v>0</v>
      </c>
      <c r="K3886" t="n">
        <v>0</v>
      </c>
      <c r="L3886" t="n">
        <v>0</v>
      </c>
      <c r="M3886" t="n">
        <v>0</v>
      </c>
      <c r="N3886" t="n">
        <v>0</v>
      </c>
      <c r="O3886" t="n">
        <v>0</v>
      </c>
      <c r="P3886" t="n">
        <v>0</v>
      </c>
      <c r="Q3886" t="n">
        <v>0</v>
      </c>
      <c r="R3886" s="2" t="inlineStr"/>
    </row>
    <row r="3887" ht="15" customHeight="1">
      <c r="A3887" t="inlineStr">
        <is>
          <t>A 22707-2021</t>
        </is>
      </c>
      <c r="B3887" s="1" t="n">
        <v>44323</v>
      </c>
      <c r="C3887" s="1" t="n">
        <v>45182</v>
      </c>
      <c r="D3887" t="inlineStr">
        <is>
          <t>JÄMTLANDS LÄN</t>
        </is>
      </c>
      <c r="E3887" t="inlineStr">
        <is>
          <t>ÅRE</t>
        </is>
      </c>
      <c r="G3887" t="n">
        <v>6.3</v>
      </c>
      <c r="H3887" t="n">
        <v>0</v>
      </c>
      <c r="I3887" t="n">
        <v>0</v>
      </c>
      <c r="J3887" t="n">
        <v>0</v>
      </c>
      <c r="K3887" t="n">
        <v>0</v>
      </c>
      <c r="L3887" t="n">
        <v>0</v>
      </c>
      <c r="M3887" t="n">
        <v>0</v>
      </c>
      <c r="N3887" t="n">
        <v>0</v>
      </c>
      <c r="O3887" t="n">
        <v>0</v>
      </c>
      <c r="P3887" t="n">
        <v>0</v>
      </c>
      <c r="Q3887" t="n">
        <v>0</v>
      </c>
      <c r="R3887" s="2" t="inlineStr"/>
    </row>
    <row r="3888" ht="15" customHeight="1">
      <c r="A3888" t="inlineStr">
        <is>
          <t>A 22124-2021</t>
        </is>
      </c>
      <c r="B3888" s="1" t="n">
        <v>44323</v>
      </c>
      <c r="C3888" s="1" t="n">
        <v>45182</v>
      </c>
      <c r="D3888" t="inlineStr">
        <is>
          <t>JÄMTLANDS LÄN</t>
        </is>
      </c>
      <c r="E3888" t="inlineStr">
        <is>
          <t>BRÄCKE</t>
        </is>
      </c>
      <c r="G3888" t="n">
        <v>1.7</v>
      </c>
      <c r="H3888" t="n">
        <v>0</v>
      </c>
      <c r="I3888" t="n">
        <v>0</v>
      </c>
      <c r="J3888" t="n">
        <v>0</v>
      </c>
      <c r="K3888" t="n">
        <v>0</v>
      </c>
      <c r="L3888" t="n">
        <v>0</v>
      </c>
      <c r="M3888" t="n">
        <v>0</v>
      </c>
      <c r="N3888" t="n">
        <v>0</v>
      </c>
      <c r="O3888" t="n">
        <v>0</v>
      </c>
      <c r="P3888" t="n">
        <v>0</v>
      </c>
      <c r="Q3888" t="n">
        <v>0</v>
      </c>
      <c r="R3888" s="2" t="inlineStr"/>
    </row>
    <row r="3889" ht="15" customHeight="1">
      <c r="A3889" t="inlineStr">
        <is>
          <t>A 22078-2021</t>
        </is>
      </c>
      <c r="B3889" s="1" t="n">
        <v>44323</v>
      </c>
      <c r="C3889" s="1" t="n">
        <v>45182</v>
      </c>
      <c r="D3889" t="inlineStr">
        <is>
          <t>JÄMTLANDS LÄN</t>
        </is>
      </c>
      <c r="E3889" t="inlineStr">
        <is>
          <t>KROKOM</t>
        </is>
      </c>
      <c r="G3889" t="n">
        <v>5.9</v>
      </c>
      <c r="H3889" t="n">
        <v>0</v>
      </c>
      <c r="I3889" t="n">
        <v>0</v>
      </c>
      <c r="J3889" t="n">
        <v>0</v>
      </c>
      <c r="K3889" t="n">
        <v>0</v>
      </c>
      <c r="L3889" t="n">
        <v>0</v>
      </c>
      <c r="M3889" t="n">
        <v>0</v>
      </c>
      <c r="N3889" t="n">
        <v>0</v>
      </c>
      <c r="O3889" t="n">
        <v>0</v>
      </c>
      <c r="P3889" t="n">
        <v>0</v>
      </c>
      <c r="Q3889" t="n">
        <v>0</v>
      </c>
      <c r="R3889" s="2" t="inlineStr"/>
    </row>
    <row r="3890" ht="15" customHeight="1">
      <c r="A3890" t="inlineStr">
        <is>
          <t>A 22126-2021</t>
        </is>
      </c>
      <c r="B3890" s="1" t="n">
        <v>44323</v>
      </c>
      <c r="C3890" s="1" t="n">
        <v>45182</v>
      </c>
      <c r="D3890" t="inlineStr">
        <is>
          <t>JÄMTLANDS LÄN</t>
        </is>
      </c>
      <c r="E3890" t="inlineStr">
        <is>
          <t>ÖSTERSUND</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22160-2021</t>
        </is>
      </c>
      <c r="B3891" s="1" t="n">
        <v>44325</v>
      </c>
      <c r="C3891" s="1" t="n">
        <v>45182</v>
      </c>
      <c r="D3891" t="inlineStr">
        <is>
          <t>JÄMTLANDS LÄN</t>
        </is>
      </c>
      <c r="E3891" t="inlineStr">
        <is>
          <t>HÄRJEDALEN</t>
        </is>
      </c>
      <c r="G3891" t="n">
        <v>0.9</v>
      </c>
      <c r="H3891" t="n">
        <v>0</v>
      </c>
      <c r="I3891" t="n">
        <v>0</v>
      </c>
      <c r="J3891" t="n">
        <v>0</v>
      </c>
      <c r="K3891" t="n">
        <v>0</v>
      </c>
      <c r="L3891" t="n">
        <v>0</v>
      </c>
      <c r="M3891" t="n">
        <v>0</v>
      </c>
      <c r="N3891" t="n">
        <v>0</v>
      </c>
      <c r="O3891" t="n">
        <v>0</v>
      </c>
      <c r="P3891" t="n">
        <v>0</v>
      </c>
      <c r="Q3891" t="n">
        <v>0</v>
      </c>
      <c r="R3891" s="2" t="inlineStr"/>
    </row>
    <row r="3892" ht="15" customHeight="1">
      <c r="A3892" t="inlineStr">
        <is>
          <t>A 22511-2021</t>
        </is>
      </c>
      <c r="B3892" s="1" t="n">
        <v>44326</v>
      </c>
      <c r="C3892" s="1" t="n">
        <v>45182</v>
      </c>
      <c r="D3892" t="inlineStr">
        <is>
          <t>JÄMTLANDS LÄN</t>
        </is>
      </c>
      <c r="E3892" t="inlineStr">
        <is>
          <t>KROKOM</t>
        </is>
      </c>
      <c r="G3892" t="n">
        <v>6.9</v>
      </c>
      <c r="H3892" t="n">
        <v>0</v>
      </c>
      <c r="I3892" t="n">
        <v>0</v>
      </c>
      <c r="J3892" t="n">
        <v>0</v>
      </c>
      <c r="K3892" t="n">
        <v>0</v>
      </c>
      <c r="L3892" t="n">
        <v>0</v>
      </c>
      <c r="M3892" t="n">
        <v>0</v>
      </c>
      <c r="N3892" t="n">
        <v>0</v>
      </c>
      <c r="O3892" t="n">
        <v>0</v>
      </c>
      <c r="P3892" t="n">
        <v>0</v>
      </c>
      <c r="Q3892" t="n">
        <v>0</v>
      </c>
      <c r="R3892" s="2" t="inlineStr"/>
    </row>
    <row r="3893" ht="15" customHeight="1">
      <c r="A3893" t="inlineStr">
        <is>
          <t>A 22527-2021</t>
        </is>
      </c>
      <c r="B3893" s="1" t="n">
        <v>44326</v>
      </c>
      <c r="C3893" s="1" t="n">
        <v>45182</v>
      </c>
      <c r="D3893" t="inlineStr">
        <is>
          <t>JÄMTLANDS LÄN</t>
        </is>
      </c>
      <c r="E3893" t="inlineStr">
        <is>
          <t>STRÖMSUND</t>
        </is>
      </c>
      <c r="F3893" t="inlineStr">
        <is>
          <t>SCA</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22505-2021</t>
        </is>
      </c>
      <c r="B3894" s="1" t="n">
        <v>44326</v>
      </c>
      <c r="C3894" s="1" t="n">
        <v>45182</v>
      </c>
      <c r="D3894" t="inlineStr">
        <is>
          <t>JÄMTLANDS LÄN</t>
        </is>
      </c>
      <c r="E3894" t="inlineStr">
        <is>
          <t>ÅRE</t>
        </is>
      </c>
      <c r="G3894" t="n">
        <v>0.6</v>
      </c>
      <c r="H3894" t="n">
        <v>0</v>
      </c>
      <c r="I3894" t="n">
        <v>0</v>
      </c>
      <c r="J3894" t="n">
        <v>0</v>
      </c>
      <c r="K3894" t="n">
        <v>0</v>
      </c>
      <c r="L3894" t="n">
        <v>0</v>
      </c>
      <c r="M3894" t="n">
        <v>0</v>
      </c>
      <c r="N3894" t="n">
        <v>0</v>
      </c>
      <c r="O3894" t="n">
        <v>0</v>
      </c>
      <c r="P3894" t="n">
        <v>0</v>
      </c>
      <c r="Q3894" t="n">
        <v>0</v>
      </c>
      <c r="R3894" s="2" t="inlineStr"/>
    </row>
    <row r="3895" ht="15" customHeight="1">
      <c r="A3895" t="inlineStr">
        <is>
          <t>A 22632-2021</t>
        </is>
      </c>
      <c r="B3895" s="1" t="n">
        <v>44327</v>
      </c>
      <c r="C3895" s="1" t="n">
        <v>45182</v>
      </c>
      <c r="D3895" t="inlineStr">
        <is>
          <t>JÄMTLANDS LÄN</t>
        </is>
      </c>
      <c r="E3895" t="inlineStr">
        <is>
          <t>STRÖMSUND</t>
        </is>
      </c>
      <c r="G3895" t="n">
        <v>3.7</v>
      </c>
      <c r="H3895" t="n">
        <v>0</v>
      </c>
      <c r="I3895" t="n">
        <v>0</v>
      </c>
      <c r="J3895" t="n">
        <v>0</v>
      </c>
      <c r="K3895" t="n">
        <v>0</v>
      </c>
      <c r="L3895" t="n">
        <v>0</v>
      </c>
      <c r="M3895" t="n">
        <v>0</v>
      </c>
      <c r="N3895" t="n">
        <v>0</v>
      </c>
      <c r="O3895" t="n">
        <v>0</v>
      </c>
      <c r="P3895" t="n">
        <v>0</v>
      </c>
      <c r="Q3895" t="n">
        <v>0</v>
      </c>
      <c r="R3895" s="2" t="inlineStr"/>
    </row>
    <row r="3896" ht="15" customHeight="1">
      <c r="A3896" t="inlineStr">
        <is>
          <t>A 22640-2021</t>
        </is>
      </c>
      <c r="B3896" s="1" t="n">
        <v>44327</v>
      </c>
      <c r="C3896" s="1" t="n">
        <v>45182</v>
      </c>
      <c r="D3896" t="inlineStr">
        <is>
          <t>JÄMTLANDS LÄN</t>
        </is>
      </c>
      <c r="E3896" t="inlineStr">
        <is>
          <t>STRÖMSUND</t>
        </is>
      </c>
      <c r="G3896" t="n">
        <v>7.3</v>
      </c>
      <c r="H3896" t="n">
        <v>0</v>
      </c>
      <c r="I3896" t="n">
        <v>0</v>
      </c>
      <c r="J3896" t="n">
        <v>0</v>
      </c>
      <c r="K3896" t="n">
        <v>0</v>
      </c>
      <c r="L3896" t="n">
        <v>0</v>
      </c>
      <c r="M3896" t="n">
        <v>0</v>
      </c>
      <c r="N3896" t="n">
        <v>0</v>
      </c>
      <c r="O3896" t="n">
        <v>0</v>
      </c>
      <c r="P3896" t="n">
        <v>0</v>
      </c>
      <c r="Q3896" t="n">
        <v>0</v>
      </c>
      <c r="R3896" s="2" t="inlineStr"/>
    </row>
    <row r="3897" ht="15" customHeight="1">
      <c r="A3897" t="inlineStr">
        <is>
          <t>A 22783-2021</t>
        </is>
      </c>
      <c r="B3897" s="1" t="n">
        <v>44327</v>
      </c>
      <c r="C3897" s="1" t="n">
        <v>45182</v>
      </c>
      <c r="D3897" t="inlineStr">
        <is>
          <t>JÄMTLANDS LÄN</t>
        </is>
      </c>
      <c r="E3897" t="inlineStr">
        <is>
          <t>STRÖMSUND</t>
        </is>
      </c>
      <c r="F3897" t="inlineStr">
        <is>
          <t>SCA</t>
        </is>
      </c>
      <c r="G3897" t="n">
        <v>2</v>
      </c>
      <c r="H3897" t="n">
        <v>0</v>
      </c>
      <c r="I3897" t="n">
        <v>0</v>
      </c>
      <c r="J3897" t="n">
        <v>0</v>
      </c>
      <c r="K3897" t="n">
        <v>0</v>
      </c>
      <c r="L3897" t="n">
        <v>0</v>
      </c>
      <c r="M3897" t="n">
        <v>0</v>
      </c>
      <c r="N3897" t="n">
        <v>0</v>
      </c>
      <c r="O3897" t="n">
        <v>0</v>
      </c>
      <c r="P3897" t="n">
        <v>0</v>
      </c>
      <c r="Q3897" t="n">
        <v>0</v>
      </c>
      <c r="R3897" s="2" t="inlineStr"/>
    </row>
    <row r="3898" ht="15" customHeight="1">
      <c r="A3898" t="inlineStr">
        <is>
          <t>A 23013-2021</t>
        </is>
      </c>
      <c r="B3898" s="1" t="n">
        <v>44328</v>
      </c>
      <c r="C3898" s="1" t="n">
        <v>45182</v>
      </c>
      <c r="D3898" t="inlineStr">
        <is>
          <t>JÄMTLANDS LÄN</t>
        </is>
      </c>
      <c r="E3898" t="inlineStr">
        <is>
          <t>BRÄCKE</t>
        </is>
      </c>
      <c r="G3898" t="n">
        <v>8.4</v>
      </c>
      <c r="H3898" t="n">
        <v>0</v>
      </c>
      <c r="I3898" t="n">
        <v>0</v>
      </c>
      <c r="J3898" t="n">
        <v>0</v>
      </c>
      <c r="K3898" t="n">
        <v>0</v>
      </c>
      <c r="L3898" t="n">
        <v>0</v>
      </c>
      <c r="M3898" t="n">
        <v>0</v>
      </c>
      <c r="N3898" t="n">
        <v>0</v>
      </c>
      <c r="O3898" t="n">
        <v>0</v>
      </c>
      <c r="P3898" t="n">
        <v>0</v>
      </c>
      <c r="Q3898" t="n">
        <v>0</v>
      </c>
      <c r="R3898" s="2" t="inlineStr"/>
    </row>
    <row r="3899" ht="15" customHeight="1">
      <c r="A3899" t="inlineStr">
        <is>
          <t>A 23187-2021</t>
        </is>
      </c>
      <c r="B3899" s="1" t="n">
        <v>44328</v>
      </c>
      <c r="C3899" s="1" t="n">
        <v>45182</v>
      </c>
      <c r="D3899" t="inlineStr">
        <is>
          <t>JÄMTLANDS LÄN</t>
        </is>
      </c>
      <c r="E3899" t="inlineStr">
        <is>
          <t>ÖSTERSUND</t>
        </is>
      </c>
      <c r="G3899" t="n">
        <v>1.8</v>
      </c>
      <c r="H3899" t="n">
        <v>0</v>
      </c>
      <c r="I3899" t="n">
        <v>0</v>
      </c>
      <c r="J3899" t="n">
        <v>0</v>
      </c>
      <c r="K3899" t="n">
        <v>0</v>
      </c>
      <c r="L3899" t="n">
        <v>0</v>
      </c>
      <c r="M3899" t="n">
        <v>0</v>
      </c>
      <c r="N3899" t="n">
        <v>0</v>
      </c>
      <c r="O3899" t="n">
        <v>0</v>
      </c>
      <c r="P3899" t="n">
        <v>0</v>
      </c>
      <c r="Q3899" t="n">
        <v>0</v>
      </c>
      <c r="R3899" s="2" t="inlineStr"/>
    </row>
    <row r="3900" ht="15" customHeight="1">
      <c r="A3900" t="inlineStr">
        <is>
          <t>A 23103-2021</t>
        </is>
      </c>
      <c r="B3900" s="1" t="n">
        <v>44330</v>
      </c>
      <c r="C3900" s="1" t="n">
        <v>45182</v>
      </c>
      <c r="D3900" t="inlineStr">
        <is>
          <t>JÄMTLANDS LÄN</t>
        </is>
      </c>
      <c r="E3900" t="inlineStr">
        <is>
          <t>STRÖMSUND</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23139-2021</t>
        </is>
      </c>
      <c r="B3901" s="1" t="n">
        <v>44331</v>
      </c>
      <c r="C3901" s="1" t="n">
        <v>45182</v>
      </c>
      <c r="D3901" t="inlineStr">
        <is>
          <t>JÄMTLANDS LÄN</t>
        </is>
      </c>
      <c r="E3901" t="inlineStr">
        <is>
          <t>KROKOM</t>
        </is>
      </c>
      <c r="G3901" t="n">
        <v>0.6</v>
      </c>
      <c r="H3901" t="n">
        <v>0</v>
      </c>
      <c r="I3901" t="n">
        <v>0</v>
      </c>
      <c r="J3901" t="n">
        <v>0</v>
      </c>
      <c r="K3901" t="n">
        <v>0</v>
      </c>
      <c r="L3901" t="n">
        <v>0</v>
      </c>
      <c r="M3901" t="n">
        <v>0</v>
      </c>
      <c r="N3901" t="n">
        <v>0</v>
      </c>
      <c r="O3901" t="n">
        <v>0</v>
      </c>
      <c r="P3901" t="n">
        <v>0</v>
      </c>
      <c r="Q3901" t="n">
        <v>0</v>
      </c>
      <c r="R3901" s="2" t="inlineStr"/>
    </row>
    <row r="3902" ht="15" customHeight="1">
      <c r="A3902" t="inlineStr">
        <is>
          <t>A 23169-2021</t>
        </is>
      </c>
      <c r="B3902" s="1" t="n">
        <v>44332</v>
      </c>
      <c r="C3902" s="1" t="n">
        <v>45182</v>
      </c>
      <c r="D3902" t="inlineStr">
        <is>
          <t>JÄMTLANDS LÄN</t>
        </is>
      </c>
      <c r="E3902" t="inlineStr">
        <is>
          <t>RAGUNDA</t>
        </is>
      </c>
      <c r="F3902" t="inlineStr">
        <is>
          <t>SCA</t>
        </is>
      </c>
      <c r="G3902" t="n">
        <v>59.9</v>
      </c>
      <c r="H3902" t="n">
        <v>0</v>
      </c>
      <c r="I3902" t="n">
        <v>0</v>
      </c>
      <c r="J3902" t="n">
        <v>0</v>
      </c>
      <c r="K3902" t="n">
        <v>0</v>
      </c>
      <c r="L3902" t="n">
        <v>0</v>
      </c>
      <c r="M3902" t="n">
        <v>0</v>
      </c>
      <c r="N3902" t="n">
        <v>0</v>
      </c>
      <c r="O3902" t="n">
        <v>0</v>
      </c>
      <c r="P3902" t="n">
        <v>0</v>
      </c>
      <c r="Q3902" t="n">
        <v>0</v>
      </c>
      <c r="R3902" s="2" t="inlineStr"/>
    </row>
    <row r="3903" ht="15" customHeight="1">
      <c r="A3903" t="inlineStr">
        <is>
          <t>A 23486-2021</t>
        </is>
      </c>
      <c r="B3903" s="1" t="n">
        <v>44333</v>
      </c>
      <c r="C3903" s="1" t="n">
        <v>45182</v>
      </c>
      <c r="D3903" t="inlineStr">
        <is>
          <t>JÄMTLANDS LÄN</t>
        </is>
      </c>
      <c r="E3903" t="inlineStr">
        <is>
          <t>STRÖMSUND</t>
        </is>
      </c>
      <c r="F3903" t="inlineStr">
        <is>
          <t>SCA</t>
        </is>
      </c>
      <c r="G3903" t="n">
        <v>1.8</v>
      </c>
      <c r="H3903" t="n">
        <v>0</v>
      </c>
      <c r="I3903" t="n">
        <v>0</v>
      </c>
      <c r="J3903" t="n">
        <v>0</v>
      </c>
      <c r="K3903" t="n">
        <v>0</v>
      </c>
      <c r="L3903" t="n">
        <v>0</v>
      </c>
      <c r="M3903" t="n">
        <v>0</v>
      </c>
      <c r="N3903" t="n">
        <v>0</v>
      </c>
      <c r="O3903" t="n">
        <v>0</v>
      </c>
      <c r="P3903" t="n">
        <v>0</v>
      </c>
      <c r="Q3903" t="n">
        <v>0</v>
      </c>
      <c r="R3903" s="2" t="inlineStr"/>
    </row>
    <row r="3904" ht="15" customHeight="1">
      <c r="A3904" t="inlineStr">
        <is>
          <t>A 23501-2021</t>
        </is>
      </c>
      <c r="B3904" s="1" t="n">
        <v>44333</v>
      </c>
      <c r="C3904" s="1" t="n">
        <v>45182</v>
      </c>
      <c r="D3904" t="inlineStr">
        <is>
          <t>JÄMTLANDS LÄN</t>
        </is>
      </c>
      <c r="E3904" t="inlineStr">
        <is>
          <t>STRÖMSUND</t>
        </is>
      </c>
      <c r="F3904" t="inlineStr">
        <is>
          <t>SCA</t>
        </is>
      </c>
      <c r="G3904" t="n">
        <v>3.7</v>
      </c>
      <c r="H3904" t="n">
        <v>0</v>
      </c>
      <c r="I3904" t="n">
        <v>0</v>
      </c>
      <c r="J3904" t="n">
        <v>0</v>
      </c>
      <c r="K3904" t="n">
        <v>0</v>
      </c>
      <c r="L3904" t="n">
        <v>0</v>
      </c>
      <c r="M3904" t="n">
        <v>0</v>
      </c>
      <c r="N3904" t="n">
        <v>0</v>
      </c>
      <c r="O3904" t="n">
        <v>0</v>
      </c>
      <c r="P3904" t="n">
        <v>0</v>
      </c>
      <c r="Q3904" t="n">
        <v>0</v>
      </c>
      <c r="R3904" s="2" t="inlineStr"/>
    </row>
    <row r="3905" ht="15" customHeight="1">
      <c r="A3905" t="inlineStr">
        <is>
          <t>A 23475-2021</t>
        </is>
      </c>
      <c r="B3905" s="1" t="n">
        <v>44333</v>
      </c>
      <c r="C3905" s="1" t="n">
        <v>45182</v>
      </c>
      <c r="D3905" t="inlineStr">
        <is>
          <t>JÄMTLANDS LÄN</t>
        </is>
      </c>
      <c r="E3905" t="inlineStr">
        <is>
          <t>KROKOM</t>
        </is>
      </c>
      <c r="G3905" t="n">
        <v>1.7</v>
      </c>
      <c r="H3905" t="n">
        <v>0</v>
      </c>
      <c r="I3905" t="n">
        <v>0</v>
      </c>
      <c r="J3905" t="n">
        <v>0</v>
      </c>
      <c r="K3905" t="n">
        <v>0</v>
      </c>
      <c r="L3905" t="n">
        <v>0</v>
      </c>
      <c r="M3905" t="n">
        <v>0</v>
      </c>
      <c r="N3905" t="n">
        <v>0</v>
      </c>
      <c r="O3905" t="n">
        <v>0</v>
      </c>
      <c r="P3905" t="n">
        <v>0</v>
      </c>
      <c r="Q3905" t="n">
        <v>0</v>
      </c>
      <c r="R3905" s="2" t="inlineStr"/>
    </row>
    <row r="3906" ht="15" customHeight="1">
      <c r="A3906" t="inlineStr">
        <is>
          <t>A 23747-2021</t>
        </is>
      </c>
      <c r="B3906" s="1" t="n">
        <v>44334</v>
      </c>
      <c r="C3906" s="1" t="n">
        <v>45182</v>
      </c>
      <c r="D3906" t="inlineStr">
        <is>
          <t>JÄMTLANDS LÄN</t>
        </is>
      </c>
      <c r="E3906" t="inlineStr">
        <is>
          <t>BRÄCKE</t>
        </is>
      </c>
      <c r="F3906" t="inlineStr">
        <is>
          <t>SCA</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23561-2021</t>
        </is>
      </c>
      <c r="B3907" s="1" t="n">
        <v>44334</v>
      </c>
      <c r="C3907" s="1" t="n">
        <v>45182</v>
      </c>
      <c r="D3907" t="inlineStr">
        <is>
          <t>JÄMTLANDS LÄN</t>
        </is>
      </c>
      <c r="E3907" t="inlineStr">
        <is>
          <t>ÅRE</t>
        </is>
      </c>
      <c r="G3907" t="n">
        <v>8.5</v>
      </c>
      <c r="H3907" t="n">
        <v>0</v>
      </c>
      <c r="I3907" t="n">
        <v>0</v>
      </c>
      <c r="J3907" t="n">
        <v>0</v>
      </c>
      <c r="K3907" t="n">
        <v>0</v>
      </c>
      <c r="L3907" t="n">
        <v>0</v>
      </c>
      <c r="M3907" t="n">
        <v>0</v>
      </c>
      <c r="N3907" t="n">
        <v>0</v>
      </c>
      <c r="O3907" t="n">
        <v>0</v>
      </c>
      <c r="P3907" t="n">
        <v>0</v>
      </c>
      <c r="Q3907" t="n">
        <v>0</v>
      </c>
      <c r="R3907" s="2" t="inlineStr"/>
    </row>
    <row r="3908" ht="15" customHeight="1">
      <c r="A3908" t="inlineStr">
        <is>
          <t>A 23601-2021</t>
        </is>
      </c>
      <c r="B3908" s="1" t="n">
        <v>44334</v>
      </c>
      <c r="C3908" s="1" t="n">
        <v>45182</v>
      </c>
      <c r="D3908" t="inlineStr">
        <is>
          <t>JÄMTLANDS LÄN</t>
        </is>
      </c>
      <c r="E3908" t="inlineStr">
        <is>
          <t>KROKOM</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23832-2021</t>
        </is>
      </c>
      <c r="B3909" s="1" t="n">
        <v>44335</v>
      </c>
      <c r="C3909" s="1" t="n">
        <v>45182</v>
      </c>
      <c r="D3909" t="inlineStr">
        <is>
          <t>JÄMTLANDS LÄN</t>
        </is>
      </c>
      <c r="E3909" t="inlineStr">
        <is>
          <t>KROKOM</t>
        </is>
      </c>
      <c r="G3909" t="n">
        <v>20</v>
      </c>
      <c r="H3909" t="n">
        <v>0</v>
      </c>
      <c r="I3909" t="n">
        <v>0</v>
      </c>
      <c r="J3909" t="n">
        <v>0</v>
      </c>
      <c r="K3909" t="n">
        <v>0</v>
      </c>
      <c r="L3909" t="n">
        <v>0</v>
      </c>
      <c r="M3909" t="n">
        <v>0</v>
      </c>
      <c r="N3909" t="n">
        <v>0</v>
      </c>
      <c r="O3909" t="n">
        <v>0</v>
      </c>
      <c r="P3909" t="n">
        <v>0</v>
      </c>
      <c r="Q3909" t="n">
        <v>0</v>
      </c>
      <c r="R3909" s="2" t="inlineStr"/>
    </row>
    <row r="3910" ht="15" customHeight="1">
      <c r="A3910" t="inlineStr">
        <is>
          <t>A 23895-2021</t>
        </is>
      </c>
      <c r="B3910" s="1" t="n">
        <v>44335</v>
      </c>
      <c r="C3910" s="1" t="n">
        <v>45182</v>
      </c>
      <c r="D3910" t="inlineStr">
        <is>
          <t>JÄMTLANDS LÄN</t>
        </is>
      </c>
      <c r="E3910" t="inlineStr">
        <is>
          <t>ÖSTERSUND</t>
        </is>
      </c>
      <c r="G3910" t="n">
        <v>0.6</v>
      </c>
      <c r="H3910" t="n">
        <v>0</v>
      </c>
      <c r="I3910" t="n">
        <v>0</v>
      </c>
      <c r="J3910" t="n">
        <v>0</v>
      </c>
      <c r="K3910" t="n">
        <v>0</v>
      </c>
      <c r="L3910" t="n">
        <v>0</v>
      </c>
      <c r="M3910" t="n">
        <v>0</v>
      </c>
      <c r="N3910" t="n">
        <v>0</v>
      </c>
      <c r="O3910" t="n">
        <v>0</v>
      </c>
      <c r="P3910" t="n">
        <v>0</v>
      </c>
      <c r="Q3910" t="n">
        <v>0</v>
      </c>
      <c r="R3910" s="2" t="inlineStr"/>
    </row>
    <row r="3911" ht="15" customHeight="1">
      <c r="A3911" t="inlineStr">
        <is>
          <t>A 24280-2021</t>
        </is>
      </c>
      <c r="B3911" s="1" t="n">
        <v>44336</v>
      </c>
      <c r="C3911" s="1" t="n">
        <v>45182</v>
      </c>
      <c r="D3911" t="inlineStr">
        <is>
          <t>JÄMTLANDS LÄN</t>
        </is>
      </c>
      <c r="E3911" t="inlineStr">
        <is>
          <t>RAGUNDA</t>
        </is>
      </c>
      <c r="G3911" t="n">
        <v>8.800000000000001</v>
      </c>
      <c r="H3911" t="n">
        <v>0</v>
      </c>
      <c r="I3911" t="n">
        <v>0</v>
      </c>
      <c r="J3911" t="n">
        <v>0</v>
      </c>
      <c r="K3911" t="n">
        <v>0</v>
      </c>
      <c r="L3911" t="n">
        <v>0</v>
      </c>
      <c r="M3911" t="n">
        <v>0</v>
      </c>
      <c r="N3911" t="n">
        <v>0</v>
      </c>
      <c r="O3911" t="n">
        <v>0</v>
      </c>
      <c r="P3911" t="n">
        <v>0</v>
      </c>
      <c r="Q3911" t="n">
        <v>0</v>
      </c>
      <c r="R3911" s="2" t="inlineStr"/>
    </row>
    <row r="3912" ht="15" customHeight="1">
      <c r="A3912" t="inlineStr">
        <is>
          <t>A 24312-2021</t>
        </is>
      </c>
      <c r="B3912" s="1" t="n">
        <v>44336</v>
      </c>
      <c r="C3912" s="1" t="n">
        <v>45182</v>
      </c>
      <c r="D3912" t="inlineStr">
        <is>
          <t>JÄMTLANDS LÄN</t>
        </is>
      </c>
      <c r="E3912" t="inlineStr">
        <is>
          <t>ÖSTERSUND</t>
        </is>
      </c>
      <c r="G3912" t="n">
        <v>10.6</v>
      </c>
      <c r="H3912" t="n">
        <v>0</v>
      </c>
      <c r="I3912" t="n">
        <v>0</v>
      </c>
      <c r="J3912" t="n">
        <v>0</v>
      </c>
      <c r="K3912" t="n">
        <v>0</v>
      </c>
      <c r="L3912" t="n">
        <v>0</v>
      </c>
      <c r="M3912" t="n">
        <v>0</v>
      </c>
      <c r="N3912" t="n">
        <v>0</v>
      </c>
      <c r="O3912" t="n">
        <v>0</v>
      </c>
      <c r="P3912" t="n">
        <v>0</v>
      </c>
      <c r="Q3912" t="n">
        <v>0</v>
      </c>
      <c r="R3912" s="2" t="inlineStr"/>
    </row>
    <row r="3913" ht="15" customHeight="1">
      <c r="A3913" t="inlineStr">
        <is>
          <t>A 24171-2021</t>
        </is>
      </c>
      <c r="B3913" s="1" t="n">
        <v>44336</v>
      </c>
      <c r="C3913" s="1" t="n">
        <v>45182</v>
      </c>
      <c r="D3913" t="inlineStr">
        <is>
          <t>JÄMTLANDS LÄN</t>
        </is>
      </c>
      <c r="E3913" t="inlineStr">
        <is>
          <t>RAGUNDA</t>
        </is>
      </c>
      <c r="G3913" t="n">
        <v>3.6</v>
      </c>
      <c r="H3913" t="n">
        <v>0</v>
      </c>
      <c r="I3913" t="n">
        <v>0</v>
      </c>
      <c r="J3913" t="n">
        <v>0</v>
      </c>
      <c r="K3913" t="n">
        <v>0</v>
      </c>
      <c r="L3913" t="n">
        <v>0</v>
      </c>
      <c r="M3913" t="n">
        <v>0</v>
      </c>
      <c r="N3913" t="n">
        <v>0</v>
      </c>
      <c r="O3913" t="n">
        <v>0</v>
      </c>
      <c r="P3913" t="n">
        <v>0</v>
      </c>
      <c r="Q3913" t="n">
        <v>0</v>
      </c>
      <c r="R3913" s="2" t="inlineStr"/>
    </row>
    <row r="3914" ht="15" customHeight="1">
      <c r="A3914" t="inlineStr">
        <is>
          <t>A 24197-2021</t>
        </is>
      </c>
      <c r="B3914" s="1" t="n">
        <v>44336</v>
      </c>
      <c r="C3914" s="1" t="n">
        <v>45182</v>
      </c>
      <c r="D3914" t="inlineStr">
        <is>
          <t>JÄMTLANDS LÄN</t>
        </is>
      </c>
      <c r="E3914" t="inlineStr">
        <is>
          <t>STRÖMSUND</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24240-2021</t>
        </is>
      </c>
      <c r="B3915" s="1" t="n">
        <v>44336</v>
      </c>
      <c r="C3915" s="1" t="n">
        <v>45182</v>
      </c>
      <c r="D3915" t="inlineStr">
        <is>
          <t>JÄMTLANDS LÄN</t>
        </is>
      </c>
      <c r="E3915" t="inlineStr">
        <is>
          <t>BRÄCKE</t>
        </is>
      </c>
      <c r="F3915" t="inlineStr">
        <is>
          <t>SCA</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24436-2021</t>
        </is>
      </c>
      <c r="B3916" s="1" t="n">
        <v>44337</v>
      </c>
      <c r="C3916" s="1" t="n">
        <v>45182</v>
      </c>
      <c r="D3916" t="inlineStr">
        <is>
          <t>JÄMTLANDS LÄN</t>
        </is>
      </c>
      <c r="E3916" t="inlineStr">
        <is>
          <t>KROKOM</t>
        </is>
      </c>
      <c r="G3916" t="n">
        <v>0.9</v>
      </c>
      <c r="H3916" t="n">
        <v>0</v>
      </c>
      <c r="I3916" t="n">
        <v>0</v>
      </c>
      <c r="J3916" t="n">
        <v>0</v>
      </c>
      <c r="K3916" t="n">
        <v>0</v>
      </c>
      <c r="L3916" t="n">
        <v>0</v>
      </c>
      <c r="M3916" t="n">
        <v>0</v>
      </c>
      <c r="N3916" t="n">
        <v>0</v>
      </c>
      <c r="O3916" t="n">
        <v>0</v>
      </c>
      <c r="P3916" t="n">
        <v>0</v>
      </c>
      <c r="Q3916" t="n">
        <v>0</v>
      </c>
      <c r="R3916" s="2" t="inlineStr"/>
    </row>
    <row r="3917" ht="15" customHeight="1">
      <c r="A3917" t="inlineStr">
        <is>
          <t>A 24677-2021</t>
        </is>
      </c>
      <c r="B3917" s="1" t="n">
        <v>44337</v>
      </c>
      <c r="C3917" s="1" t="n">
        <v>45182</v>
      </c>
      <c r="D3917" t="inlineStr">
        <is>
          <t>JÄMTLANDS LÄN</t>
        </is>
      </c>
      <c r="E3917" t="inlineStr">
        <is>
          <t>KROKOM</t>
        </is>
      </c>
      <c r="G3917" t="n">
        <v>1.8</v>
      </c>
      <c r="H3917" t="n">
        <v>0</v>
      </c>
      <c r="I3917" t="n">
        <v>0</v>
      </c>
      <c r="J3917" t="n">
        <v>0</v>
      </c>
      <c r="K3917" t="n">
        <v>0</v>
      </c>
      <c r="L3917" t="n">
        <v>0</v>
      </c>
      <c r="M3917" t="n">
        <v>0</v>
      </c>
      <c r="N3917" t="n">
        <v>0</v>
      </c>
      <c r="O3917" t="n">
        <v>0</v>
      </c>
      <c r="P3917" t="n">
        <v>0</v>
      </c>
      <c r="Q3917" t="n">
        <v>0</v>
      </c>
      <c r="R3917" s="2" t="inlineStr"/>
    </row>
    <row r="3918" ht="15" customHeight="1">
      <c r="A3918" t="inlineStr">
        <is>
          <t>A 24585-2021</t>
        </is>
      </c>
      <c r="B3918" s="1" t="n">
        <v>44337</v>
      </c>
      <c r="C3918" s="1" t="n">
        <v>45182</v>
      </c>
      <c r="D3918" t="inlineStr">
        <is>
          <t>JÄMTLANDS LÄN</t>
        </is>
      </c>
      <c r="E3918" t="inlineStr">
        <is>
          <t>ÅRE</t>
        </is>
      </c>
      <c r="G3918" t="n">
        <v>1.9</v>
      </c>
      <c r="H3918" t="n">
        <v>0</v>
      </c>
      <c r="I3918" t="n">
        <v>0</v>
      </c>
      <c r="J3918" t="n">
        <v>0</v>
      </c>
      <c r="K3918" t="n">
        <v>0</v>
      </c>
      <c r="L3918" t="n">
        <v>0</v>
      </c>
      <c r="M3918" t="n">
        <v>0</v>
      </c>
      <c r="N3918" t="n">
        <v>0</v>
      </c>
      <c r="O3918" t="n">
        <v>0</v>
      </c>
      <c r="P3918" t="n">
        <v>0</v>
      </c>
      <c r="Q3918" t="n">
        <v>0</v>
      </c>
      <c r="R3918" s="2" t="inlineStr"/>
    </row>
    <row r="3919" ht="15" customHeight="1">
      <c r="A3919" t="inlineStr">
        <is>
          <t>A 24706-2021</t>
        </is>
      </c>
      <c r="B3919" s="1" t="n">
        <v>44340</v>
      </c>
      <c r="C3919" s="1" t="n">
        <v>45182</v>
      </c>
      <c r="D3919" t="inlineStr">
        <is>
          <t>JÄMTLANDS LÄN</t>
        </is>
      </c>
      <c r="E3919" t="inlineStr">
        <is>
          <t>ÖSTERSUND</t>
        </is>
      </c>
      <c r="G3919" t="n">
        <v>5.6</v>
      </c>
      <c r="H3919" t="n">
        <v>0</v>
      </c>
      <c r="I3919" t="n">
        <v>0</v>
      </c>
      <c r="J3919" t="n">
        <v>0</v>
      </c>
      <c r="K3919" t="n">
        <v>0</v>
      </c>
      <c r="L3919" t="n">
        <v>0</v>
      </c>
      <c r="M3919" t="n">
        <v>0</v>
      </c>
      <c r="N3919" t="n">
        <v>0</v>
      </c>
      <c r="O3919" t="n">
        <v>0</v>
      </c>
      <c r="P3919" t="n">
        <v>0</v>
      </c>
      <c r="Q3919" t="n">
        <v>0</v>
      </c>
      <c r="R3919" s="2" t="inlineStr"/>
    </row>
    <row r="3920" ht="15" customHeight="1">
      <c r="A3920" t="inlineStr">
        <is>
          <t>A 24721-2021</t>
        </is>
      </c>
      <c r="B3920" s="1" t="n">
        <v>44340</v>
      </c>
      <c r="C3920" s="1" t="n">
        <v>45182</v>
      </c>
      <c r="D3920" t="inlineStr">
        <is>
          <t>JÄMTLANDS LÄN</t>
        </is>
      </c>
      <c r="E3920" t="inlineStr">
        <is>
          <t>ÖSTERSUND</t>
        </is>
      </c>
      <c r="G3920" t="n">
        <v>2.7</v>
      </c>
      <c r="H3920" t="n">
        <v>0</v>
      </c>
      <c r="I3920" t="n">
        <v>0</v>
      </c>
      <c r="J3920" t="n">
        <v>0</v>
      </c>
      <c r="K3920" t="n">
        <v>0</v>
      </c>
      <c r="L3920" t="n">
        <v>0</v>
      </c>
      <c r="M3920" t="n">
        <v>0</v>
      </c>
      <c r="N3920" t="n">
        <v>0</v>
      </c>
      <c r="O3920" t="n">
        <v>0</v>
      </c>
      <c r="P3920" t="n">
        <v>0</v>
      </c>
      <c r="Q3920" t="n">
        <v>0</v>
      </c>
      <c r="R3920" s="2" t="inlineStr"/>
    </row>
    <row r="3921" ht="15" customHeight="1">
      <c r="A3921" t="inlineStr">
        <is>
          <t>A 24744-2021</t>
        </is>
      </c>
      <c r="B3921" s="1" t="n">
        <v>44340</v>
      </c>
      <c r="C3921" s="1" t="n">
        <v>45182</v>
      </c>
      <c r="D3921" t="inlineStr">
        <is>
          <t>JÄMTLANDS LÄN</t>
        </is>
      </c>
      <c r="E3921" t="inlineStr">
        <is>
          <t>STRÖMSUND</t>
        </is>
      </c>
      <c r="G3921" t="n">
        <v>7.9</v>
      </c>
      <c r="H3921" t="n">
        <v>0</v>
      </c>
      <c r="I3921" t="n">
        <v>0</v>
      </c>
      <c r="J3921" t="n">
        <v>0</v>
      </c>
      <c r="K3921" t="n">
        <v>0</v>
      </c>
      <c r="L3921" t="n">
        <v>0</v>
      </c>
      <c r="M3921" t="n">
        <v>0</v>
      </c>
      <c r="N3921" t="n">
        <v>0</v>
      </c>
      <c r="O3921" t="n">
        <v>0</v>
      </c>
      <c r="P3921" t="n">
        <v>0</v>
      </c>
      <c r="Q3921" t="n">
        <v>0</v>
      </c>
      <c r="R3921" s="2" t="inlineStr"/>
    </row>
    <row r="3922" ht="15" customHeight="1">
      <c r="A3922" t="inlineStr">
        <is>
          <t>A 24950-2021</t>
        </is>
      </c>
      <c r="B3922" s="1" t="n">
        <v>44341</v>
      </c>
      <c r="C3922" s="1" t="n">
        <v>45182</v>
      </c>
      <c r="D3922" t="inlineStr">
        <is>
          <t>JÄMTLANDS LÄN</t>
        </is>
      </c>
      <c r="E3922" t="inlineStr">
        <is>
          <t>BRÄCKE</t>
        </is>
      </c>
      <c r="F3922" t="inlineStr">
        <is>
          <t>Kyrkan</t>
        </is>
      </c>
      <c r="G3922" t="n">
        <v>15.3</v>
      </c>
      <c r="H3922" t="n">
        <v>0</v>
      </c>
      <c r="I3922" t="n">
        <v>0</v>
      </c>
      <c r="J3922" t="n">
        <v>0</v>
      </c>
      <c r="K3922" t="n">
        <v>0</v>
      </c>
      <c r="L3922" t="n">
        <v>0</v>
      </c>
      <c r="M3922" t="n">
        <v>0</v>
      </c>
      <c r="N3922" t="n">
        <v>0</v>
      </c>
      <c r="O3922" t="n">
        <v>0</v>
      </c>
      <c r="P3922" t="n">
        <v>0</v>
      </c>
      <c r="Q3922" t="n">
        <v>0</v>
      </c>
      <c r="R3922" s="2" t="inlineStr"/>
    </row>
    <row r="3923" ht="15" customHeight="1">
      <c r="A3923" t="inlineStr">
        <is>
          <t>A 25444-2021</t>
        </is>
      </c>
      <c r="B3923" s="1" t="n">
        <v>44342</v>
      </c>
      <c r="C3923" s="1" t="n">
        <v>45182</v>
      </c>
      <c r="D3923" t="inlineStr">
        <is>
          <t>JÄMTLANDS LÄN</t>
        </is>
      </c>
      <c r="E3923" t="inlineStr">
        <is>
          <t>HÄRJEDALEN</t>
        </is>
      </c>
      <c r="G3923" t="n">
        <v>0.8</v>
      </c>
      <c r="H3923" t="n">
        <v>0</v>
      </c>
      <c r="I3923" t="n">
        <v>0</v>
      </c>
      <c r="J3923" t="n">
        <v>0</v>
      </c>
      <c r="K3923" t="n">
        <v>0</v>
      </c>
      <c r="L3923" t="n">
        <v>0</v>
      </c>
      <c r="M3923" t="n">
        <v>0</v>
      </c>
      <c r="N3923" t="n">
        <v>0</v>
      </c>
      <c r="O3923" t="n">
        <v>0</v>
      </c>
      <c r="P3923" t="n">
        <v>0</v>
      </c>
      <c r="Q3923" t="n">
        <v>0</v>
      </c>
      <c r="R3923" s="2" t="inlineStr"/>
    </row>
    <row r="3924" ht="15" customHeight="1">
      <c r="A3924" t="inlineStr">
        <is>
          <t>A 25708-2021</t>
        </is>
      </c>
      <c r="B3924" s="1" t="n">
        <v>44343</v>
      </c>
      <c r="C3924" s="1" t="n">
        <v>45182</v>
      </c>
      <c r="D3924" t="inlineStr">
        <is>
          <t>JÄMTLANDS LÄN</t>
        </is>
      </c>
      <c r="E3924" t="inlineStr">
        <is>
          <t>HÄRJEDALEN</t>
        </is>
      </c>
      <c r="G3924" t="n">
        <v>6.8</v>
      </c>
      <c r="H3924" t="n">
        <v>0</v>
      </c>
      <c r="I3924" t="n">
        <v>0</v>
      </c>
      <c r="J3924" t="n">
        <v>0</v>
      </c>
      <c r="K3924" t="n">
        <v>0</v>
      </c>
      <c r="L3924" t="n">
        <v>0</v>
      </c>
      <c r="M3924" t="n">
        <v>0</v>
      </c>
      <c r="N3924" t="n">
        <v>0</v>
      </c>
      <c r="O3924" t="n">
        <v>0</v>
      </c>
      <c r="P3924" t="n">
        <v>0</v>
      </c>
      <c r="Q3924" t="n">
        <v>0</v>
      </c>
      <c r="R3924" s="2" t="inlineStr"/>
    </row>
    <row r="3925" ht="15" customHeight="1">
      <c r="A3925" t="inlineStr">
        <is>
          <t>A 26013-2021</t>
        </is>
      </c>
      <c r="B3925" s="1" t="n">
        <v>44344</v>
      </c>
      <c r="C3925" s="1" t="n">
        <v>45182</v>
      </c>
      <c r="D3925" t="inlineStr">
        <is>
          <t>JÄMTLANDS LÄN</t>
        </is>
      </c>
      <c r="E3925" t="inlineStr">
        <is>
          <t>BRÄCKE</t>
        </is>
      </c>
      <c r="G3925" t="n">
        <v>3.3</v>
      </c>
      <c r="H3925" t="n">
        <v>0</v>
      </c>
      <c r="I3925" t="n">
        <v>0</v>
      </c>
      <c r="J3925" t="n">
        <v>0</v>
      </c>
      <c r="K3925" t="n">
        <v>0</v>
      </c>
      <c r="L3925" t="n">
        <v>0</v>
      </c>
      <c r="M3925" t="n">
        <v>0</v>
      </c>
      <c r="N3925" t="n">
        <v>0</v>
      </c>
      <c r="O3925" t="n">
        <v>0</v>
      </c>
      <c r="P3925" t="n">
        <v>0</v>
      </c>
      <c r="Q3925" t="n">
        <v>0</v>
      </c>
      <c r="R3925" s="2" t="inlineStr"/>
    </row>
    <row r="3926" ht="15" customHeight="1">
      <c r="A3926" t="inlineStr">
        <is>
          <t>A 26167-2021</t>
        </is>
      </c>
      <c r="B3926" s="1" t="n">
        <v>44344</v>
      </c>
      <c r="C3926" s="1" t="n">
        <v>45182</v>
      </c>
      <c r="D3926" t="inlineStr">
        <is>
          <t>JÄMTLANDS LÄN</t>
        </is>
      </c>
      <c r="E3926" t="inlineStr">
        <is>
          <t>HÄRJEDALEN</t>
        </is>
      </c>
      <c r="G3926" t="n">
        <v>2.6</v>
      </c>
      <c r="H3926" t="n">
        <v>0</v>
      </c>
      <c r="I3926" t="n">
        <v>0</v>
      </c>
      <c r="J3926" t="n">
        <v>0</v>
      </c>
      <c r="K3926" t="n">
        <v>0</v>
      </c>
      <c r="L3926" t="n">
        <v>0</v>
      </c>
      <c r="M3926" t="n">
        <v>0</v>
      </c>
      <c r="N3926" t="n">
        <v>0</v>
      </c>
      <c r="O3926" t="n">
        <v>0</v>
      </c>
      <c r="P3926" t="n">
        <v>0</v>
      </c>
      <c r="Q3926" t="n">
        <v>0</v>
      </c>
      <c r="R3926" s="2" t="inlineStr"/>
    </row>
    <row r="3927" ht="15" customHeight="1">
      <c r="A3927" t="inlineStr">
        <is>
          <t>A 26104-2021</t>
        </is>
      </c>
      <c r="B3927" s="1" t="n">
        <v>44344</v>
      </c>
      <c r="C3927" s="1" t="n">
        <v>45182</v>
      </c>
      <c r="D3927" t="inlineStr">
        <is>
          <t>JÄMTLANDS LÄN</t>
        </is>
      </c>
      <c r="E3927" t="inlineStr">
        <is>
          <t>STRÖMSUND</t>
        </is>
      </c>
      <c r="F3927" t="inlineStr">
        <is>
          <t>SCA</t>
        </is>
      </c>
      <c r="G3927" t="n">
        <v>1.9</v>
      </c>
      <c r="H3927" t="n">
        <v>0</v>
      </c>
      <c r="I3927" t="n">
        <v>0</v>
      </c>
      <c r="J3927" t="n">
        <v>0</v>
      </c>
      <c r="K3927" t="n">
        <v>0</v>
      </c>
      <c r="L3927" t="n">
        <v>0</v>
      </c>
      <c r="M3927" t="n">
        <v>0</v>
      </c>
      <c r="N3927" t="n">
        <v>0</v>
      </c>
      <c r="O3927" t="n">
        <v>0</v>
      </c>
      <c r="P3927" t="n">
        <v>0</v>
      </c>
      <c r="Q3927" t="n">
        <v>0</v>
      </c>
      <c r="R3927" s="2" t="inlineStr"/>
    </row>
    <row r="3928" ht="15" customHeight="1">
      <c r="A3928" t="inlineStr">
        <is>
          <t>A 26101-2021</t>
        </is>
      </c>
      <c r="B3928" s="1" t="n">
        <v>44344</v>
      </c>
      <c r="C3928" s="1" t="n">
        <v>45182</v>
      </c>
      <c r="D3928" t="inlineStr">
        <is>
          <t>JÄMTLANDS LÄN</t>
        </is>
      </c>
      <c r="E3928" t="inlineStr">
        <is>
          <t>STRÖMSUND</t>
        </is>
      </c>
      <c r="F3928" t="inlineStr">
        <is>
          <t>SCA</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26259-2021</t>
        </is>
      </c>
      <c r="B3929" s="1" t="n">
        <v>44347</v>
      </c>
      <c r="C3929" s="1" t="n">
        <v>45182</v>
      </c>
      <c r="D3929" t="inlineStr">
        <is>
          <t>JÄMTLANDS LÄN</t>
        </is>
      </c>
      <c r="E3929" t="inlineStr">
        <is>
          <t>ÖSTERSUND</t>
        </is>
      </c>
      <c r="G3929" t="n">
        <v>4.3</v>
      </c>
      <c r="H3929" t="n">
        <v>0</v>
      </c>
      <c r="I3929" t="n">
        <v>0</v>
      </c>
      <c r="J3929" t="n">
        <v>0</v>
      </c>
      <c r="K3929" t="n">
        <v>0</v>
      </c>
      <c r="L3929" t="n">
        <v>0</v>
      </c>
      <c r="M3929" t="n">
        <v>0</v>
      </c>
      <c r="N3929" t="n">
        <v>0</v>
      </c>
      <c r="O3929" t="n">
        <v>0</v>
      </c>
      <c r="P3929" t="n">
        <v>0</v>
      </c>
      <c r="Q3929" t="n">
        <v>0</v>
      </c>
      <c r="R3929" s="2" t="inlineStr"/>
    </row>
    <row r="3930" ht="15" customHeight="1">
      <c r="A3930" t="inlineStr">
        <is>
          <t>A 26254-2021</t>
        </is>
      </c>
      <c r="B3930" s="1" t="n">
        <v>44347</v>
      </c>
      <c r="C3930" s="1" t="n">
        <v>45182</v>
      </c>
      <c r="D3930" t="inlineStr">
        <is>
          <t>JÄMTLANDS LÄN</t>
        </is>
      </c>
      <c r="E3930" t="inlineStr">
        <is>
          <t>ÖSTERSUND</t>
        </is>
      </c>
      <c r="G3930" t="n">
        <v>1.1</v>
      </c>
      <c r="H3930" t="n">
        <v>0</v>
      </c>
      <c r="I3930" t="n">
        <v>0</v>
      </c>
      <c r="J3930" t="n">
        <v>0</v>
      </c>
      <c r="K3930" t="n">
        <v>0</v>
      </c>
      <c r="L3930" t="n">
        <v>0</v>
      </c>
      <c r="M3930" t="n">
        <v>0</v>
      </c>
      <c r="N3930" t="n">
        <v>0</v>
      </c>
      <c r="O3930" t="n">
        <v>0</v>
      </c>
      <c r="P3930" t="n">
        <v>0</v>
      </c>
      <c r="Q3930" t="n">
        <v>0</v>
      </c>
      <c r="R3930" s="2" t="inlineStr"/>
    </row>
    <row r="3931" ht="15" customHeight="1">
      <c r="A3931" t="inlineStr">
        <is>
          <t>A 26508-2021</t>
        </is>
      </c>
      <c r="B3931" s="1" t="n">
        <v>44348</v>
      </c>
      <c r="C3931" s="1" t="n">
        <v>45182</v>
      </c>
      <c r="D3931" t="inlineStr">
        <is>
          <t>JÄMTLANDS LÄN</t>
        </is>
      </c>
      <c r="E3931" t="inlineStr">
        <is>
          <t>KROKOM</t>
        </is>
      </c>
      <c r="F3931" t="inlineStr">
        <is>
          <t>SCA</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26664-2021</t>
        </is>
      </c>
      <c r="B3932" s="1" t="n">
        <v>44348</v>
      </c>
      <c r="C3932" s="1" t="n">
        <v>45182</v>
      </c>
      <c r="D3932" t="inlineStr">
        <is>
          <t>JÄMTLANDS LÄN</t>
        </is>
      </c>
      <c r="E3932" t="inlineStr">
        <is>
          <t>BRÄCKE</t>
        </is>
      </c>
      <c r="F3932" t="inlineStr">
        <is>
          <t>SCA</t>
        </is>
      </c>
      <c r="G3932" t="n">
        <v>6.8</v>
      </c>
      <c r="H3932" t="n">
        <v>0</v>
      </c>
      <c r="I3932" t="n">
        <v>0</v>
      </c>
      <c r="J3932" t="n">
        <v>0</v>
      </c>
      <c r="K3932" t="n">
        <v>0</v>
      </c>
      <c r="L3932" t="n">
        <v>0</v>
      </c>
      <c r="M3932" t="n">
        <v>0</v>
      </c>
      <c r="N3932" t="n">
        <v>0</v>
      </c>
      <c r="O3932" t="n">
        <v>0</v>
      </c>
      <c r="P3932" t="n">
        <v>0</v>
      </c>
      <c r="Q3932" t="n">
        <v>0</v>
      </c>
      <c r="R3932" s="2" t="inlineStr"/>
    </row>
    <row r="3933" ht="15" customHeight="1">
      <c r="A3933" t="inlineStr">
        <is>
          <t>A 26656-2021</t>
        </is>
      </c>
      <c r="B3933" s="1" t="n">
        <v>44348</v>
      </c>
      <c r="C3933" s="1" t="n">
        <v>45182</v>
      </c>
      <c r="D3933" t="inlineStr">
        <is>
          <t>JÄMTLANDS LÄN</t>
        </is>
      </c>
      <c r="E3933" t="inlineStr">
        <is>
          <t>HÄRJEDALEN</t>
        </is>
      </c>
      <c r="G3933" t="n">
        <v>1.6</v>
      </c>
      <c r="H3933" t="n">
        <v>0</v>
      </c>
      <c r="I3933" t="n">
        <v>0</v>
      </c>
      <c r="J3933" t="n">
        <v>0</v>
      </c>
      <c r="K3933" t="n">
        <v>0</v>
      </c>
      <c r="L3933" t="n">
        <v>0</v>
      </c>
      <c r="M3933" t="n">
        <v>0</v>
      </c>
      <c r="N3933" t="n">
        <v>0</v>
      </c>
      <c r="O3933" t="n">
        <v>0</v>
      </c>
      <c r="P3933" t="n">
        <v>0</v>
      </c>
      <c r="Q3933" t="n">
        <v>0</v>
      </c>
      <c r="R3933" s="2" t="inlineStr"/>
    </row>
    <row r="3934" ht="15" customHeight="1">
      <c r="A3934" t="inlineStr">
        <is>
          <t>A 26550-2021</t>
        </is>
      </c>
      <c r="B3934" s="1" t="n">
        <v>44348</v>
      </c>
      <c r="C3934" s="1" t="n">
        <v>45182</v>
      </c>
      <c r="D3934" t="inlineStr">
        <is>
          <t>JÄMTLANDS LÄN</t>
        </is>
      </c>
      <c r="E3934" t="inlineStr">
        <is>
          <t>KROKOM</t>
        </is>
      </c>
      <c r="F3934" t="inlineStr">
        <is>
          <t>SCA</t>
        </is>
      </c>
      <c r="G3934" t="n">
        <v>22.9</v>
      </c>
      <c r="H3934" t="n">
        <v>0</v>
      </c>
      <c r="I3934" t="n">
        <v>0</v>
      </c>
      <c r="J3934" t="n">
        <v>0</v>
      </c>
      <c r="K3934" t="n">
        <v>0</v>
      </c>
      <c r="L3934" t="n">
        <v>0</v>
      </c>
      <c r="M3934" t="n">
        <v>0</v>
      </c>
      <c r="N3934" t="n">
        <v>0</v>
      </c>
      <c r="O3934" t="n">
        <v>0</v>
      </c>
      <c r="P3934" t="n">
        <v>0</v>
      </c>
      <c r="Q3934" t="n">
        <v>0</v>
      </c>
      <c r="R3934" s="2" t="inlineStr"/>
    </row>
    <row r="3935" ht="15" customHeight="1">
      <c r="A3935" t="inlineStr">
        <is>
          <t>A 26665-2021</t>
        </is>
      </c>
      <c r="B3935" s="1" t="n">
        <v>44348</v>
      </c>
      <c r="C3935" s="1" t="n">
        <v>45182</v>
      </c>
      <c r="D3935" t="inlineStr">
        <is>
          <t>JÄMTLANDS LÄN</t>
        </is>
      </c>
      <c r="E3935" t="inlineStr">
        <is>
          <t>BRÄCKE</t>
        </is>
      </c>
      <c r="F3935" t="inlineStr">
        <is>
          <t>SCA</t>
        </is>
      </c>
      <c r="G3935" t="n">
        <v>3.5</v>
      </c>
      <c r="H3935" t="n">
        <v>0</v>
      </c>
      <c r="I3935" t="n">
        <v>0</v>
      </c>
      <c r="J3935" t="n">
        <v>0</v>
      </c>
      <c r="K3935" t="n">
        <v>0</v>
      </c>
      <c r="L3935" t="n">
        <v>0</v>
      </c>
      <c r="M3935" t="n">
        <v>0</v>
      </c>
      <c r="N3935" t="n">
        <v>0</v>
      </c>
      <c r="O3935" t="n">
        <v>0</v>
      </c>
      <c r="P3935" t="n">
        <v>0</v>
      </c>
      <c r="Q3935" t="n">
        <v>0</v>
      </c>
      <c r="R3935" s="2" t="inlineStr"/>
    </row>
    <row r="3936" ht="15" customHeight="1">
      <c r="A3936" t="inlineStr">
        <is>
          <t>A 26946-2021</t>
        </is>
      </c>
      <c r="B3936" s="1" t="n">
        <v>44349</v>
      </c>
      <c r="C3936" s="1" t="n">
        <v>45182</v>
      </c>
      <c r="D3936" t="inlineStr">
        <is>
          <t>JÄMTLANDS LÄN</t>
        </is>
      </c>
      <c r="E3936" t="inlineStr">
        <is>
          <t>RAGUNDA</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27061-2021</t>
        </is>
      </c>
      <c r="B3937" s="1" t="n">
        <v>44349</v>
      </c>
      <c r="C3937" s="1" t="n">
        <v>45182</v>
      </c>
      <c r="D3937" t="inlineStr">
        <is>
          <t>JÄMTLANDS LÄN</t>
        </is>
      </c>
      <c r="E3937" t="inlineStr">
        <is>
          <t>ÖSTERSUND</t>
        </is>
      </c>
      <c r="G3937" t="n">
        <v>3.2</v>
      </c>
      <c r="H3937" t="n">
        <v>0</v>
      </c>
      <c r="I3937" t="n">
        <v>0</v>
      </c>
      <c r="J3937" t="n">
        <v>0</v>
      </c>
      <c r="K3937" t="n">
        <v>0</v>
      </c>
      <c r="L3937" t="n">
        <v>0</v>
      </c>
      <c r="M3937" t="n">
        <v>0</v>
      </c>
      <c r="N3937" t="n">
        <v>0</v>
      </c>
      <c r="O3937" t="n">
        <v>0</v>
      </c>
      <c r="P3937" t="n">
        <v>0</v>
      </c>
      <c r="Q3937" t="n">
        <v>0</v>
      </c>
      <c r="R3937" s="2" t="inlineStr"/>
    </row>
    <row r="3938" ht="15" customHeight="1">
      <c r="A3938" t="inlineStr">
        <is>
          <t>A 26973-2021</t>
        </is>
      </c>
      <c r="B3938" s="1" t="n">
        <v>44349</v>
      </c>
      <c r="C3938" s="1" t="n">
        <v>45182</v>
      </c>
      <c r="D3938" t="inlineStr">
        <is>
          <t>JÄMTLANDS LÄN</t>
        </is>
      </c>
      <c r="E3938" t="inlineStr">
        <is>
          <t>BERG</t>
        </is>
      </c>
      <c r="F3938" t="inlineStr">
        <is>
          <t>SCA</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26722-2021</t>
        </is>
      </c>
      <c r="B3939" s="1" t="n">
        <v>44349</v>
      </c>
      <c r="C3939" s="1" t="n">
        <v>45182</v>
      </c>
      <c r="D3939" t="inlineStr">
        <is>
          <t>JÄMTLANDS LÄN</t>
        </is>
      </c>
      <c r="E3939" t="inlineStr">
        <is>
          <t>ÅRE</t>
        </is>
      </c>
      <c r="G3939" t="n">
        <v>11.4</v>
      </c>
      <c r="H3939" t="n">
        <v>0</v>
      </c>
      <c r="I3939" t="n">
        <v>0</v>
      </c>
      <c r="J3939" t="n">
        <v>0</v>
      </c>
      <c r="K3939" t="n">
        <v>0</v>
      </c>
      <c r="L3939" t="n">
        <v>0</v>
      </c>
      <c r="M3939" t="n">
        <v>0</v>
      </c>
      <c r="N3939" t="n">
        <v>0</v>
      </c>
      <c r="O3939" t="n">
        <v>0</v>
      </c>
      <c r="P3939" t="n">
        <v>0</v>
      </c>
      <c r="Q3939" t="n">
        <v>0</v>
      </c>
      <c r="R3939" s="2" t="inlineStr"/>
    </row>
    <row r="3940" ht="15" customHeight="1">
      <c r="A3940" t="inlineStr">
        <is>
          <t>A 27000-2021</t>
        </is>
      </c>
      <c r="B3940" s="1" t="n">
        <v>44349</v>
      </c>
      <c r="C3940" s="1" t="n">
        <v>45182</v>
      </c>
      <c r="D3940" t="inlineStr">
        <is>
          <t>JÄMTLANDS LÄN</t>
        </is>
      </c>
      <c r="E3940" t="inlineStr">
        <is>
          <t>KROKOM</t>
        </is>
      </c>
      <c r="F3940" t="inlineStr">
        <is>
          <t>Allmännings- och besparingsskogar</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26962-2021</t>
        </is>
      </c>
      <c r="B3941" s="1" t="n">
        <v>44349</v>
      </c>
      <c r="C3941" s="1" t="n">
        <v>45182</v>
      </c>
      <c r="D3941" t="inlineStr">
        <is>
          <t>JÄMTLANDS LÄN</t>
        </is>
      </c>
      <c r="E3941" t="inlineStr">
        <is>
          <t>STRÖMSUND</t>
        </is>
      </c>
      <c r="F3941" t="inlineStr">
        <is>
          <t>SCA</t>
        </is>
      </c>
      <c r="G3941" t="n">
        <v>5.3</v>
      </c>
      <c r="H3941" t="n">
        <v>0</v>
      </c>
      <c r="I3941" t="n">
        <v>0</v>
      </c>
      <c r="J3941" t="n">
        <v>0</v>
      </c>
      <c r="K3941" t="n">
        <v>0</v>
      </c>
      <c r="L3941" t="n">
        <v>0</v>
      </c>
      <c r="M3941" t="n">
        <v>0</v>
      </c>
      <c r="N3941" t="n">
        <v>0</v>
      </c>
      <c r="O3941" t="n">
        <v>0</v>
      </c>
      <c r="P3941" t="n">
        <v>0</v>
      </c>
      <c r="Q3941" t="n">
        <v>0</v>
      </c>
      <c r="R3941" s="2" t="inlineStr"/>
    </row>
    <row r="3942" ht="15" customHeight="1">
      <c r="A3942" t="inlineStr">
        <is>
          <t>A 27004-2021</t>
        </is>
      </c>
      <c r="B3942" s="1" t="n">
        <v>44349</v>
      </c>
      <c r="C3942" s="1" t="n">
        <v>45182</v>
      </c>
      <c r="D3942" t="inlineStr">
        <is>
          <t>JÄMTLANDS LÄN</t>
        </is>
      </c>
      <c r="E3942" t="inlineStr">
        <is>
          <t>ÖSTERSUND</t>
        </is>
      </c>
      <c r="G3942" t="n">
        <v>1.3</v>
      </c>
      <c r="H3942" t="n">
        <v>0</v>
      </c>
      <c r="I3942" t="n">
        <v>0</v>
      </c>
      <c r="J3942" t="n">
        <v>0</v>
      </c>
      <c r="K3942" t="n">
        <v>0</v>
      </c>
      <c r="L3942" t="n">
        <v>0</v>
      </c>
      <c r="M3942" t="n">
        <v>0</v>
      </c>
      <c r="N3942" t="n">
        <v>0</v>
      </c>
      <c r="O3942" t="n">
        <v>0</v>
      </c>
      <c r="P3942" t="n">
        <v>0</v>
      </c>
      <c r="Q3942" t="n">
        <v>0</v>
      </c>
      <c r="R3942" s="2" t="inlineStr"/>
    </row>
    <row r="3943" ht="15" customHeight="1">
      <c r="A3943" t="inlineStr">
        <is>
          <t>A 27144-2021</t>
        </is>
      </c>
      <c r="B3943" s="1" t="n">
        <v>44350</v>
      </c>
      <c r="C3943" s="1" t="n">
        <v>45182</v>
      </c>
      <c r="D3943" t="inlineStr">
        <is>
          <t>JÄMTLANDS LÄN</t>
        </is>
      </c>
      <c r="E3943" t="inlineStr">
        <is>
          <t>BERG</t>
        </is>
      </c>
      <c r="F3943" t="inlineStr">
        <is>
          <t>Sveaskog</t>
        </is>
      </c>
      <c r="G3943" t="n">
        <v>10.2</v>
      </c>
      <c r="H3943" t="n">
        <v>0</v>
      </c>
      <c r="I3943" t="n">
        <v>0</v>
      </c>
      <c r="J3943" t="n">
        <v>0</v>
      </c>
      <c r="K3943" t="n">
        <v>0</v>
      </c>
      <c r="L3943" t="n">
        <v>0</v>
      </c>
      <c r="M3943" t="n">
        <v>0</v>
      </c>
      <c r="N3943" t="n">
        <v>0</v>
      </c>
      <c r="O3943" t="n">
        <v>0</v>
      </c>
      <c r="P3943" t="n">
        <v>0</v>
      </c>
      <c r="Q3943" t="n">
        <v>0</v>
      </c>
      <c r="R3943" s="2" t="inlineStr"/>
    </row>
    <row r="3944" ht="15" customHeight="1">
      <c r="A3944" t="inlineStr">
        <is>
          <t>A 27233-2021</t>
        </is>
      </c>
      <c r="B3944" s="1" t="n">
        <v>44350</v>
      </c>
      <c r="C3944" s="1" t="n">
        <v>45182</v>
      </c>
      <c r="D3944" t="inlineStr">
        <is>
          <t>JÄMTLANDS LÄN</t>
        </is>
      </c>
      <c r="E3944" t="inlineStr">
        <is>
          <t>STRÖMSUND</t>
        </is>
      </c>
      <c r="G3944" t="n">
        <v>3.2</v>
      </c>
      <c r="H3944" t="n">
        <v>0</v>
      </c>
      <c r="I3944" t="n">
        <v>0</v>
      </c>
      <c r="J3944" t="n">
        <v>0</v>
      </c>
      <c r="K3944" t="n">
        <v>0</v>
      </c>
      <c r="L3944" t="n">
        <v>0</v>
      </c>
      <c r="M3944" t="n">
        <v>0</v>
      </c>
      <c r="N3944" t="n">
        <v>0</v>
      </c>
      <c r="O3944" t="n">
        <v>0</v>
      </c>
      <c r="P3944" t="n">
        <v>0</v>
      </c>
      <c r="Q3944" t="n">
        <v>0</v>
      </c>
      <c r="R3944" s="2" t="inlineStr"/>
    </row>
    <row r="3945" ht="15" customHeight="1">
      <c r="A3945" t="inlineStr">
        <is>
          <t>A 27395-2021</t>
        </is>
      </c>
      <c r="B3945" s="1" t="n">
        <v>44350</v>
      </c>
      <c r="C3945" s="1" t="n">
        <v>45182</v>
      </c>
      <c r="D3945" t="inlineStr">
        <is>
          <t>JÄMTLANDS LÄN</t>
        </is>
      </c>
      <c r="E3945" t="inlineStr">
        <is>
          <t>BERG</t>
        </is>
      </c>
      <c r="G3945" t="n">
        <v>4.4</v>
      </c>
      <c r="H3945" t="n">
        <v>0</v>
      </c>
      <c r="I3945" t="n">
        <v>0</v>
      </c>
      <c r="J3945" t="n">
        <v>0</v>
      </c>
      <c r="K3945" t="n">
        <v>0</v>
      </c>
      <c r="L3945" t="n">
        <v>0</v>
      </c>
      <c r="M3945" t="n">
        <v>0</v>
      </c>
      <c r="N3945" t="n">
        <v>0</v>
      </c>
      <c r="O3945" t="n">
        <v>0</v>
      </c>
      <c r="P3945" t="n">
        <v>0</v>
      </c>
      <c r="Q3945" t="n">
        <v>0</v>
      </c>
      <c r="R3945" s="2" t="inlineStr"/>
    </row>
    <row r="3946" ht="15" customHeight="1">
      <c r="A3946" t="inlineStr">
        <is>
          <t>A 27160-2021</t>
        </is>
      </c>
      <c r="B3946" s="1" t="n">
        <v>44350</v>
      </c>
      <c r="C3946" s="1" t="n">
        <v>45182</v>
      </c>
      <c r="D3946" t="inlineStr">
        <is>
          <t>JÄMTLANDS LÄN</t>
        </is>
      </c>
      <c r="E3946" t="inlineStr">
        <is>
          <t>STRÖMSUND</t>
        </is>
      </c>
      <c r="G3946" t="n">
        <v>1.7</v>
      </c>
      <c r="H3946" t="n">
        <v>0</v>
      </c>
      <c r="I3946" t="n">
        <v>0</v>
      </c>
      <c r="J3946" t="n">
        <v>0</v>
      </c>
      <c r="K3946" t="n">
        <v>0</v>
      </c>
      <c r="L3946" t="n">
        <v>0</v>
      </c>
      <c r="M3946" t="n">
        <v>0</v>
      </c>
      <c r="N3946" t="n">
        <v>0</v>
      </c>
      <c r="O3946" t="n">
        <v>0</v>
      </c>
      <c r="P3946" t="n">
        <v>0</v>
      </c>
      <c r="Q3946" t="n">
        <v>0</v>
      </c>
      <c r="R3946" s="2" t="inlineStr"/>
    </row>
    <row r="3947" ht="15" customHeight="1">
      <c r="A3947" t="inlineStr">
        <is>
          <t>A 27256-2021</t>
        </is>
      </c>
      <c r="B3947" s="1" t="n">
        <v>44350</v>
      </c>
      <c r="C3947" s="1" t="n">
        <v>45182</v>
      </c>
      <c r="D3947" t="inlineStr">
        <is>
          <t>JÄMTLANDS LÄN</t>
        </is>
      </c>
      <c r="E3947" t="inlineStr">
        <is>
          <t>BRÄCKE</t>
        </is>
      </c>
      <c r="F3947" t="inlineStr">
        <is>
          <t>SCA</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27148-2021</t>
        </is>
      </c>
      <c r="B3948" s="1" t="n">
        <v>44350</v>
      </c>
      <c r="C3948" s="1" t="n">
        <v>45182</v>
      </c>
      <c r="D3948" t="inlineStr">
        <is>
          <t>JÄMTLANDS LÄN</t>
        </is>
      </c>
      <c r="E3948" t="inlineStr">
        <is>
          <t>STRÖMSUND</t>
        </is>
      </c>
      <c r="G3948" t="n">
        <v>10.9</v>
      </c>
      <c r="H3948" t="n">
        <v>0</v>
      </c>
      <c r="I3948" t="n">
        <v>0</v>
      </c>
      <c r="J3948" t="n">
        <v>0</v>
      </c>
      <c r="K3948" t="n">
        <v>0</v>
      </c>
      <c r="L3948" t="n">
        <v>0</v>
      </c>
      <c r="M3948" t="n">
        <v>0</v>
      </c>
      <c r="N3948" t="n">
        <v>0</v>
      </c>
      <c r="O3948" t="n">
        <v>0</v>
      </c>
      <c r="P3948" t="n">
        <v>0</v>
      </c>
      <c r="Q3948" t="n">
        <v>0</v>
      </c>
      <c r="R3948" s="2" t="inlineStr"/>
    </row>
    <row r="3949" ht="15" customHeight="1">
      <c r="A3949" t="inlineStr">
        <is>
          <t>A 27231-2021</t>
        </is>
      </c>
      <c r="B3949" s="1" t="n">
        <v>44350</v>
      </c>
      <c r="C3949" s="1" t="n">
        <v>45182</v>
      </c>
      <c r="D3949" t="inlineStr">
        <is>
          <t>JÄMTLANDS LÄN</t>
        </is>
      </c>
      <c r="E3949" t="inlineStr">
        <is>
          <t>STRÖMSUND</t>
        </is>
      </c>
      <c r="G3949" t="n">
        <v>4.2</v>
      </c>
      <c r="H3949" t="n">
        <v>0</v>
      </c>
      <c r="I3949" t="n">
        <v>0</v>
      </c>
      <c r="J3949" t="n">
        <v>0</v>
      </c>
      <c r="K3949" t="n">
        <v>0</v>
      </c>
      <c r="L3949" t="n">
        <v>0</v>
      </c>
      <c r="M3949" t="n">
        <v>0</v>
      </c>
      <c r="N3949" t="n">
        <v>0</v>
      </c>
      <c r="O3949" t="n">
        <v>0</v>
      </c>
      <c r="P3949" t="n">
        <v>0</v>
      </c>
      <c r="Q3949" t="n">
        <v>0</v>
      </c>
      <c r="R3949" s="2" t="inlineStr"/>
    </row>
    <row r="3950" ht="15" customHeight="1">
      <c r="A3950" t="inlineStr">
        <is>
          <t>A 27257-2021</t>
        </is>
      </c>
      <c r="B3950" s="1" t="n">
        <v>44350</v>
      </c>
      <c r="C3950" s="1" t="n">
        <v>45182</v>
      </c>
      <c r="D3950" t="inlineStr">
        <is>
          <t>JÄMTLANDS LÄN</t>
        </is>
      </c>
      <c r="E3950" t="inlineStr">
        <is>
          <t>BRÄCKE</t>
        </is>
      </c>
      <c r="F3950" t="inlineStr">
        <is>
          <t>SCA</t>
        </is>
      </c>
      <c r="G3950" t="n">
        <v>3.3</v>
      </c>
      <c r="H3950" t="n">
        <v>0</v>
      </c>
      <c r="I3950" t="n">
        <v>0</v>
      </c>
      <c r="J3950" t="n">
        <v>0</v>
      </c>
      <c r="K3950" t="n">
        <v>0</v>
      </c>
      <c r="L3950" t="n">
        <v>0</v>
      </c>
      <c r="M3950" t="n">
        <v>0</v>
      </c>
      <c r="N3950" t="n">
        <v>0</v>
      </c>
      <c r="O3950" t="n">
        <v>0</v>
      </c>
      <c r="P3950" t="n">
        <v>0</v>
      </c>
      <c r="Q3950" t="n">
        <v>0</v>
      </c>
      <c r="R3950" s="2" t="inlineStr"/>
    </row>
    <row r="3951" ht="15" customHeight="1">
      <c r="A3951" t="inlineStr">
        <is>
          <t>A 27232-2021</t>
        </is>
      </c>
      <c r="B3951" s="1" t="n">
        <v>44350</v>
      </c>
      <c r="C3951" s="1" t="n">
        <v>45182</v>
      </c>
      <c r="D3951" t="inlineStr">
        <is>
          <t>JÄMTLANDS LÄN</t>
        </is>
      </c>
      <c r="E3951" t="inlineStr">
        <is>
          <t>STRÖMSUND</t>
        </is>
      </c>
      <c r="G3951" t="n">
        <v>3.3</v>
      </c>
      <c r="H3951" t="n">
        <v>0</v>
      </c>
      <c r="I3951" t="n">
        <v>0</v>
      </c>
      <c r="J3951" t="n">
        <v>0</v>
      </c>
      <c r="K3951" t="n">
        <v>0</v>
      </c>
      <c r="L3951" t="n">
        <v>0</v>
      </c>
      <c r="M3951" t="n">
        <v>0</v>
      </c>
      <c r="N3951" t="n">
        <v>0</v>
      </c>
      <c r="O3951" t="n">
        <v>0</v>
      </c>
      <c r="P3951" t="n">
        <v>0</v>
      </c>
      <c r="Q3951" t="n">
        <v>0</v>
      </c>
      <c r="R3951" s="2" t="inlineStr"/>
    </row>
    <row r="3952" ht="15" customHeight="1">
      <c r="A3952" t="inlineStr">
        <is>
          <t>A 27375-2021</t>
        </is>
      </c>
      <c r="B3952" s="1" t="n">
        <v>44351</v>
      </c>
      <c r="C3952" s="1" t="n">
        <v>45182</v>
      </c>
      <c r="D3952" t="inlineStr">
        <is>
          <t>JÄMTLANDS LÄN</t>
        </is>
      </c>
      <c r="E3952" t="inlineStr">
        <is>
          <t>ÅRE</t>
        </is>
      </c>
      <c r="G3952" t="n">
        <v>7.4</v>
      </c>
      <c r="H3952" t="n">
        <v>0</v>
      </c>
      <c r="I3952" t="n">
        <v>0</v>
      </c>
      <c r="J3952" t="n">
        <v>0</v>
      </c>
      <c r="K3952" t="n">
        <v>0</v>
      </c>
      <c r="L3952" t="n">
        <v>0</v>
      </c>
      <c r="M3952" t="n">
        <v>0</v>
      </c>
      <c r="N3952" t="n">
        <v>0</v>
      </c>
      <c r="O3952" t="n">
        <v>0</v>
      </c>
      <c r="P3952" t="n">
        <v>0</v>
      </c>
      <c r="Q3952" t="n">
        <v>0</v>
      </c>
      <c r="R3952" s="2" t="inlineStr"/>
    </row>
    <row r="3953" ht="15" customHeight="1">
      <c r="A3953" t="inlineStr">
        <is>
          <t>A 27390-2021</t>
        </is>
      </c>
      <c r="B3953" s="1" t="n">
        <v>44351</v>
      </c>
      <c r="C3953" s="1" t="n">
        <v>45182</v>
      </c>
      <c r="D3953" t="inlineStr">
        <is>
          <t>JÄMTLANDS LÄN</t>
        </is>
      </c>
      <c r="E3953" t="inlineStr">
        <is>
          <t>ÅRE</t>
        </is>
      </c>
      <c r="G3953" t="n">
        <v>14.9</v>
      </c>
      <c r="H3953" t="n">
        <v>0</v>
      </c>
      <c r="I3953" t="n">
        <v>0</v>
      </c>
      <c r="J3953" t="n">
        <v>0</v>
      </c>
      <c r="K3953" t="n">
        <v>0</v>
      </c>
      <c r="L3953" t="n">
        <v>0</v>
      </c>
      <c r="M3953" t="n">
        <v>0</v>
      </c>
      <c r="N3953" t="n">
        <v>0</v>
      </c>
      <c r="O3953" t="n">
        <v>0</v>
      </c>
      <c r="P3953" t="n">
        <v>0</v>
      </c>
      <c r="Q3953" t="n">
        <v>0</v>
      </c>
      <c r="R3953" s="2" t="inlineStr"/>
    </row>
    <row r="3954" ht="15" customHeight="1">
      <c r="A3954" t="inlineStr">
        <is>
          <t>A 27371-2021</t>
        </is>
      </c>
      <c r="B3954" s="1" t="n">
        <v>44351</v>
      </c>
      <c r="C3954" s="1" t="n">
        <v>45182</v>
      </c>
      <c r="D3954" t="inlineStr">
        <is>
          <t>JÄMTLANDS LÄN</t>
        </is>
      </c>
      <c r="E3954" t="inlineStr">
        <is>
          <t>RAGUNDA</t>
        </is>
      </c>
      <c r="F3954" t="inlineStr">
        <is>
          <t>Kommuner</t>
        </is>
      </c>
      <c r="G3954" t="n">
        <v>2.5</v>
      </c>
      <c r="H3954" t="n">
        <v>0</v>
      </c>
      <c r="I3954" t="n">
        <v>0</v>
      </c>
      <c r="J3954" t="n">
        <v>0</v>
      </c>
      <c r="K3954" t="n">
        <v>0</v>
      </c>
      <c r="L3954" t="n">
        <v>0</v>
      </c>
      <c r="M3954" t="n">
        <v>0</v>
      </c>
      <c r="N3954" t="n">
        <v>0</v>
      </c>
      <c r="O3954" t="n">
        <v>0</v>
      </c>
      <c r="P3954" t="n">
        <v>0</v>
      </c>
      <c r="Q3954" t="n">
        <v>0</v>
      </c>
      <c r="R3954" s="2" t="inlineStr"/>
    </row>
    <row r="3955" ht="15" customHeight="1">
      <c r="A3955" t="inlineStr">
        <is>
          <t>A 27399-2021</t>
        </is>
      </c>
      <c r="B3955" s="1" t="n">
        <v>44351</v>
      </c>
      <c r="C3955" s="1" t="n">
        <v>45182</v>
      </c>
      <c r="D3955" t="inlineStr">
        <is>
          <t>JÄMTLANDS LÄN</t>
        </is>
      </c>
      <c r="E3955" t="inlineStr">
        <is>
          <t>RAGUNDA</t>
        </is>
      </c>
      <c r="F3955" t="inlineStr">
        <is>
          <t>Kommuner</t>
        </is>
      </c>
      <c r="G3955" t="n">
        <v>3.1</v>
      </c>
      <c r="H3955" t="n">
        <v>0</v>
      </c>
      <c r="I3955" t="n">
        <v>0</v>
      </c>
      <c r="J3955" t="n">
        <v>0</v>
      </c>
      <c r="K3955" t="n">
        <v>0</v>
      </c>
      <c r="L3955" t="n">
        <v>0</v>
      </c>
      <c r="M3955" t="n">
        <v>0</v>
      </c>
      <c r="N3955" t="n">
        <v>0</v>
      </c>
      <c r="O3955" t="n">
        <v>0</v>
      </c>
      <c r="P3955" t="n">
        <v>0</v>
      </c>
      <c r="Q3955" t="n">
        <v>0</v>
      </c>
      <c r="R3955" s="2" t="inlineStr"/>
    </row>
    <row r="3956" ht="15" customHeight="1">
      <c r="A3956" t="inlineStr">
        <is>
          <t>A 27946-2021</t>
        </is>
      </c>
      <c r="B3956" s="1" t="n">
        <v>44354</v>
      </c>
      <c r="C3956" s="1" t="n">
        <v>45182</v>
      </c>
      <c r="D3956" t="inlineStr">
        <is>
          <t>JÄMTLANDS LÄN</t>
        </is>
      </c>
      <c r="E3956" t="inlineStr">
        <is>
          <t>ÅRE</t>
        </is>
      </c>
      <c r="G3956" t="n">
        <v>0.3</v>
      </c>
      <c r="H3956" t="n">
        <v>0</v>
      </c>
      <c r="I3956" t="n">
        <v>0</v>
      </c>
      <c r="J3956" t="n">
        <v>0</v>
      </c>
      <c r="K3956" t="n">
        <v>0</v>
      </c>
      <c r="L3956" t="n">
        <v>0</v>
      </c>
      <c r="M3956" t="n">
        <v>0</v>
      </c>
      <c r="N3956" t="n">
        <v>0</v>
      </c>
      <c r="O3956" t="n">
        <v>0</v>
      </c>
      <c r="P3956" t="n">
        <v>0</v>
      </c>
      <c r="Q3956" t="n">
        <v>0</v>
      </c>
      <c r="R3956" s="2" t="inlineStr"/>
    </row>
    <row r="3957" ht="15" customHeight="1">
      <c r="A3957" t="inlineStr">
        <is>
          <t>A 27978-2021</t>
        </is>
      </c>
      <c r="B3957" s="1" t="n">
        <v>44354</v>
      </c>
      <c r="C3957" s="1" t="n">
        <v>45182</v>
      </c>
      <c r="D3957" t="inlineStr">
        <is>
          <t>JÄMTLANDS LÄN</t>
        </is>
      </c>
      <c r="E3957" t="inlineStr">
        <is>
          <t>STRÖMSUND</t>
        </is>
      </c>
      <c r="F3957" t="inlineStr">
        <is>
          <t>SCA</t>
        </is>
      </c>
      <c r="G3957" t="n">
        <v>7.1</v>
      </c>
      <c r="H3957" t="n">
        <v>0</v>
      </c>
      <c r="I3957" t="n">
        <v>0</v>
      </c>
      <c r="J3957" t="n">
        <v>0</v>
      </c>
      <c r="K3957" t="n">
        <v>0</v>
      </c>
      <c r="L3957" t="n">
        <v>0</v>
      </c>
      <c r="M3957" t="n">
        <v>0</v>
      </c>
      <c r="N3957" t="n">
        <v>0</v>
      </c>
      <c r="O3957" t="n">
        <v>0</v>
      </c>
      <c r="P3957" t="n">
        <v>0</v>
      </c>
      <c r="Q3957" t="n">
        <v>0</v>
      </c>
      <c r="R3957" s="2" t="inlineStr"/>
    </row>
    <row r="3958" ht="15" customHeight="1">
      <c r="A3958" t="inlineStr">
        <is>
          <t>A 27980-2021</t>
        </is>
      </c>
      <c r="B3958" s="1" t="n">
        <v>44354</v>
      </c>
      <c r="C3958" s="1" t="n">
        <v>45182</v>
      </c>
      <c r="D3958" t="inlineStr">
        <is>
          <t>JÄMTLANDS LÄN</t>
        </is>
      </c>
      <c r="E3958" t="inlineStr">
        <is>
          <t>STRÖMSUND</t>
        </is>
      </c>
      <c r="F3958" t="inlineStr">
        <is>
          <t>SCA</t>
        </is>
      </c>
      <c r="G3958" t="n">
        <v>5.8</v>
      </c>
      <c r="H3958" t="n">
        <v>0</v>
      </c>
      <c r="I3958" t="n">
        <v>0</v>
      </c>
      <c r="J3958" t="n">
        <v>0</v>
      </c>
      <c r="K3958" t="n">
        <v>0</v>
      </c>
      <c r="L3958" t="n">
        <v>0</v>
      </c>
      <c r="M3958" t="n">
        <v>0</v>
      </c>
      <c r="N3958" t="n">
        <v>0</v>
      </c>
      <c r="O3958" t="n">
        <v>0</v>
      </c>
      <c r="P3958" t="n">
        <v>0</v>
      </c>
      <c r="Q3958" t="n">
        <v>0</v>
      </c>
      <c r="R3958" s="2" t="inlineStr"/>
    </row>
    <row r="3959" ht="15" customHeight="1">
      <c r="A3959" t="inlineStr">
        <is>
          <t>A 27772-2021</t>
        </is>
      </c>
      <c r="B3959" s="1" t="n">
        <v>44354</v>
      </c>
      <c r="C3959" s="1" t="n">
        <v>45182</v>
      </c>
      <c r="D3959" t="inlineStr">
        <is>
          <t>JÄMTLANDS LÄN</t>
        </is>
      </c>
      <c r="E3959" t="inlineStr">
        <is>
          <t>BERG</t>
        </is>
      </c>
      <c r="G3959" t="n">
        <v>5.3</v>
      </c>
      <c r="H3959" t="n">
        <v>0</v>
      </c>
      <c r="I3959" t="n">
        <v>0</v>
      </c>
      <c r="J3959" t="n">
        <v>0</v>
      </c>
      <c r="K3959" t="n">
        <v>0</v>
      </c>
      <c r="L3959" t="n">
        <v>0</v>
      </c>
      <c r="M3959" t="n">
        <v>0</v>
      </c>
      <c r="N3959" t="n">
        <v>0</v>
      </c>
      <c r="O3959" t="n">
        <v>0</v>
      </c>
      <c r="P3959" t="n">
        <v>0</v>
      </c>
      <c r="Q3959" t="n">
        <v>0</v>
      </c>
      <c r="R3959" s="2" t="inlineStr"/>
    </row>
    <row r="3960" ht="15" customHeight="1">
      <c r="A3960" t="inlineStr">
        <is>
          <t>A 27979-2021</t>
        </is>
      </c>
      <c r="B3960" s="1" t="n">
        <v>44354</v>
      </c>
      <c r="C3960" s="1" t="n">
        <v>45182</v>
      </c>
      <c r="D3960" t="inlineStr">
        <is>
          <t>JÄMTLANDS LÄN</t>
        </is>
      </c>
      <c r="E3960" t="inlineStr">
        <is>
          <t>STRÖMSUND</t>
        </is>
      </c>
      <c r="F3960" t="inlineStr">
        <is>
          <t>SCA</t>
        </is>
      </c>
      <c r="G3960" t="n">
        <v>2.5</v>
      </c>
      <c r="H3960" t="n">
        <v>0</v>
      </c>
      <c r="I3960" t="n">
        <v>0</v>
      </c>
      <c r="J3960" t="n">
        <v>0</v>
      </c>
      <c r="K3960" t="n">
        <v>0</v>
      </c>
      <c r="L3960" t="n">
        <v>0</v>
      </c>
      <c r="M3960" t="n">
        <v>0</v>
      </c>
      <c r="N3960" t="n">
        <v>0</v>
      </c>
      <c r="O3960" t="n">
        <v>0</v>
      </c>
      <c r="P3960" t="n">
        <v>0</v>
      </c>
      <c r="Q3960" t="n">
        <v>0</v>
      </c>
      <c r="R3960" s="2" t="inlineStr"/>
    </row>
    <row r="3961" ht="15" customHeight="1">
      <c r="A3961" t="inlineStr">
        <is>
          <t>A 28285-2021</t>
        </is>
      </c>
      <c r="B3961" s="1" t="n">
        <v>44355</v>
      </c>
      <c r="C3961" s="1" t="n">
        <v>45182</v>
      </c>
      <c r="D3961" t="inlineStr">
        <is>
          <t>JÄMTLANDS LÄN</t>
        </is>
      </c>
      <c r="E3961" t="inlineStr">
        <is>
          <t>ÖSTERSUND</t>
        </is>
      </c>
      <c r="G3961" t="n">
        <v>4.8</v>
      </c>
      <c r="H3961" t="n">
        <v>0</v>
      </c>
      <c r="I3961" t="n">
        <v>0</v>
      </c>
      <c r="J3961" t="n">
        <v>0</v>
      </c>
      <c r="K3961" t="n">
        <v>0</v>
      </c>
      <c r="L3961" t="n">
        <v>0</v>
      </c>
      <c r="M3961" t="n">
        <v>0</v>
      </c>
      <c r="N3961" t="n">
        <v>0</v>
      </c>
      <c r="O3961" t="n">
        <v>0</v>
      </c>
      <c r="P3961" t="n">
        <v>0</v>
      </c>
      <c r="Q3961" t="n">
        <v>0</v>
      </c>
      <c r="R3961" s="2" t="inlineStr"/>
    </row>
    <row r="3962" ht="15" customHeight="1">
      <c r="A3962" t="inlineStr">
        <is>
          <t>A 28596-2021</t>
        </is>
      </c>
      <c r="B3962" s="1" t="n">
        <v>44356</v>
      </c>
      <c r="C3962" s="1" t="n">
        <v>45182</v>
      </c>
      <c r="D3962" t="inlineStr">
        <is>
          <t>JÄMTLANDS LÄN</t>
        </is>
      </c>
      <c r="E3962" t="inlineStr">
        <is>
          <t>RAGUNDA</t>
        </is>
      </c>
      <c r="G3962" t="n">
        <v>5.4</v>
      </c>
      <c r="H3962" t="n">
        <v>0</v>
      </c>
      <c r="I3962" t="n">
        <v>0</v>
      </c>
      <c r="J3962" t="n">
        <v>0</v>
      </c>
      <c r="K3962" t="n">
        <v>0</v>
      </c>
      <c r="L3962" t="n">
        <v>0</v>
      </c>
      <c r="M3962" t="n">
        <v>0</v>
      </c>
      <c r="N3962" t="n">
        <v>0</v>
      </c>
      <c r="O3962" t="n">
        <v>0</v>
      </c>
      <c r="P3962" t="n">
        <v>0</v>
      </c>
      <c r="Q3962" t="n">
        <v>0</v>
      </c>
      <c r="R3962" s="2" t="inlineStr"/>
    </row>
    <row r="3963" ht="15" customHeight="1">
      <c r="A3963" t="inlineStr">
        <is>
          <t>A 28619-2021</t>
        </is>
      </c>
      <c r="B3963" s="1" t="n">
        <v>44356</v>
      </c>
      <c r="C3963" s="1" t="n">
        <v>45182</v>
      </c>
      <c r="D3963" t="inlineStr">
        <is>
          <t>JÄMTLANDS LÄN</t>
        </is>
      </c>
      <c r="E3963" t="inlineStr">
        <is>
          <t>BRÄCKE</t>
        </is>
      </c>
      <c r="F3963" t="inlineStr">
        <is>
          <t>SCA</t>
        </is>
      </c>
      <c r="G3963" t="n">
        <v>2.6</v>
      </c>
      <c r="H3963" t="n">
        <v>0</v>
      </c>
      <c r="I3963" t="n">
        <v>0</v>
      </c>
      <c r="J3963" t="n">
        <v>0</v>
      </c>
      <c r="K3963" t="n">
        <v>0</v>
      </c>
      <c r="L3963" t="n">
        <v>0</v>
      </c>
      <c r="M3963" t="n">
        <v>0</v>
      </c>
      <c r="N3963" t="n">
        <v>0</v>
      </c>
      <c r="O3963" t="n">
        <v>0</v>
      </c>
      <c r="P3963" t="n">
        <v>0</v>
      </c>
      <c r="Q3963" t="n">
        <v>0</v>
      </c>
      <c r="R3963" s="2" t="inlineStr"/>
    </row>
    <row r="3964" ht="15" customHeight="1">
      <c r="A3964" t="inlineStr">
        <is>
          <t>A 28446-2021</t>
        </is>
      </c>
      <c r="B3964" s="1" t="n">
        <v>44356</v>
      </c>
      <c r="C3964" s="1" t="n">
        <v>45182</v>
      </c>
      <c r="D3964" t="inlineStr">
        <is>
          <t>JÄMTLANDS LÄN</t>
        </is>
      </c>
      <c r="E3964" t="inlineStr">
        <is>
          <t>HÄRJEDALEN</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28617-2021</t>
        </is>
      </c>
      <c r="B3965" s="1" t="n">
        <v>44356</v>
      </c>
      <c r="C3965" s="1" t="n">
        <v>45182</v>
      </c>
      <c r="D3965" t="inlineStr">
        <is>
          <t>JÄMTLANDS LÄN</t>
        </is>
      </c>
      <c r="E3965" t="inlineStr">
        <is>
          <t>BRÄCKE</t>
        </is>
      </c>
      <c r="F3965" t="inlineStr">
        <is>
          <t>SCA</t>
        </is>
      </c>
      <c r="G3965" t="n">
        <v>2.1</v>
      </c>
      <c r="H3965" t="n">
        <v>0</v>
      </c>
      <c r="I3965" t="n">
        <v>0</v>
      </c>
      <c r="J3965" t="n">
        <v>0</v>
      </c>
      <c r="K3965" t="n">
        <v>0</v>
      </c>
      <c r="L3965" t="n">
        <v>0</v>
      </c>
      <c r="M3965" t="n">
        <v>0</v>
      </c>
      <c r="N3965" t="n">
        <v>0</v>
      </c>
      <c r="O3965" t="n">
        <v>0</v>
      </c>
      <c r="P3965" t="n">
        <v>0</v>
      </c>
      <c r="Q3965" t="n">
        <v>0</v>
      </c>
      <c r="R3965" s="2" t="inlineStr"/>
    </row>
    <row r="3966" ht="15" customHeight="1">
      <c r="A3966" t="inlineStr">
        <is>
          <t>A 28693-2021</t>
        </is>
      </c>
      <c r="B3966" s="1" t="n">
        <v>44357</v>
      </c>
      <c r="C3966" s="1" t="n">
        <v>45182</v>
      </c>
      <c r="D3966" t="inlineStr">
        <is>
          <t>JÄMTLANDS LÄN</t>
        </is>
      </c>
      <c r="E3966" t="inlineStr">
        <is>
          <t>HÄRJEDALEN</t>
        </is>
      </c>
      <c r="G3966" t="n">
        <v>20</v>
      </c>
      <c r="H3966" t="n">
        <v>0</v>
      </c>
      <c r="I3966" t="n">
        <v>0</v>
      </c>
      <c r="J3966" t="n">
        <v>0</v>
      </c>
      <c r="K3966" t="n">
        <v>0</v>
      </c>
      <c r="L3966" t="n">
        <v>0</v>
      </c>
      <c r="M3966" t="n">
        <v>0</v>
      </c>
      <c r="N3966" t="n">
        <v>0</v>
      </c>
      <c r="O3966" t="n">
        <v>0</v>
      </c>
      <c r="P3966" t="n">
        <v>0</v>
      </c>
      <c r="Q3966" t="n">
        <v>0</v>
      </c>
      <c r="R3966" s="2" t="inlineStr"/>
    </row>
    <row r="3967" ht="15" customHeight="1">
      <c r="A3967" t="inlineStr">
        <is>
          <t>A 28887-2021</t>
        </is>
      </c>
      <c r="B3967" s="1" t="n">
        <v>44357</v>
      </c>
      <c r="C3967" s="1" t="n">
        <v>45182</v>
      </c>
      <c r="D3967" t="inlineStr">
        <is>
          <t>JÄMTLANDS LÄN</t>
        </is>
      </c>
      <c r="E3967" t="inlineStr">
        <is>
          <t>RAGUNDA</t>
        </is>
      </c>
      <c r="G3967" t="n">
        <v>1.8</v>
      </c>
      <c r="H3967" t="n">
        <v>0</v>
      </c>
      <c r="I3967" t="n">
        <v>0</v>
      </c>
      <c r="J3967" t="n">
        <v>0</v>
      </c>
      <c r="K3967" t="n">
        <v>0</v>
      </c>
      <c r="L3967" t="n">
        <v>0</v>
      </c>
      <c r="M3967" t="n">
        <v>0</v>
      </c>
      <c r="N3967" t="n">
        <v>0</v>
      </c>
      <c r="O3967" t="n">
        <v>0</v>
      </c>
      <c r="P3967" t="n">
        <v>0</v>
      </c>
      <c r="Q3967" t="n">
        <v>0</v>
      </c>
      <c r="R3967" s="2" t="inlineStr"/>
    </row>
    <row r="3968" ht="15" customHeight="1">
      <c r="A3968" t="inlineStr">
        <is>
          <t>A 28909-2021</t>
        </is>
      </c>
      <c r="B3968" s="1" t="n">
        <v>44357</v>
      </c>
      <c r="C3968" s="1" t="n">
        <v>45182</v>
      </c>
      <c r="D3968" t="inlineStr">
        <is>
          <t>JÄMTLANDS LÄN</t>
        </is>
      </c>
      <c r="E3968" t="inlineStr">
        <is>
          <t>BRÄCKE</t>
        </is>
      </c>
      <c r="F3968" t="inlineStr">
        <is>
          <t>SCA</t>
        </is>
      </c>
      <c r="G3968" t="n">
        <v>11.2</v>
      </c>
      <c r="H3968" t="n">
        <v>0</v>
      </c>
      <c r="I3968" t="n">
        <v>0</v>
      </c>
      <c r="J3968" t="n">
        <v>0</v>
      </c>
      <c r="K3968" t="n">
        <v>0</v>
      </c>
      <c r="L3968" t="n">
        <v>0</v>
      </c>
      <c r="M3968" t="n">
        <v>0</v>
      </c>
      <c r="N3968" t="n">
        <v>0</v>
      </c>
      <c r="O3968" t="n">
        <v>0</v>
      </c>
      <c r="P3968" t="n">
        <v>0</v>
      </c>
      <c r="Q3968" t="n">
        <v>0</v>
      </c>
      <c r="R3968" s="2" t="inlineStr"/>
      <c r="U3968">
        <f>HYPERLINK("https://klasma.github.io/Logging_BRACKE/knärot/A 28909-2021.png")</f>
        <v/>
      </c>
      <c r="V3968">
        <f>HYPERLINK("https://klasma.github.io/Logging_BRACKE/klagomål/A 28909-2021.docx")</f>
        <v/>
      </c>
      <c r="W3968">
        <f>HYPERLINK("https://klasma.github.io/Logging_BRACKE/klagomålsmail/A 28909-2021.docx")</f>
        <v/>
      </c>
      <c r="X3968">
        <f>HYPERLINK("https://klasma.github.io/Logging_BRACKE/tillsyn/A 28909-2021.docx")</f>
        <v/>
      </c>
      <c r="Y3968">
        <f>HYPERLINK("https://klasma.github.io/Logging_BRACKE/tillsynsmail/A 28909-2021.docx")</f>
        <v/>
      </c>
    </row>
    <row r="3969" ht="15" customHeight="1">
      <c r="A3969" t="inlineStr">
        <is>
          <t>A 28883-2021</t>
        </is>
      </c>
      <c r="B3969" s="1" t="n">
        <v>44357</v>
      </c>
      <c r="C3969" s="1" t="n">
        <v>45182</v>
      </c>
      <c r="D3969" t="inlineStr">
        <is>
          <t>JÄMTLANDS LÄN</t>
        </is>
      </c>
      <c r="E3969" t="inlineStr">
        <is>
          <t>BERG</t>
        </is>
      </c>
      <c r="F3969" t="inlineStr">
        <is>
          <t>Kyrkan</t>
        </is>
      </c>
      <c r="G3969" t="n">
        <v>7.3</v>
      </c>
      <c r="H3969" t="n">
        <v>0</v>
      </c>
      <c r="I3969" t="n">
        <v>0</v>
      </c>
      <c r="J3969" t="n">
        <v>0</v>
      </c>
      <c r="K3969" t="n">
        <v>0</v>
      </c>
      <c r="L3969" t="n">
        <v>0</v>
      </c>
      <c r="M3969" t="n">
        <v>0</v>
      </c>
      <c r="N3969" t="n">
        <v>0</v>
      </c>
      <c r="O3969" t="n">
        <v>0</v>
      </c>
      <c r="P3969" t="n">
        <v>0</v>
      </c>
      <c r="Q3969" t="n">
        <v>0</v>
      </c>
      <c r="R3969" s="2" t="inlineStr"/>
    </row>
    <row r="3970" ht="15" customHeight="1">
      <c r="A3970" t="inlineStr">
        <is>
          <t>A 28903-2021</t>
        </is>
      </c>
      <c r="B3970" s="1" t="n">
        <v>44357</v>
      </c>
      <c r="C3970" s="1" t="n">
        <v>45182</v>
      </c>
      <c r="D3970" t="inlineStr">
        <is>
          <t>JÄMTLANDS LÄN</t>
        </is>
      </c>
      <c r="E3970" t="inlineStr">
        <is>
          <t>BRÄCKE</t>
        </is>
      </c>
      <c r="F3970" t="inlineStr">
        <is>
          <t>SCA</t>
        </is>
      </c>
      <c r="G3970" t="n">
        <v>1.9</v>
      </c>
      <c r="H3970" t="n">
        <v>0</v>
      </c>
      <c r="I3970" t="n">
        <v>0</v>
      </c>
      <c r="J3970" t="n">
        <v>0</v>
      </c>
      <c r="K3970" t="n">
        <v>0</v>
      </c>
      <c r="L3970" t="n">
        <v>0</v>
      </c>
      <c r="M3970" t="n">
        <v>0</v>
      </c>
      <c r="N3970" t="n">
        <v>0</v>
      </c>
      <c r="O3970" t="n">
        <v>0</v>
      </c>
      <c r="P3970" t="n">
        <v>0</v>
      </c>
      <c r="Q3970" t="n">
        <v>0</v>
      </c>
      <c r="R3970" s="2" t="inlineStr"/>
    </row>
    <row r="3971" ht="15" customHeight="1">
      <c r="A3971" t="inlineStr">
        <is>
          <t>A 28881-2021</t>
        </is>
      </c>
      <c r="B3971" s="1" t="n">
        <v>44357</v>
      </c>
      <c r="C3971" s="1" t="n">
        <v>45182</v>
      </c>
      <c r="D3971" t="inlineStr">
        <is>
          <t>JÄMTLANDS LÄN</t>
        </is>
      </c>
      <c r="E3971" t="inlineStr">
        <is>
          <t>ÅRE</t>
        </is>
      </c>
      <c r="G3971" t="n">
        <v>1.1</v>
      </c>
      <c r="H3971" t="n">
        <v>0</v>
      </c>
      <c r="I3971" t="n">
        <v>0</v>
      </c>
      <c r="J3971" t="n">
        <v>0</v>
      </c>
      <c r="K3971" t="n">
        <v>0</v>
      </c>
      <c r="L3971" t="n">
        <v>0</v>
      </c>
      <c r="M3971" t="n">
        <v>0</v>
      </c>
      <c r="N3971" t="n">
        <v>0</v>
      </c>
      <c r="O3971" t="n">
        <v>0</v>
      </c>
      <c r="P3971" t="n">
        <v>0</v>
      </c>
      <c r="Q3971" t="n">
        <v>0</v>
      </c>
      <c r="R3971" s="2" t="inlineStr"/>
    </row>
    <row r="3972" ht="15" customHeight="1">
      <c r="A3972" t="inlineStr">
        <is>
          <t>A 28817-2021</t>
        </is>
      </c>
      <c r="B3972" s="1" t="n">
        <v>44357</v>
      </c>
      <c r="C3972" s="1" t="n">
        <v>45182</v>
      </c>
      <c r="D3972" t="inlineStr">
        <is>
          <t>JÄMTLANDS LÄN</t>
        </is>
      </c>
      <c r="E3972" t="inlineStr">
        <is>
          <t>ÅRE</t>
        </is>
      </c>
      <c r="G3972" t="n">
        <v>21.4</v>
      </c>
      <c r="H3972" t="n">
        <v>0</v>
      </c>
      <c r="I3972" t="n">
        <v>0</v>
      </c>
      <c r="J3972" t="n">
        <v>0</v>
      </c>
      <c r="K3972" t="n">
        <v>0</v>
      </c>
      <c r="L3972" t="n">
        <v>0</v>
      </c>
      <c r="M3972" t="n">
        <v>0</v>
      </c>
      <c r="N3972" t="n">
        <v>0</v>
      </c>
      <c r="O3972" t="n">
        <v>0</v>
      </c>
      <c r="P3972" t="n">
        <v>0</v>
      </c>
      <c r="Q3972" t="n">
        <v>0</v>
      </c>
      <c r="R3972" s="2" t="inlineStr"/>
    </row>
    <row r="3973" ht="15" customHeight="1">
      <c r="A3973" t="inlineStr">
        <is>
          <t>A 29019-2021</t>
        </is>
      </c>
      <c r="B3973" s="1" t="n">
        <v>44358</v>
      </c>
      <c r="C3973" s="1" t="n">
        <v>45182</v>
      </c>
      <c r="D3973" t="inlineStr">
        <is>
          <t>JÄMTLANDS LÄN</t>
        </is>
      </c>
      <c r="E3973" t="inlineStr">
        <is>
          <t>BERG</t>
        </is>
      </c>
      <c r="F3973" t="inlineStr">
        <is>
          <t>Sveaskog</t>
        </is>
      </c>
      <c r="G3973" t="n">
        <v>27.1</v>
      </c>
      <c r="H3973" t="n">
        <v>0</v>
      </c>
      <c r="I3973" t="n">
        <v>0</v>
      </c>
      <c r="J3973" t="n">
        <v>0</v>
      </c>
      <c r="K3973" t="n">
        <v>0</v>
      </c>
      <c r="L3973" t="n">
        <v>0</v>
      </c>
      <c r="M3973" t="n">
        <v>0</v>
      </c>
      <c r="N3973" t="n">
        <v>0</v>
      </c>
      <c r="O3973" t="n">
        <v>0</v>
      </c>
      <c r="P3973" t="n">
        <v>0</v>
      </c>
      <c r="Q3973" t="n">
        <v>0</v>
      </c>
      <c r="R3973" s="2" t="inlineStr"/>
    </row>
    <row r="3974" ht="15" customHeight="1">
      <c r="A3974" t="inlineStr">
        <is>
          <t>A 28990-2021</t>
        </is>
      </c>
      <c r="B3974" s="1" t="n">
        <v>44358</v>
      </c>
      <c r="C3974" s="1" t="n">
        <v>45182</v>
      </c>
      <c r="D3974" t="inlineStr">
        <is>
          <t>JÄMTLANDS LÄN</t>
        </is>
      </c>
      <c r="E3974" t="inlineStr">
        <is>
          <t>KROKOM</t>
        </is>
      </c>
      <c r="G3974" t="n">
        <v>4.3</v>
      </c>
      <c r="H3974" t="n">
        <v>0</v>
      </c>
      <c r="I3974" t="n">
        <v>0</v>
      </c>
      <c r="J3974" t="n">
        <v>0</v>
      </c>
      <c r="K3974" t="n">
        <v>0</v>
      </c>
      <c r="L3974" t="n">
        <v>0</v>
      </c>
      <c r="M3974" t="n">
        <v>0</v>
      </c>
      <c r="N3974" t="n">
        <v>0</v>
      </c>
      <c r="O3974" t="n">
        <v>0</v>
      </c>
      <c r="P3974" t="n">
        <v>0</v>
      </c>
      <c r="Q3974" t="n">
        <v>0</v>
      </c>
      <c r="R3974" s="2" t="inlineStr"/>
    </row>
    <row r="3975" ht="15" customHeight="1">
      <c r="A3975" t="inlineStr">
        <is>
          <t>A 29372-2021</t>
        </is>
      </c>
      <c r="B3975" s="1" t="n">
        <v>44361</v>
      </c>
      <c r="C3975" s="1" t="n">
        <v>45182</v>
      </c>
      <c r="D3975" t="inlineStr">
        <is>
          <t>JÄMTLANDS LÄN</t>
        </is>
      </c>
      <c r="E3975" t="inlineStr">
        <is>
          <t>HÄRJEDALEN</t>
        </is>
      </c>
      <c r="F3975" t="inlineStr">
        <is>
          <t>Holmen skog AB</t>
        </is>
      </c>
      <c r="G3975" t="n">
        <v>5.9</v>
      </c>
      <c r="H3975" t="n">
        <v>0</v>
      </c>
      <c r="I3975" t="n">
        <v>0</v>
      </c>
      <c r="J3975" t="n">
        <v>0</v>
      </c>
      <c r="K3975" t="n">
        <v>0</v>
      </c>
      <c r="L3975" t="n">
        <v>0</v>
      </c>
      <c r="M3975" t="n">
        <v>0</v>
      </c>
      <c r="N3975" t="n">
        <v>0</v>
      </c>
      <c r="O3975" t="n">
        <v>0</v>
      </c>
      <c r="P3975" t="n">
        <v>0</v>
      </c>
      <c r="Q3975" t="n">
        <v>0</v>
      </c>
      <c r="R3975" s="2" t="inlineStr"/>
    </row>
    <row r="3976" ht="15" customHeight="1">
      <c r="A3976" t="inlineStr">
        <is>
          <t>A 29452-2021</t>
        </is>
      </c>
      <c r="B3976" s="1" t="n">
        <v>44361</v>
      </c>
      <c r="C3976" s="1" t="n">
        <v>45182</v>
      </c>
      <c r="D3976" t="inlineStr">
        <is>
          <t>JÄMTLANDS LÄN</t>
        </is>
      </c>
      <c r="E3976" t="inlineStr">
        <is>
          <t>HÄRJEDALEN</t>
        </is>
      </c>
      <c r="F3976" t="inlineStr">
        <is>
          <t>Holmen skog AB</t>
        </is>
      </c>
      <c r="G3976" t="n">
        <v>6.9</v>
      </c>
      <c r="H3976" t="n">
        <v>0</v>
      </c>
      <c r="I3976" t="n">
        <v>0</v>
      </c>
      <c r="J3976" t="n">
        <v>0</v>
      </c>
      <c r="K3976" t="n">
        <v>0</v>
      </c>
      <c r="L3976" t="n">
        <v>0</v>
      </c>
      <c r="M3976" t="n">
        <v>0</v>
      </c>
      <c r="N3976" t="n">
        <v>0</v>
      </c>
      <c r="O3976" t="n">
        <v>0</v>
      </c>
      <c r="P3976" t="n">
        <v>0</v>
      </c>
      <c r="Q3976" t="n">
        <v>0</v>
      </c>
      <c r="R3976" s="2" t="inlineStr"/>
    </row>
    <row r="3977" ht="15" customHeight="1">
      <c r="A3977" t="inlineStr">
        <is>
          <t>A 29581-2021</t>
        </is>
      </c>
      <c r="B3977" s="1" t="n">
        <v>44361</v>
      </c>
      <c r="C3977" s="1" t="n">
        <v>45182</v>
      </c>
      <c r="D3977" t="inlineStr">
        <is>
          <t>JÄMTLANDS LÄN</t>
        </is>
      </c>
      <c r="E3977" t="inlineStr">
        <is>
          <t>HÄRJEDALEN</t>
        </is>
      </c>
      <c r="G3977" t="n">
        <v>50.9</v>
      </c>
      <c r="H3977" t="n">
        <v>0</v>
      </c>
      <c r="I3977" t="n">
        <v>0</v>
      </c>
      <c r="J3977" t="n">
        <v>0</v>
      </c>
      <c r="K3977" t="n">
        <v>0</v>
      </c>
      <c r="L3977" t="n">
        <v>0</v>
      </c>
      <c r="M3977" t="n">
        <v>0</v>
      </c>
      <c r="N3977" t="n">
        <v>0</v>
      </c>
      <c r="O3977" t="n">
        <v>0</v>
      </c>
      <c r="P3977" t="n">
        <v>0</v>
      </c>
      <c r="Q3977" t="n">
        <v>0</v>
      </c>
      <c r="R3977" s="2" t="inlineStr"/>
    </row>
    <row r="3978" ht="15" customHeight="1">
      <c r="A3978" t="inlineStr">
        <is>
          <t>A 29594-2021</t>
        </is>
      </c>
      <c r="B3978" s="1" t="n">
        <v>44361</v>
      </c>
      <c r="C3978" s="1" t="n">
        <v>45182</v>
      </c>
      <c r="D3978" t="inlineStr">
        <is>
          <t>JÄMTLANDS LÄN</t>
        </is>
      </c>
      <c r="E3978" t="inlineStr">
        <is>
          <t>STRÖMSUND</t>
        </is>
      </c>
      <c r="G3978" t="n">
        <v>10.8</v>
      </c>
      <c r="H3978" t="n">
        <v>0</v>
      </c>
      <c r="I3978" t="n">
        <v>0</v>
      </c>
      <c r="J3978" t="n">
        <v>0</v>
      </c>
      <c r="K3978" t="n">
        <v>0</v>
      </c>
      <c r="L3978" t="n">
        <v>0</v>
      </c>
      <c r="M3978" t="n">
        <v>0</v>
      </c>
      <c r="N3978" t="n">
        <v>0</v>
      </c>
      <c r="O3978" t="n">
        <v>0</v>
      </c>
      <c r="P3978" t="n">
        <v>0</v>
      </c>
      <c r="Q3978" t="n">
        <v>0</v>
      </c>
      <c r="R3978" s="2" t="inlineStr"/>
    </row>
    <row r="3979" ht="15" customHeight="1">
      <c r="A3979" t="inlineStr">
        <is>
          <t>A 29628-2021</t>
        </is>
      </c>
      <c r="B3979" s="1" t="n">
        <v>44361</v>
      </c>
      <c r="C3979" s="1" t="n">
        <v>45182</v>
      </c>
      <c r="D3979" t="inlineStr">
        <is>
          <t>JÄMTLANDS LÄN</t>
        </is>
      </c>
      <c r="E3979" t="inlineStr">
        <is>
          <t>STRÖMSUND</t>
        </is>
      </c>
      <c r="F3979" t="inlineStr">
        <is>
          <t>SCA</t>
        </is>
      </c>
      <c r="G3979" t="n">
        <v>5</v>
      </c>
      <c r="H3979" t="n">
        <v>0</v>
      </c>
      <c r="I3979" t="n">
        <v>0</v>
      </c>
      <c r="J3979" t="n">
        <v>0</v>
      </c>
      <c r="K3979" t="n">
        <v>0</v>
      </c>
      <c r="L3979" t="n">
        <v>0</v>
      </c>
      <c r="M3979" t="n">
        <v>0</v>
      </c>
      <c r="N3979" t="n">
        <v>0</v>
      </c>
      <c r="O3979" t="n">
        <v>0</v>
      </c>
      <c r="P3979" t="n">
        <v>0</v>
      </c>
      <c r="Q3979" t="n">
        <v>0</v>
      </c>
      <c r="R3979" s="2" t="inlineStr"/>
    </row>
    <row r="3980" ht="15" customHeight="1">
      <c r="A3980" t="inlineStr">
        <is>
          <t>A 29511-2021</t>
        </is>
      </c>
      <c r="B3980" s="1" t="n">
        <v>44361</v>
      </c>
      <c r="C3980" s="1" t="n">
        <v>45182</v>
      </c>
      <c r="D3980" t="inlineStr">
        <is>
          <t>JÄMTLANDS LÄN</t>
        </is>
      </c>
      <c r="E3980" t="inlineStr">
        <is>
          <t>BERG</t>
        </is>
      </c>
      <c r="G3980" t="n">
        <v>5.6</v>
      </c>
      <c r="H3980" t="n">
        <v>0</v>
      </c>
      <c r="I3980" t="n">
        <v>0</v>
      </c>
      <c r="J3980" t="n">
        <v>0</v>
      </c>
      <c r="K3980" t="n">
        <v>0</v>
      </c>
      <c r="L3980" t="n">
        <v>0</v>
      </c>
      <c r="M3980" t="n">
        <v>0</v>
      </c>
      <c r="N3980" t="n">
        <v>0</v>
      </c>
      <c r="O3980" t="n">
        <v>0</v>
      </c>
      <c r="P3980" t="n">
        <v>0</v>
      </c>
      <c r="Q3980" t="n">
        <v>0</v>
      </c>
      <c r="R3980" s="2" t="inlineStr"/>
    </row>
    <row r="3981" ht="15" customHeight="1">
      <c r="A3981" t="inlineStr">
        <is>
          <t>A 29611-2021</t>
        </is>
      </c>
      <c r="B3981" s="1" t="n">
        <v>44361</v>
      </c>
      <c r="C3981" s="1" t="n">
        <v>45182</v>
      </c>
      <c r="D3981" t="inlineStr">
        <is>
          <t>JÄMTLANDS LÄN</t>
        </is>
      </c>
      <c r="E3981" t="inlineStr">
        <is>
          <t>BRÄCKE</t>
        </is>
      </c>
      <c r="F3981" t="inlineStr">
        <is>
          <t>SCA</t>
        </is>
      </c>
      <c r="G3981" t="n">
        <v>6</v>
      </c>
      <c r="H3981" t="n">
        <v>0</v>
      </c>
      <c r="I3981" t="n">
        <v>0</v>
      </c>
      <c r="J3981" t="n">
        <v>0</v>
      </c>
      <c r="K3981" t="n">
        <v>0</v>
      </c>
      <c r="L3981" t="n">
        <v>0</v>
      </c>
      <c r="M3981" t="n">
        <v>0</v>
      </c>
      <c r="N3981" t="n">
        <v>0</v>
      </c>
      <c r="O3981" t="n">
        <v>0</v>
      </c>
      <c r="P3981" t="n">
        <v>0</v>
      </c>
      <c r="Q3981" t="n">
        <v>0</v>
      </c>
      <c r="R3981" s="2" t="inlineStr"/>
    </row>
    <row r="3982" ht="15" customHeight="1">
      <c r="A3982" t="inlineStr">
        <is>
          <t>A 29314-2021</t>
        </is>
      </c>
      <c r="B3982" s="1" t="n">
        <v>44361</v>
      </c>
      <c r="C3982" s="1" t="n">
        <v>45182</v>
      </c>
      <c r="D3982" t="inlineStr">
        <is>
          <t>JÄMTLANDS LÄN</t>
        </is>
      </c>
      <c r="E3982" t="inlineStr">
        <is>
          <t>BRÄCKE</t>
        </is>
      </c>
      <c r="G3982" t="n">
        <v>10.7</v>
      </c>
      <c r="H3982" t="n">
        <v>0</v>
      </c>
      <c r="I3982" t="n">
        <v>0</v>
      </c>
      <c r="J3982" t="n">
        <v>0</v>
      </c>
      <c r="K3982" t="n">
        <v>0</v>
      </c>
      <c r="L3982" t="n">
        <v>0</v>
      </c>
      <c r="M3982" t="n">
        <v>0</v>
      </c>
      <c r="N3982" t="n">
        <v>0</v>
      </c>
      <c r="O3982" t="n">
        <v>0</v>
      </c>
      <c r="P3982" t="n">
        <v>0</v>
      </c>
      <c r="Q3982" t="n">
        <v>0</v>
      </c>
      <c r="R3982" s="2" t="inlineStr"/>
    </row>
    <row r="3983" ht="15" customHeight="1">
      <c r="A3983" t="inlineStr">
        <is>
          <t>A 29363-2021</t>
        </is>
      </c>
      <c r="B3983" s="1" t="n">
        <v>44361</v>
      </c>
      <c r="C3983" s="1" t="n">
        <v>45182</v>
      </c>
      <c r="D3983" t="inlineStr">
        <is>
          <t>JÄMTLANDS LÄN</t>
        </is>
      </c>
      <c r="E3983" t="inlineStr">
        <is>
          <t>HÄRJEDALEN</t>
        </is>
      </c>
      <c r="F3983" t="inlineStr">
        <is>
          <t>Holmen skog AB</t>
        </is>
      </c>
      <c r="G3983" t="n">
        <v>0.4</v>
      </c>
      <c r="H3983" t="n">
        <v>0</v>
      </c>
      <c r="I3983" t="n">
        <v>0</v>
      </c>
      <c r="J3983" t="n">
        <v>0</v>
      </c>
      <c r="K3983" t="n">
        <v>0</v>
      </c>
      <c r="L3983" t="n">
        <v>0</v>
      </c>
      <c r="M3983" t="n">
        <v>0</v>
      </c>
      <c r="N3983" t="n">
        <v>0</v>
      </c>
      <c r="O3983" t="n">
        <v>0</v>
      </c>
      <c r="P3983" t="n">
        <v>0</v>
      </c>
      <c r="Q3983" t="n">
        <v>0</v>
      </c>
      <c r="R3983" s="2" t="inlineStr"/>
    </row>
    <row r="3984" ht="15" customHeight="1">
      <c r="A3984" t="inlineStr">
        <is>
          <t>A 29552-2021</t>
        </is>
      </c>
      <c r="B3984" s="1" t="n">
        <v>44361</v>
      </c>
      <c r="C3984" s="1" t="n">
        <v>45182</v>
      </c>
      <c r="D3984" t="inlineStr">
        <is>
          <t>JÄMTLANDS LÄN</t>
        </is>
      </c>
      <c r="E3984" t="inlineStr">
        <is>
          <t>STRÖMSUND</t>
        </is>
      </c>
      <c r="F3984" t="inlineStr">
        <is>
          <t>Holmen skog AB</t>
        </is>
      </c>
      <c r="G3984" t="n">
        <v>0.5</v>
      </c>
      <c r="H3984" t="n">
        <v>0</v>
      </c>
      <c r="I3984" t="n">
        <v>0</v>
      </c>
      <c r="J3984" t="n">
        <v>0</v>
      </c>
      <c r="K3984" t="n">
        <v>0</v>
      </c>
      <c r="L3984" t="n">
        <v>0</v>
      </c>
      <c r="M3984" t="n">
        <v>0</v>
      </c>
      <c r="N3984" t="n">
        <v>0</v>
      </c>
      <c r="O3984" t="n">
        <v>0</v>
      </c>
      <c r="P3984" t="n">
        <v>0</v>
      </c>
      <c r="Q3984" t="n">
        <v>0</v>
      </c>
      <c r="R3984" s="2" t="inlineStr"/>
    </row>
    <row r="3985" ht="15" customHeight="1">
      <c r="A3985" t="inlineStr">
        <is>
          <t>A 29585-2021</t>
        </is>
      </c>
      <c r="B3985" s="1" t="n">
        <v>44361</v>
      </c>
      <c r="C3985" s="1" t="n">
        <v>45182</v>
      </c>
      <c r="D3985" t="inlineStr">
        <is>
          <t>JÄMTLANDS LÄN</t>
        </is>
      </c>
      <c r="E3985" t="inlineStr">
        <is>
          <t>HÄRJEDALEN</t>
        </is>
      </c>
      <c r="G3985" t="n">
        <v>3.4</v>
      </c>
      <c r="H3985" t="n">
        <v>0</v>
      </c>
      <c r="I3985" t="n">
        <v>0</v>
      </c>
      <c r="J3985" t="n">
        <v>0</v>
      </c>
      <c r="K3985" t="n">
        <v>0</v>
      </c>
      <c r="L3985" t="n">
        <v>0</v>
      </c>
      <c r="M3985" t="n">
        <v>0</v>
      </c>
      <c r="N3985" t="n">
        <v>0</v>
      </c>
      <c r="O3985" t="n">
        <v>0</v>
      </c>
      <c r="P3985" t="n">
        <v>0</v>
      </c>
      <c r="Q3985" t="n">
        <v>0</v>
      </c>
      <c r="R3985" s="2" t="inlineStr"/>
    </row>
    <row r="3986" ht="15" customHeight="1">
      <c r="A3986" t="inlineStr">
        <is>
          <t>A 29603-2021</t>
        </is>
      </c>
      <c r="B3986" s="1" t="n">
        <v>44361</v>
      </c>
      <c r="C3986" s="1" t="n">
        <v>45182</v>
      </c>
      <c r="D3986" t="inlineStr">
        <is>
          <t>JÄMTLANDS LÄN</t>
        </is>
      </c>
      <c r="E3986" t="inlineStr">
        <is>
          <t>BRÄCKE</t>
        </is>
      </c>
      <c r="F3986" t="inlineStr">
        <is>
          <t>Naturvårdsverket</t>
        </is>
      </c>
      <c r="G3986" t="n">
        <v>3.9</v>
      </c>
      <c r="H3986" t="n">
        <v>0</v>
      </c>
      <c r="I3986" t="n">
        <v>0</v>
      </c>
      <c r="J3986" t="n">
        <v>0</v>
      </c>
      <c r="K3986" t="n">
        <v>0</v>
      </c>
      <c r="L3986" t="n">
        <v>0</v>
      </c>
      <c r="M3986" t="n">
        <v>0</v>
      </c>
      <c r="N3986" t="n">
        <v>0</v>
      </c>
      <c r="O3986" t="n">
        <v>0</v>
      </c>
      <c r="P3986" t="n">
        <v>0</v>
      </c>
      <c r="Q3986" t="n">
        <v>0</v>
      </c>
      <c r="R3986" s="2" t="inlineStr"/>
    </row>
    <row r="3987" ht="15" customHeight="1">
      <c r="A3987" t="inlineStr">
        <is>
          <t>A 29929-2021</t>
        </is>
      </c>
      <c r="B3987" s="1" t="n">
        <v>44362</v>
      </c>
      <c r="C3987" s="1" t="n">
        <v>45182</v>
      </c>
      <c r="D3987" t="inlineStr">
        <is>
          <t>JÄMTLANDS LÄN</t>
        </is>
      </c>
      <c r="E3987" t="inlineStr">
        <is>
          <t>BRÄCKE</t>
        </is>
      </c>
      <c r="F3987" t="inlineStr">
        <is>
          <t>SCA</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30438-2021</t>
        </is>
      </c>
      <c r="B3988" s="1" t="n">
        <v>44362</v>
      </c>
      <c r="C3988" s="1" t="n">
        <v>45182</v>
      </c>
      <c r="D3988" t="inlineStr">
        <is>
          <t>JÄMTLANDS LÄN</t>
        </is>
      </c>
      <c r="E3988" t="inlineStr">
        <is>
          <t>RAGUNDA</t>
        </is>
      </c>
      <c r="G3988" t="n">
        <v>5</v>
      </c>
      <c r="H3988" t="n">
        <v>0</v>
      </c>
      <c r="I3988" t="n">
        <v>0</v>
      </c>
      <c r="J3988" t="n">
        <v>0</v>
      </c>
      <c r="K3988" t="n">
        <v>0</v>
      </c>
      <c r="L3988" t="n">
        <v>0</v>
      </c>
      <c r="M3988" t="n">
        <v>0</v>
      </c>
      <c r="N3988" t="n">
        <v>0</v>
      </c>
      <c r="O3988" t="n">
        <v>0</v>
      </c>
      <c r="P3988" t="n">
        <v>0</v>
      </c>
      <c r="Q3988" t="n">
        <v>0</v>
      </c>
      <c r="R3988" s="2" t="inlineStr"/>
    </row>
    <row r="3989" ht="15" customHeight="1">
      <c r="A3989" t="inlineStr">
        <is>
          <t>A 29841-2021</t>
        </is>
      </c>
      <c r="B3989" s="1" t="n">
        <v>44362</v>
      </c>
      <c r="C3989" s="1" t="n">
        <v>45182</v>
      </c>
      <c r="D3989" t="inlineStr">
        <is>
          <t>JÄMTLANDS LÄN</t>
        </is>
      </c>
      <c r="E3989" t="inlineStr">
        <is>
          <t>STRÖMSUND</t>
        </is>
      </c>
      <c r="G3989" t="n">
        <v>2.3</v>
      </c>
      <c r="H3989" t="n">
        <v>0</v>
      </c>
      <c r="I3989" t="n">
        <v>0</v>
      </c>
      <c r="J3989" t="n">
        <v>0</v>
      </c>
      <c r="K3989" t="n">
        <v>0</v>
      </c>
      <c r="L3989" t="n">
        <v>0</v>
      </c>
      <c r="M3989" t="n">
        <v>0</v>
      </c>
      <c r="N3989" t="n">
        <v>0</v>
      </c>
      <c r="O3989" t="n">
        <v>0</v>
      </c>
      <c r="P3989" t="n">
        <v>0</v>
      </c>
      <c r="Q3989" t="n">
        <v>0</v>
      </c>
      <c r="R3989" s="2" t="inlineStr"/>
    </row>
    <row r="3990" ht="15" customHeight="1">
      <c r="A3990" t="inlineStr">
        <is>
          <t>A 29930-2021</t>
        </is>
      </c>
      <c r="B3990" s="1" t="n">
        <v>44362</v>
      </c>
      <c r="C3990" s="1" t="n">
        <v>45182</v>
      </c>
      <c r="D3990" t="inlineStr">
        <is>
          <t>JÄMTLANDS LÄN</t>
        </is>
      </c>
      <c r="E3990" t="inlineStr">
        <is>
          <t>BRÄCKE</t>
        </is>
      </c>
      <c r="F3990" t="inlineStr">
        <is>
          <t>SCA</t>
        </is>
      </c>
      <c r="G3990" t="n">
        <v>2.4</v>
      </c>
      <c r="H3990" t="n">
        <v>0</v>
      </c>
      <c r="I3990" t="n">
        <v>0</v>
      </c>
      <c r="J3990" t="n">
        <v>0</v>
      </c>
      <c r="K3990" t="n">
        <v>0</v>
      </c>
      <c r="L3990" t="n">
        <v>0</v>
      </c>
      <c r="M3990" t="n">
        <v>0</v>
      </c>
      <c r="N3990" t="n">
        <v>0</v>
      </c>
      <c r="O3990" t="n">
        <v>0</v>
      </c>
      <c r="P3990" t="n">
        <v>0</v>
      </c>
      <c r="Q3990" t="n">
        <v>0</v>
      </c>
      <c r="R3990" s="2" t="inlineStr"/>
    </row>
    <row r="3991" ht="15" customHeight="1">
      <c r="A3991" t="inlineStr">
        <is>
          <t>A 30459-2021</t>
        </is>
      </c>
      <c r="B3991" s="1" t="n">
        <v>44362</v>
      </c>
      <c r="C3991" s="1" t="n">
        <v>45182</v>
      </c>
      <c r="D3991" t="inlineStr">
        <is>
          <t>JÄMTLANDS LÄN</t>
        </is>
      </c>
      <c r="E3991" t="inlineStr">
        <is>
          <t>RAGUNDA</t>
        </is>
      </c>
      <c r="G3991" t="n">
        <v>1</v>
      </c>
      <c r="H3991" t="n">
        <v>0</v>
      </c>
      <c r="I3991" t="n">
        <v>0</v>
      </c>
      <c r="J3991" t="n">
        <v>0</v>
      </c>
      <c r="K3991" t="n">
        <v>0</v>
      </c>
      <c r="L3991" t="n">
        <v>0</v>
      </c>
      <c r="M3991" t="n">
        <v>0</v>
      </c>
      <c r="N3991" t="n">
        <v>0</v>
      </c>
      <c r="O3991" t="n">
        <v>0</v>
      </c>
      <c r="P3991" t="n">
        <v>0</v>
      </c>
      <c r="Q3991" t="n">
        <v>0</v>
      </c>
      <c r="R3991" s="2" t="inlineStr"/>
    </row>
    <row r="3992" ht="15" customHeight="1">
      <c r="A3992" t="inlineStr">
        <is>
          <t>A 29707-2021</t>
        </is>
      </c>
      <c r="B3992" s="1" t="n">
        <v>44362</v>
      </c>
      <c r="C3992" s="1" t="n">
        <v>45182</v>
      </c>
      <c r="D3992" t="inlineStr">
        <is>
          <t>JÄMTLANDS LÄN</t>
        </is>
      </c>
      <c r="E3992" t="inlineStr">
        <is>
          <t>ÖSTERSUND</t>
        </is>
      </c>
      <c r="G3992" t="n">
        <v>4</v>
      </c>
      <c r="H3992" t="n">
        <v>0</v>
      </c>
      <c r="I3992" t="n">
        <v>0</v>
      </c>
      <c r="J3992" t="n">
        <v>0</v>
      </c>
      <c r="K3992" t="n">
        <v>0</v>
      </c>
      <c r="L3992" t="n">
        <v>0</v>
      </c>
      <c r="M3992" t="n">
        <v>0</v>
      </c>
      <c r="N3992" t="n">
        <v>0</v>
      </c>
      <c r="O3992" t="n">
        <v>0</v>
      </c>
      <c r="P3992" t="n">
        <v>0</v>
      </c>
      <c r="Q3992" t="n">
        <v>0</v>
      </c>
      <c r="R3992" s="2" t="inlineStr"/>
    </row>
    <row r="3993" ht="15" customHeight="1">
      <c r="A3993" t="inlineStr">
        <is>
          <t>A 29896-2021</t>
        </is>
      </c>
      <c r="B3993" s="1" t="n">
        <v>44362</v>
      </c>
      <c r="C3993" s="1" t="n">
        <v>45182</v>
      </c>
      <c r="D3993" t="inlineStr">
        <is>
          <t>JÄMTLANDS LÄN</t>
        </is>
      </c>
      <c r="E3993" t="inlineStr">
        <is>
          <t>KROKOM</t>
        </is>
      </c>
      <c r="G3993" t="n">
        <v>0.6</v>
      </c>
      <c r="H3993" t="n">
        <v>0</v>
      </c>
      <c r="I3993" t="n">
        <v>0</v>
      </c>
      <c r="J3993" t="n">
        <v>0</v>
      </c>
      <c r="K3993" t="n">
        <v>0</v>
      </c>
      <c r="L3993" t="n">
        <v>0</v>
      </c>
      <c r="M3993" t="n">
        <v>0</v>
      </c>
      <c r="N3993" t="n">
        <v>0</v>
      </c>
      <c r="O3993" t="n">
        <v>0</v>
      </c>
      <c r="P3993" t="n">
        <v>0</v>
      </c>
      <c r="Q3993" t="n">
        <v>0</v>
      </c>
      <c r="R3993" s="2" t="inlineStr"/>
    </row>
    <row r="3994" ht="15" customHeight="1">
      <c r="A3994" t="inlineStr">
        <is>
          <t>A 30108-2021</t>
        </is>
      </c>
      <c r="B3994" s="1" t="n">
        <v>44363</v>
      </c>
      <c r="C3994" s="1" t="n">
        <v>45182</v>
      </c>
      <c r="D3994" t="inlineStr">
        <is>
          <t>JÄMTLANDS LÄN</t>
        </is>
      </c>
      <c r="E3994" t="inlineStr">
        <is>
          <t>BRÄCKE</t>
        </is>
      </c>
      <c r="G3994" t="n">
        <v>0.8</v>
      </c>
      <c r="H3994" t="n">
        <v>0</v>
      </c>
      <c r="I3994" t="n">
        <v>0</v>
      </c>
      <c r="J3994" t="n">
        <v>0</v>
      </c>
      <c r="K3994" t="n">
        <v>0</v>
      </c>
      <c r="L3994" t="n">
        <v>0</v>
      </c>
      <c r="M3994" t="n">
        <v>0</v>
      </c>
      <c r="N3994" t="n">
        <v>0</v>
      </c>
      <c r="O3994" t="n">
        <v>0</v>
      </c>
      <c r="P3994" t="n">
        <v>0</v>
      </c>
      <c r="Q3994" t="n">
        <v>0</v>
      </c>
      <c r="R3994" s="2" t="inlineStr"/>
    </row>
    <row r="3995" ht="15" customHeight="1">
      <c r="A3995" t="inlineStr">
        <is>
          <t>A 30145-2021</t>
        </is>
      </c>
      <c r="B3995" s="1" t="n">
        <v>44363</v>
      </c>
      <c r="C3995" s="1" t="n">
        <v>45182</v>
      </c>
      <c r="D3995" t="inlineStr">
        <is>
          <t>JÄMTLANDS LÄN</t>
        </is>
      </c>
      <c r="E3995" t="inlineStr">
        <is>
          <t>KROKOM</t>
        </is>
      </c>
      <c r="G3995" t="n">
        <v>5.1</v>
      </c>
      <c r="H3995" t="n">
        <v>0</v>
      </c>
      <c r="I3995" t="n">
        <v>0</v>
      </c>
      <c r="J3995" t="n">
        <v>0</v>
      </c>
      <c r="K3995" t="n">
        <v>0</v>
      </c>
      <c r="L3995" t="n">
        <v>0</v>
      </c>
      <c r="M3995" t="n">
        <v>0</v>
      </c>
      <c r="N3995" t="n">
        <v>0</v>
      </c>
      <c r="O3995" t="n">
        <v>0</v>
      </c>
      <c r="P3995" t="n">
        <v>0</v>
      </c>
      <c r="Q3995" t="n">
        <v>0</v>
      </c>
      <c r="R3995" s="2" t="inlineStr"/>
    </row>
    <row r="3996" ht="15" customHeight="1">
      <c r="A3996" t="inlineStr">
        <is>
          <t>A 30102-2021</t>
        </is>
      </c>
      <c r="B3996" s="1" t="n">
        <v>44363</v>
      </c>
      <c r="C3996" s="1" t="n">
        <v>45182</v>
      </c>
      <c r="D3996" t="inlineStr">
        <is>
          <t>JÄMTLANDS LÄN</t>
        </is>
      </c>
      <c r="E3996" t="inlineStr">
        <is>
          <t>BRÄCKE</t>
        </is>
      </c>
      <c r="G3996" t="n">
        <v>1.3</v>
      </c>
      <c r="H3996" t="n">
        <v>0</v>
      </c>
      <c r="I3996" t="n">
        <v>0</v>
      </c>
      <c r="J3996" t="n">
        <v>0</v>
      </c>
      <c r="K3996" t="n">
        <v>0</v>
      </c>
      <c r="L3996" t="n">
        <v>0</v>
      </c>
      <c r="M3996" t="n">
        <v>0</v>
      </c>
      <c r="N3996" t="n">
        <v>0</v>
      </c>
      <c r="O3996" t="n">
        <v>0</v>
      </c>
      <c r="P3996" t="n">
        <v>0</v>
      </c>
      <c r="Q3996" t="n">
        <v>0</v>
      </c>
      <c r="R3996" s="2" t="inlineStr"/>
    </row>
    <row r="3997" ht="15" customHeight="1">
      <c r="A3997" t="inlineStr">
        <is>
          <t>A 30302-2021</t>
        </is>
      </c>
      <c r="B3997" s="1" t="n">
        <v>44364</v>
      </c>
      <c r="C3997" s="1" t="n">
        <v>45182</v>
      </c>
      <c r="D3997" t="inlineStr">
        <is>
          <t>JÄMTLANDS LÄN</t>
        </is>
      </c>
      <c r="E3997" t="inlineStr">
        <is>
          <t>HÄRJEDALEN</t>
        </is>
      </c>
      <c r="F3997" t="inlineStr">
        <is>
          <t>Holmen skog AB</t>
        </is>
      </c>
      <c r="G3997" t="n">
        <v>6</v>
      </c>
      <c r="H3997" t="n">
        <v>0</v>
      </c>
      <c r="I3997" t="n">
        <v>0</v>
      </c>
      <c r="J3997" t="n">
        <v>0</v>
      </c>
      <c r="K3997" t="n">
        <v>0</v>
      </c>
      <c r="L3997" t="n">
        <v>0</v>
      </c>
      <c r="M3997" t="n">
        <v>0</v>
      </c>
      <c r="N3997" t="n">
        <v>0</v>
      </c>
      <c r="O3997" t="n">
        <v>0</v>
      </c>
      <c r="P3997" t="n">
        <v>0</v>
      </c>
      <c r="Q3997" t="n">
        <v>0</v>
      </c>
      <c r="R3997" s="2" t="inlineStr"/>
    </row>
    <row r="3998" ht="15" customHeight="1">
      <c r="A3998" t="inlineStr">
        <is>
          <t>A 30311-2021</t>
        </is>
      </c>
      <c r="B3998" s="1" t="n">
        <v>44364</v>
      </c>
      <c r="C3998" s="1" t="n">
        <v>45182</v>
      </c>
      <c r="D3998" t="inlineStr">
        <is>
          <t>JÄMTLANDS LÄN</t>
        </is>
      </c>
      <c r="E3998" t="inlineStr">
        <is>
          <t>HÄRJEDALEN</t>
        </is>
      </c>
      <c r="F3998" t="inlineStr">
        <is>
          <t>Holmen skog AB</t>
        </is>
      </c>
      <c r="G3998" t="n">
        <v>1</v>
      </c>
      <c r="H3998" t="n">
        <v>0</v>
      </c>
      <c r="I3998" t="n">
        <v>0</v>
      </c>
      <c r="J3998" t="n">
        <v>0</v>
      </c>
      <c r="K3998" t="n">
        <v>0</v>
      </c>
      <c r="L3998" t="n">
        <v>0</v>
      </c>
      <c r="M3998" t="n">
        <v>0</v>
      </c>
      <c r="N3998" t="n">
        <v>0</v>
      </c>
      <c r="O3998" t="n">
        <v>0</v>
      </c>
      <c r="P3998" t="n">
        <v>0</v>
      </c>
      <c r="Q3998" t="n">
        <v>0</v>
      </c>
      <c r="R3998" s="2" t="inlineStr"/>
    </row>
    <row r="3999" ht="15" customHeight="1">
      <c r="A3999" t="inlineStr">
        <is>
          <t>A 31077-2021</t>
        </is>
      </c>
      <c r="B3999" s="1" t="n">
        <v>44365</v>
      </c>
      <c r="C3999" s="1" t="n">
        <v>45182</v>
      </c>
      <c r="D3999" t="inlineStr">
        <is>
          <t>JÄMTLANDS LÄN</t>
        </is>
      </c>
      <c r="E3999" t="inlineStr">
        <is>
          <t>STRÖMSUND</t>
        </is>
      </c>
      <c r="G3999" t="n">
        <v>6.8</v>
      </c>
      <c r="H3999" t="n">
        <v>0</v>
      </c>
      <c r="I3999" t="n">
        <v>0</v>
      </c>
      <c r="J3999" t="n">
        <v>0</v>
      </c>
      <c r="K3999" t="n">
        <v>0</v>
      </c>
      <c r="L3999" t="n">
        <v>0</v>
      </c>
      <c r="M3999" t="n">
        <v>0</v>
      </c>
      <c r="N3999" t="n">
        <v>0</v>
      </c>
      <c r="O3999" t="n">
        <v>0</v>
      </c>
      <c r="P3999" t="n">
        <v>0</v>
      </c>
      <c r="Q3999" t="n">
        <v>0</v>
      </c>
      <c r="R3999" s="2" t="inlineStr"/>
    </row>
    <row r="4000" ht="15" customHeight="1">
      <c r="A4000" t="inlineStr">
        <is>
          <t>A 30684-2021</t>
        </is>
      </c>
      <c r="B4000" s="1" t="n">
        <v>44365</v>
      </c>
      <c r="C4000" s="1" t="n">
        <v>45182</v>
      </c>
      <c r="D4000" t="inlineStr">
        <is>
          <t>JÄMTLANDS LÄN</t>
        </is>
      </c>
      <c r="E4000" t="inlineStr">
        <is>
          <t>HÄRJEDALEN</t>
        </is>
      </c>
      <c r="G4000" t="n">
        <v>4</v>
      </c>
      <c r="H4000" t="n">
        <v>0</v>
      </c>
      <c r="I4000" t="n">
        <v>0</v>
      </c>
      <c r="J4000" t="n">
        <v>0</v>
      </c>
      <c r="K4000" t="n">
        <v>0</v>
      </c>
      <c r="L4000" t="n">
        <v>0</v>
      </c>
      <c r="M4000" t="n">
        <v>0</v>
      </c>
      <c r="N4000" t="n">
        <v>0</v>
      </c>
      <c r="O4000" t="n">
        <v>0</v>
      </c>
      <c r="P4000" t="n">
        <v>0</v>
      </c>
      <c r="Q4000" t="n">
        <v>0</v>
      </c>
      <c r="R4000" s="2" t="inlineStr"/>
    </row>
    <row r="4001" ht="15" customHeight="1">
      <c r="A4001" t="inlineStr">
        <is>
          <t>A 31040-2021</t>
        </is>
      </c>
      <c r="B4001" s="1" t="n">
        <v>44368</v>
      </c>
      <c r="C4001" s="1" t="n">
        <v>45182</v>
      </c>
      <c r="D4001" t="inlineStr">
        <is>
          <t>JÄMTLANDS LÄN</t>
        </is>
      </c>
      <c r="E4001" t="inlineStr">
        <is>
          <t>ÖSTERSUND</t>
        </is>
      </c>
      <c r="G4001" t="n">
        <v>4.3</v>
      </c>
      <c r="H4001" t="n">
        <v>0</v>
      </c>
      <c r="I4001" t="n">
        <v>0</v>
      </c>
      <c r="J4001" t="n">
        <v>0</v>
      </c>
      <c r="K4001" t="n">
        <v>0</v>
      </c>
      <c r="L4001" t="n">
        <v>0</v>
      </c>
      <c r="M4001" t="n">
        <v>0</v>
      </c>
      <c r="N4001" t="n">
        <v>0</v>
      </c>
      <c r="O4001" t="n">
        <v>0</v>
      </c>
      <c r="P4001" t="n">
        <v>0</v>
      </c>
      <c r="Q4001" t="n">
        <v>0</v>
      </c>
      <c r="R4001" s="2" t="inlineStr"/>
    </row>
    <row r="4002" ht="15" customHeight="1">
      <c r="A4002" t="inlineStr">
        <is>
          <t>A 31212-2021</t>
        </is>
      </c>
      <c r="B4002" s="1" t="n">
        <v>44368</v>
      </c>
      <c r="C4002" s="1" t="n">
        <v>45182</v>
      </c>
      <c r="D4002" t="inlineStr">
        <is>
          <t>JÄMTLANDS LÄN</t>
        </is>
      </c>
      <c r="E4002" t="inlineStr">
        <is>
          <t>HÄRJEDALEN</t>
        </is>
      </c>
      <c r="G4002" t="n">
        <v>5.5</v>
      </c>
      <c r="H4002" t="n">
        <v>0</v>
      </c>
      <c r="I4002" t="n">
        <v>0</v>
      </c>
      <c r="J4002" t="n">
        <v>0</v>
      </c>
      <c r="K4002" t="n">
        <v>0</v>
      </c>
      <c r="L4002" t="n">
        <v>0</v>
      </c>
      <c r="M4002" t="n">
        <v>0</v>
      </c>
      <c r="N4002" t="n">
        <v>0</v>
      </c>
      <c r="O4002" t="n">
        <v>0</v>
      </c>
      <c r="P4002" t="n">
        <v>0</v>
      </c>
      <c r="Q4002" t="n">
        <v>0</v>
      </c>
      <c r="R4002" s="2" t="inlineStr"/>
    </row>
    <row r="4003" ht="15" customHeight="1">
      <c r="A4003" t="inlineStr">
        <is>
          <t>A 31093-2021</t>
        </is>
      </c>
      <c r="B4003" s="1" t="n">
        <v>44368</v>
      </c>
      <c r="C4003" s="1" t="n">
        <v>45182</v>
      </c>
      <c r="D4003" t="inlineStr">
        <is>
          <t>JÄMTLANDS LÄN</t>
        </is>
      </c>
      <c r="E4003" t="inlineStr">
        <is>
          <t>BRÄCKE</t>
        </is>
      </c>
      <c r="G4003" t="n">
        <v>2.8</v>
      </c>
      <c r="H4003" t="n">
        <v>0</v>
      </c>
      <c r="I4003" t="n">
        <v>0</v>
      </c>
      <c r="J4003" t="n">
        <v>0</v>
      </c>
      <c r="K4003" t="n">
        <v>0</v>
      </c>
      <c r="L4003" t="n">
        <v>0</v>
      </c>
      <c r="M4003" t="n">
        <v>0</v>
      </c>
      <c r="N4003" t="n">
        <v>0</v>
      </c>
      <c r="O4003" t="n">
        <v>0</v>
      </c>
      <c r="P4003" t="n">
        <v>0</v>
      </c>
      <c r="Q4003" t="n">
        <v>0</v>
      </c>
      <c r="R4003" s="2" t="inlineStr"/>
    </row>
    <row r="4004" ht="15" customHeight="1">
      <c r="A4004" t="inlineStr">
        <is>
          <t>A 33787-2021</t>
        </is>
      </c>
      <c r="B4004" s="1" t="n">
        <v>44368</v>
      </c>
      <c r="C4004" s="1" t="n">
        <v>45182</v>
      </c>
      <c r="D4004" t="inlineStr">
        <is>
          <t>JÄMTLANDS LÄN</t>
        </is>
      </c>
      <c r="E4004" t="inlineStr">
        <is>
          <t>STRÖMSUND</t>
        </is>
      </c>
      <c r="G4004" t="n">
        <v>1.5</v>
      </c>
      <c r="H4004" t="n">
        <v>0</v>
      </c>
      <c r="I4004" t="n">
        <v>0</v>
      </c>
      <c r="J4004" t="n">
        <v>0</v>
      </c>
      <c r="K4004" t="n">
        <v>0</v>
      </c>
      <c r="L4004" t="n">
        <v>0</v>
      </c>
      <c r="M4004" t="n">
        <v>0</v>
      </c>
      <c r="N4004" t="n">
        <v>0</v>
      </c>
      <c r="O4004" t="n">
        <v>0</v>
      </c>
      <c r="P4004" t="n">
        <v>0</v>
      </c>
      <c r="Q4004" t="n">
        <v>0</v>
      </c>
      <c r="R4004" s="2" t="inlineStr"/>
    </row>
    <row r="4005" ht="15" customHeight="1">
      <c r="A4005" t="inlineStr">
        <is>
          <t>A 31089-2021</t>
        </is>
      </c>
      <c r="B4005" s="1" t="n">
        <v>44368</v>
      </c>
      <c r="C4005" s="1" t="n">
        <v>45182</v>
      </c>
      <c r="D4005" t="inlineStr">
        <is>
          <t>JÄMTLANDS LÄN</t>
        </is>
      </c>
      <c r="E4005" t="inlineStr">
        <is>
          <t>STRÖMSUND</t>
        </is>
      </c>
      <c r="G4005" t="n">
        <v>1.4</v>
      </c>
      <c r="H4005" t="n">
        <v>0</v>
      </c>
      <c r="I4005" t="n">
        <v>0</v>
      </c>
      <c r="J4005" t="n">
        <v>0</v>
      </c>
      <c r="K4005" t="n">
        <v>0</v>
      </c>
      <c r="L4005" t="n">
        <v>0</v>
      </c>
      <c r="M4005" t="n">
        <v>0</v>
      </c>
      <c r="N4005" t="n">
        <v>0</v>
      </c>
      <c r="O4005" t="n">
        <v>0</v>
      </c>
      <c r="P4005" t="n">
        <v>0</v>
      </c>
      <c r="Q4005" t="n">
        <v>0</v>
      </c>
      <c r="R4005" s="2" t="inlineStr"/>
    </row>
    <row r="4006" ht="15" customHeight="1">
      <c r="A4006" t="inlineStr">
        <is>
          <t>A 31158-2021</t>
        </is>
      </c>
      <c r="B4006" s="1" t="n">
        <v>44368</v>
      </c>
      <c r="C4006" s="1" t="n">
        <v>45182</v>
      </c>
      <c r="D4006" t="inlineStr">
        <is>
          <t>JÄMTLANDS LÄN</t>
        </is>
      </c>
      <c r="E4006" t="inlineStr">
        <is>
          <t>RAGUNDA</t>
        </is>
      </c>
      <c r="G4006" t="n">
        <v>0.5</v>
      </c>
      <c r="H4006" t="n">
        <v>0</v>
      </c>
      <c r="I4006" t="n">
        <v>0</v>
      </c>
      <c r="J4006" t="n">
        <v>0</v>
      </c>
      <c r="K4006" t="n">
        <v>0</v>
      </c>
      <c r="L4006" t="n">
        <v>0</v>
      </c>
      <c r="M4006" t="n">
        <v>0</v>
      </c>
      <c r="N4006" t="n">
        <v>0</v>
      </c>
      <c r="O4006" t="n">
        <v>0</v>
      </c>
      <c r="P4006" t="n">
        <v>0</v>
      </c>
      <c r="Q4006" t="n">
        <v>0</v>
      </c>
      <c r="R4006" s="2" t="inlineStr"/>
    </row>
    <row r="4007" ht="15" customHeight="1">
      <c r="A4007" t="inlineStr">
        <is>
          <t>A 31743-2021</t>
        </is>
      </c>
      <c r="B4007" s="1" t="n">
        <v>44369</v>
      </c>
      <c r="C4007" s="1" t="n">
        <v>45182</v>
      </c>
      <c r="D4007" t="inlineStr">
        <is>
          <t>JÄMTLANDS LÄN</t>
        </is>
      </c>
      <c r="E4007" t="inlineStr">
        <is>
          <t>STRÖMSUND</t>
        </is>
      </c>
      <c r="G4007" t="n">
        <v>5.6</v>
      </c>
      <c r="H4007" t="n">
        <v>0</v>
      </c>
      <c r="I4007" t="n">
        <v>0</v>
      </c>
      <c r="J4007" t="n">
        <v>0</v>
      </c>
      <c r="K4007" t="n">
        <v>0</v>
      </c>
      <c r="L4007" t="n">
        <v>0</v>
      </c>
      <c r="M4007" t="n">
        <v>0</v>
      </c>
      <c r="N4007" t="n">
        <v>0</v>
      </c>
      <c r="O4007" t="n">
        <v>0</v>
      </c>
      <c r="P4007" t="n">
        <v>0</v>
      </c>
      <c r="Q4007" t="n">
        <v>0</v>
      </c>
      <c r="R4007" s="2" t="inlineStr"/>
    </row>
    <row r="4008" ht="15" customHeight="1">
      <c r="A4008" t="inlineStr">
        <is>
          <t>A 31388-2021</t>
        </is>
      </c>
      <c r="B4008" s="1" t="n">
        <v>44369</v>
      </c>
      <c r="C4008" s="1" t="n">
        <v>45182</v>
      </c>
      <c r="D4008" t="inlineStr">
        <is>
          <t>JÄMTLANDS LÄN</t>
        </is>
      </c>
      <c r="E4008" t="inlineStr">
        <is>
          <t>ÅRE</t>
        </is>
      </c>
      <c r="G4008" t="n">
        <v>2</v>
      </c>
      <c r="H4008" t="n">
        <v>0</v>
      </c>
      <c r="I4008" t="n">
        <v>0</v>
      </c>
      <c r="J4008" t="n">
        <v>0</v>
      </c>
      <c r="K4008" t="n">
        <v>0</v>
      </c>
      <c r="L4008" t="n">
        <v>0</v>
      </c>
      <c r="M4008" t="n">
        <v>0</v>
      </c>
      <c r="N4008" t="n">
        <v>0</v>
      </c>
      <c r="O4008" t="n">
        <v>0</v>
      </c>
      <c r="P4008" t="n">
        <v>0</v>
      </c>
      <c r="Q4008" t="n">
        <v>0</v>
      </c>
      <c r="R4008" s="2" t="inlineStr"/>
    </row>
    <row r="4009" ht="15" customHeight="1">
      <c r="A4009" t="inlineStr">
        <is>
          <t>A 31739-2021</t>
        </is>
      </c>
      <c r="B4009" s="1" t="n">
        <v>44369</v>
      </c>
      <c r="C4009" s="1" t="n">
        <v>45182</v>
      </c>
      <c r="D4009" t="inlineStr">
        <is>
          <t>JÄMTLANDS LÄN</t>
        </is>
      </c>
      <c r="E4009" t="inlineStr">
        <is>
          <t>STRÖMSUND</t>
        </is>
      </c>
      <c r="F4009" t="inlineStr">
        <is>
          <t>SCA</t>
        </is>
      </c>
      <c r="G4009" t="n">
        <v>1.2</v>
      </c>
      <c r="H4009" t="n">
        <v>0</v>
      </c>
      <c r="I4009" t="n">
        <v>0</v>
      </c>
      <c r="J4009" t="n">
        <v>0</v>
      </c>
      <c r="K4009" t="n">
        <v>0</v>
      </c>
      <c r="L4009" t="n">
        <v>0</v>
      </c>
      <c r="M4009" t="n">
        <v>0</v>
      </c>
      <c r="N4009" t="n">
        <v>0</v>
      </c>
      <c r="O4009" t="n">
        <v>0</v>
      </c>
      <c r="P4009" t="n">
        <v>0</v>
      </c>
      <c r="Q4009" t="n">
        <v>0</v>
      </c>
      <c r="R4009" s="2" t="inlineStr"/>
    </row>
    <row r="4010" ht="15" customHeight="1">
      <c r="A4010" t="inlineStr">
        <is>
          <t>A 31858-2021</t>
        </is>
      </c>
      <c r="B4010" s="1" t="n">
        <v>44370</v>
      </c>
      <c r="C4010" s="1" t="n">
        <v>45182</v>
      </c>
      <c r="D4010" t="inlineStr">
        <is>
          <t>JÄMTLANDS LÄN</t>
        </is>
      </c>
      <c r="E4010" t="inlineStr">
        <is>
          <t>KROKOM</t>
        </is>
      </c>
      <c r="G4010" t="n">
        <v>3.5</v>
      </c>
      <c r="H4010" t="n">
        <v>0</v>
      </c>
      <c r="I4010" t="n">
        <v>0</v>
      </c>
      <c r="J4010" t="n">
        <v>0</v>
      </c>
      <c r="K4010" t="n">
        <v>0</v>
      </c>
      <c r="L4010" t="n">
        <v>0</v>
      </c>
      <c r="M4010" t="n">
        <v>0</v>
      </c>
      <c r="N4010" t="n">
        <v>0</v>
      </c>
      <c r="O4010" t="n">
        <v>0</v>
      </c>
      <c r="P4010" t="n">
        <v>0</v>
      </c>
      <c r="Q4010" t="n">
        <v>0</v>
      </c>
      <c r="R4010" s="2" t="inlineStr"/>
    </row>
    <row r="4011" ht="15" customHeight="1">
      <c r="A4011" t="inlineStr">
        <is>
          <t>A 31905-2021</t>
        </is>
      </c>
      <c r="B4011" s="1" t="n">
        <v>44370</v>
      </c>
      <c r="C4011" s="1" t="n">
        <v>45182</v>
      </c>
      <c r="D4011" t="inlineStr">
        <is>
          <t>JÄMTLANDS LÄN</t>
        </is>
      </c>
      <c r="E4011" t="inlineStr">
        <is>
          <t>KROKOM</t>
        </is>
      </c>
      <c r="G4011" t="n">
        <v>12.9</v>
      </c>
      <c r="H4011" t="n">
        <v>0</v>
      </c>
      <c r="I4011" t="n">
        <v>0</v>
      </c>
      <c r="J4011" t="n">
        <v>0</v>
      </c>
      <c r="K4011" t="n">
        <v>0</v>
      </c>
      <c r="L4011" t="n">
        <v>0</v>
      </c>
      <c r="M4011" t="n">
        <v>0</v>
      </c>
      <c r="N4011" t="n">
        <v>0</v>
      </c>
      <c r="O4011" t="n">
        <v>0</v>
      </c>
      <c r="P4011" t="n">
        <v>0</v>
      </c>
      <c r="Q4011" t="n">
        <v>0</v>
      </c>
      <c r="R4011" s="2" t="inlineStr"/>
    </row>
    <row r="4012" ht="15" customHeight="1">
      <c r="A4012" t="inlineStr">
        <is>
          <t>A 32259-2021</t>
        </is>
      </c>
      <c r="B4012" s="1" t="n">
        <v>44371</v>
      </c>
      <c r="C4012" s="1" t="n">
        <v>45182</v>
      </c>
      <c r="D4012" t="inlineStr">
        <is>
          <t>JÄMTLANDS LÄN</t>
        </is>
      </c>
      <c r="E4012" t="inlineStr">
        <is>
          <t>STRÖMSUND</t>
        </is>
      </c>
      <c r="F4012" t="inlineStr">
        <is>
          <t>SCA</t>
        </is>
      </c>
      <c r="G4012" t="n">
        <v>22.4</v>
      </c>
      <c r="H4012" t="n">
        <v>0</v>
      </c>
      <c r="I4012" t="n">
        <v>0</v>
      </c>
      <c r="J4012" t="n">
        <v>0</v>
      </c>
      <c r="K4012" t="n">
        <v>0</v>
      </c>
      <c r="L4012" t="n">
        <v>0</v>
      </c>
      <c r="M4012" t="n">
        <v>0</v>
      </c>
      <c r="N4012" t="n">
        <v>0</v>
      </c>
      <c r="O4012" t="n">
        <v>0</v>
      </c>
      <c r="P4012" t="n">
        <v>0</v>
      </c>
      <c r="Q4012" t="n">
        <v>0</v>
      </c>
      <c r="R4012" s="2" t="inlineStr"/>
    </row>
    <row r="4013" ht="15" customHeight="1">
      <c r="A4013" t="inlineStr">
        <is>
          <t>A 32359-2021</t>
        </is>
      </c>
      <c r="B4013" s="1" t="n">
        <v>44371</v>
      </c>
      <c r="C4013" s="1" t="n">
        <v>45182</v>
      </c>
      <c r="D4013" t="inlineStr">
        <is>
          <t>JÄMTLANDS LÄN</t>
        </is>
      </c>
      <c r="E4013" t="inlineStr">
        <is>
          <t>STRÖMSUND</t>
        </is>
      </c>
      <c r="F4013" t="inlineStr">
        <is>
          <t>SCA</t>
        </is>
      </c>
      <c r="G4013" t="n">
        <v>8.699999999999999</v>
      </c>
      <c r="H4013" t="n">
        <v>0</v>
      </c>
      <c r="I4013" t="n">
        <v>0</v>
      </c>
      <c r="J4013" t="n">
        <v>0</v>
      </c>
      <c r="K4013" t="n">
        <v>0</v>
      </c>
      <c r="L4013" t="n">
        <v>0</v>
      </c>
      <c r="M4013" t="n">
        <v>0</v>
      </c>
      <c r="N4013" t="n">
        <v>0</v>
      </c>
      <c r="O4013" t="n">
        <v>0</v>
      </c>
      <c r="P4013" t="n">
        <v>0</v>
      </c>
      <c r="Q4013" t="n">
        <v>0</v>
      </c>
      <c r="R4013" s="2" t="inlineStr"/>
    </row>
    <row r="4014" ht="15" customHeight="1">
      <c r="A4014" t="inlineStr">
        <is>
          <t>A 32472-2021</t>
        </is>
      </c>
      <c r="B4014" s="1" t="n">
        <v>44371</v>
      </c>
      <c r="C4014" s="1" t="n">
        <v>45182</v>
      </c>
      <c r="D4014" t="inlineStr">
        <is>
          <t>JÄMTLANDS LÄN</t>
        </is>
      </c>
      <c r="E4014" t="inlineStr">
        <is>
          <t>KROKOM</t>
        </is>
      </c>
      <c r="F4014" t="inlineStr">
        <is>
          <t>SCA</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32465-2021</t>
        </is>
      </c>
      <c r="B4015" s="1" t="n">
        <v>44371</v>
      </c>
      <c r="C4015" s="1" t="n">
        <v>45182</v>
      </c>
      <c r="D4015" t="inlineStr">
        <is>
          <t>JÄMTLANDS LÄN</t>
        </is>
      </c>
      <c r="E4015" t="inlineStr">
        <is>
          <t>STRÖMSUND</t>
        </is>
      </c>
      <c r="F4015" t="inlineStr">
        <is>
          <t>SCA</t>
        </is>
      </c>
      <c r="G4015" t="n">
        <v>4.1</v>
      </c>
      <c r="H4015" t="n">
        <v>0</v>
      </c>
      <c r="I4015" t="n">
        <v>0</v>
      </c>
      <c r="J4015" t="n">
        <v>0</v>
      </c>
      <c r="K4015" t="n">
        <v>0</v>
      </c>
      <c r="L4015" t="n">
        <v>0</v>
      </c>
      <c r="M4015" t="n">
        <v>0</v>
      </c>
      <c r="N4015" t="n">
        <v>0</v>
      </c>
      <c r="O4015" t="n">
        <v>0</v>
      </c>
      <c r="P4015" t="n">
        <v>0</v>
      </c>
      <c r="Q4015" t="n">
        <v>0</v>
      </c>
      <c r="R4015" s="2" t="inlineStr"/>
    </row>
    <row r="4016" ht="15" customHeight="1">
      <c r="A4016" t="inlineStr">
        <is>
          <t>A 32460-2021</t>
        </is>
      </c>
      <c r="B4016" s="1" t="n">
        <v>44371</v>
      </c>
      <c r="C4016" s="1" t="n">
        <v>45182</v>
      </c>
      <c r="D4016" t="inlineStr">
        <is>
          <t>JÄMTLANDS LÄN</t>
        </is>
      </c>
      <c r="E4016" t="inlineStr">
        <is>
          <t>STRÖMSUND</t>
        </is>
      </c>
      <c r="G4016" t="n">
        <v>3.7</v>
      </c>
      <c r="H4016" t="n">
        <v>0</v>
      </c>
      <c r="I4016" t="n">
        <v>0</v>
      </c>
      <c r="J4016" t="n">
        <v>0</v>
      </c>
      <c r="K4016" t="n">
        <v>0</v>
      </c>
      <c r="L4016" t="n">
        <v>0</v>
      </c>
      <c r="M4016" t="n">
        <v>0</v>
      </c>
      <c r="N4016" t="n">
        <v>0</v>
      </c>
      <c r="O4016" t="n">
        <v>0</v>
      </c>
      <c r="P4016" t="n">
        <v>0</v>
      </c>
      <c r="Q4016" t="n">
        <v>0</v>
      </c>
      <c r="R4016" s="2" t="inlineStr"/>
    </row>
    <row r="4017" ht="15" customHeight="1">
      <c r="A4017" t="inlineStr">
        <is>
          <t>A 32241-2021</t>
        </is>
      </c>
      <c r="B4017" s="1" t="n">
        <v>44371</v>
      </c>
      <c r="C4017" s="1" t="n">
        <v>45182</v>
      </c>
      <c r="D4017" t="inlineStr">
        <is>
          <t>JÄMTLANDS LÄN</t>
        </is>
      </c>
      <c r="E4017" t="inlineStr">
        <is>
          <t>ÅRE</t>
        </is>
      </c>
      <c r="G4017" t="n">
        <v>2.3</v>
      </c>
      <c r="H4017" t="n">
        <v>0</v>
      </c>
      <c r="I4017" t="n">
        <v>0</v>
      </c>
      <c r="J4017" t="n">
        <v>0</v>
      </c>
      <c r="K4017" t="n">
        <v>0</v>
      </c>
      <c r="L4017" t="n">
        <v>0</v>
      </c>
      <c r="M4017" t="n">
        <v>0</v>
      </c>
      <c r="N4017" t="n">
        <v>0</v>
      </c>
      <c r="O4017" t="n">
        <v>0</v>
      </c>
      <c r="P4017" t="n">
        <v>0</v>
      </c>
      <c r="Q4017" t="n">
        <v>0</v>
      </c>
      <c r="R4017" s="2" t="inlineStr"/>
    </row>
    <row r="4018" ht="15" customHeight="1">
      <c r="A4018" t="inlineStr">
        <is>
          <t>A 32471-2021</t>
        </is>
      </c>
      <c r="B4018" s="1" t="n">
        <v>44371</v>
      </c>
      <c r="C4018" s="1" t="n">
        <v>45182</v>
      </c>
      <c r="D4018" t="inlineStr">
        <is>
          <t>JÄMTLANDS LÄN</t>
        </is>
      </c>
      <c r="E4018" t="inlineStr">
        <is>
          <t>BRÄCKE</t>
        </is>
      </c>
      <c r="F4018" t="inlineStr">
        <is>
          <t>SCA</t>
        </is>
      </c>
      <c r="G4018" t="n">
        <v>0.2</v>
      </c>
      <c r="H4018" t="n">
        <v>0</v>
      </c>
      <c r="I4018" t="n">
        <v>0</v>
      </c>
      <c r="J4018" t="n">
        <v>0</v>
      </c>
      <c r="K4018" t="n">
        <v>0</v>
      </c>
      <c r="L4018" t="n">
        <v>0</v>
      </c>
      <c r="M4018" t="n">
        <v>0</v>
      </c>
      <c r="N4018" t="n">
        <v>0</v>
      </c>
      <c r="O4018" t="n">
        <v>0</v>
      </c>
      <c r="P4018" t="n">
        <v>0</v>
      </c>
      <c r="Q4018" t="n">
        <v>0</v>
      </c>
      <c r="R4018" s="2" t="inlineStr"/>
    </row>
    <row r="4019" ht="15" customHeight="1">
      <c r="A4019" t="inlineStr">
        <is>
          <t>A 32538-2021</t>
        </is>
      </c>
      <c r="B4019" s="1" t="n">
        <v>44374</v>
      </c>
      <c r="C4019" s="1" t="n">
        <v>45182</v>
      </c>
      <c r="D4019" t="inlineStr">
        <is>
          <t>JÄMTLANDS LÄN</t>
        </is>
      </c>
      <c r="E4019" t="inlineStr">
        <is>
          <t>STRÖMSUND</t>
        </is>
      </c>
      <c r="F4019" t="inlineStr">
        <is>
          <t>SCA</t>
        </is>
      </c>
      <c r="G4019" t="n">
        <v>1.5</v>
      </c>
      <c r="H4019" t="n">
        <v>0</v>
      </c>
      <c r="I4019" t="n">
        <v>0</v>
      </c>
      <c r="J4019" t="n">
        <v>0</v>
      </c>
      <c r="K4019" t="n">
        <v>0</v>
      </c>
      <c r="L4019" t="n">
        <v>0</v>
      </c>
      <c r="M4019" t="n">
        <v>0</v>
      </c>
      <c r="N4019" t="n">
        <v>0</v>
      </c>
      <c r="O4019" t="n">
        <v>0</v>
      </c>
      <c r="P4019" t="n">
        <v>0</v>
      </c>
      <c r="Q4019" t="n">
        <v>0</v>
      </c>
      <c r="R4019" s="2" t="inlineStr"/>
    </row>
    <row r="4020" ht="15" customHeight="1">
      <c r="A4020" t="inlineStr">
        <is>
          <t>A 32536-2021</t>
        </is>
      </c>
      <c r="B4020" s="1" t="n">
        <v>44374</v>
      </c>
      <c r="C4020" s="1" t="n">
        <v>45182</v>
      </c>
      <c r="D4020" t="inlineStr">
        <is>
          <t>JÄMTLANDS LÄN</t>
        </is>
      </c>
      <c r="E4020" t="inlineStr">
        <is>
          <t>STRÖMSUND</t>
        </is>
      </c>
      <c r="F4020" t="inlineStr">
        <is>
          <t>SCA</t>
        </is>
      </c>
      <c r="G4020" t="n">
        <v>4.6</v>
      </c>
      <c r="H4020" t="n">
        <v>0</v>
      </c>
      <c r="I4020" t="n">
        <v>0</v>
      </c>
      <c r="J4020" t="n">
        <v>0</v>
      </c>
      <c r="K4020" t="n">
        <v>0</v>
      </c>
      <c r="L4020" t="n">
        <v>0</v>
      </c>
      <c r="M4020" t="n">
        <v>0</v>
      </c>
      <c r="N4020" t="n">
        <v>0</v>
      </c>
      <c r="O4020" t="n">
        <v>0</v>
      </c>
      <c r="P4020" t="n">
        <v>0</v>
      </c>
      <c r="Q4020" t="n">
        <v>0</v>
      </c>
      <c r="R4020" s="2" t="inlineStr"/>
    </row>
    <row r="4021" ht="15" customHeight="1">
      <c r="A4021" t="inlineStr">
        <is>
          <t>A 32832-2021</t>
        </is>
      </c>
      <c r="B4021" s="1" t="n">
        <v>44375</v>
      </c>
      <c r="C4021" s="1" t="n">
        <v>45182</v>
      </c>
      <c r="D4021" t="inlineStr">
        <is>
          <t>JÄMTLANDS LÄN</t>
        </is>
      </c>
      <c r="E4021" t="inlineStr">
        <is>
          <t>RAGUNDA</t>
        </is>
      </c>
      <c r="G4021" t="n">
        <v>3</v>
      </c>
      <c r="H4021" t="n">
        <v>0</v>
      </c>
      <c r="I4021" t="n">
        <v>0</v>
      </c>
      <c r="J4021" t="n">
        <v>0</v>
      </c>
      <c r="K4021" t="n">
        <v>0</v>
      </c>
      <c r="L4021" t="n">
        <v>0</v>
      </c>
      <c r="M4021" t="n">
        <v>0</v>
      </c>
      <c r="N4021" t="n">
        <v>0</v>
      </c>
      <c r="O4021" t="n">
        <v>0</v>
      </c>
      <c r="P4021" t="n">
        <v>0</v>
      </c>
      <c r="Q4021" t="n">
        <v>0</v>
      </c>
      <c r="R4021" s="2" t="inlineStr"/>
    </row>
    <row r="4022" ht="15" customHeight="1">
      <c r="A4022" t="inlineStr">
        <is>
          <t>A 32986-2021</t>
        </is>
      </c>
      <c r="B4022" s="1" t="n">
        <v>44375</v>
      </c>
      <c r="C4022" s="1" t="n">
        <v>45182</v>
      </c>
      <c r="D4022" t="inlineStr">
        <is>
          <t>JÄMTLANDS LÄN</t>
        </is>
      </c>
      <c r="E4022" t="inlineStr">
        <is>
          <t>ÖSTERSUND</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33002-2021</t>
        </is>
      </c>
      <c r="B4023" s="1" t="n">
        <v>44375</v>
      </c>
      <c r="C4023" s="1" t="n">
        <v>45182</v>
      </c>
      <c r="D4023" t="inlineStr">
        <is>
          <t>JÄMTLANDS LÄN</t>
        </is>
      </c>
      <c r="E4023" t="inlineStr">
        <is>
          <t>ÖSTERSUND</t>
        </is>
      </c>
      <c r="G4023" t="n">
        <v>0.2</v>
      </c>
      <c r="H4023" t="n">
        <v>0</v>
      </c>
      <c r="I4023" t="n">
        <v>0</v>
      </c>
      <c r="J4023" t="n">
        <v>0</v>
      </c>
      <c r="K4023" t="n">
        <v>0</v>
      </c>
      <c r="L4023" t="n">
        <v>0</v>
      </c>
      <c r="M4023" t="n">
        <v>0</v>
      </c>
      <c r="N4023" t="n">
        <v>0</v>
      </c>
      <c r="O4023" t="n">
        <v>0</v>
      </c>
      <c r="P4023" t="n">
        <v>0</v>
      </c>
      <c r="Q4023" t="n">
        <v>0</v>
      </c>
      <c r="R4023" s="2" t="inlineStr"/>
    </row>
    <row r="4024" ht="15" customHeight="1">
      <c r="A4024" t="inlineStr">
        <is>
          <t>A 32990-2021</t>
        </is>
      </c>
      <c r="B4024" s="1" t="n">
        <v>44375</v>
      </c>
      <c r="C4024" s="1" t="n">
        <v>45182</v>
      </c>
      <c r="D4024" t="inlineStr">
        <is>
          <t>JÄMTLANDS LÄN</t>
        </is>
      </c>
      <c r="E4024" t="inlineStr">
        <is>
          <t>ÖSTERSUND</t>
        </is>
      </c>
      <c r="G4024" t="n">
        <v>0.2</v>
      </c>
      <c r="H4024" t="n">
        <v>0</v>
      </c>
      <c r="I4024" t="n">
        <v>0</v>
      </c>
      <c r="J4024" t="n">
        <v>0</v>
      </c>
      <c r="K4024" t="n">
        <v>0</v>
      </c>
      <c r="L4024" t="n">
        <v>0</v>
      </c>
      <c r="M4024" t="n">
        <v>0</v>
      </c>
      <c r="N4024" t="n">
        <v>0</v>
      </c>
      <c r="O4024" t="n">
        <v>0</v>
      </c>
      <c r="P4024" t="n">
        <v>0</v>
      </c>
      <c r="Q4024" t="n">
        <v>0</v>
      </c>
      <c r="R4024" s="2" t="inlineStr"/>
    </row>
    <row r="4025" ht="15" customHeight="1">
      <c r="A4025" t="inlineStr">
        <is>
          <t>A 32998-2021</t>
        </is>
      </c>
      <c r="B4025" s="1" t="n">
        <v>44375</v>
      </c>
      <c r="C4025" s="1" t="n">
        <v>45182</v>
      </c>
      <c r="D4025" t="inlineStr">
        <is>
          <t>JÄMTLANDS LÄN</t>
        </is>
      </c>
      <c r="E4025" t="inlineStr">
        <is>
          <t>ÖSTERSUND</t>
        </is>
      </c>
      <c r="G4025" t="n">
        <v>0.1</v>
      </c>
      <c r="H4025" t="n">
        <v>0</v>
      </c>
      <c r="I4025" t="n">
        <v>0</v>
      </c>
      <c r="J4025" t="n">
        <v>0</v>
      </c>
      <c r="K4025" t="n">
        <v>0</v>
      </c>
      <c r="L4025" t="n">
        <v>0</v>
      </c>
      <c r="M4025" t="n">
        <v>0</v>
      </c>
      <c r="N4025" t="n">
        <v>0</v>
      </c>
      <c r="O4025" t="n">
        <v>0</v>
      </c>
      <c r="P4025" t="n">
        <v>0</v>
      </c>
      <c r="Q4025" t="n">
        <v>0</v>
      </c>
      <c r="R4025" s="2" t="inlineStr"/>
    </row>
    <row r="4026" ht="15" customHeight="1">
      <c r="A4026" t="inlineStr">
        <is>
          <t>A 32994-2021</t>
        </is>
      </c>
      <c r="B4026" s="1" t="n">
        <v>44375</v>
      </c>
      <c r="C4026" s="1" t="n">
        <v>45182</v>
      </c>
      <c r="D4026" t="inlineStr">
        <is>
          <t>JÄMTLANDS LÄN</t>
        </is>
      </c>
      <c r="E4026" t="inlineStr">
        <is>
          <t>ÖSTERSUND</t>
        </is>
      </c>
      <c r="G4026" t="n">
        <v>0.1</v>
      </c>
      <c r="H4026" t="n">
        <v>0</v>
      </c>
      <c r="I4026" t="n">
        <v>0</v>
      </c>
      <c r="J4026" t="n">
        <v>0</v>
      </c>
      <c r="K4026" t="n">
        <v>0</v>
      </c>
      <c r="L4026" t="n">
        <v>0</v>
      </c>
      <c r="M4026" t="n">
        <v>0</v>
      </c>
      <c r="N4026" t="n">
        <v>0</v>
      </c>
      <c r="O4026" t="n">
        <v>0</v>
      </c>
      <c r="P4026" t="n">
        <v>0</v>
      </c>
      <c r="Q4026" t="n">
        <v>0</v>
      </c>
      <c r="R4026" s="2" t="inlineStr"/>
    </row>
    <row r="4027" ht="15" customHeight="1">
      <c r="A4027" t="inlineStr">
        <is>
          <t>A 33004-2021</t>
        </is>
      </c>
      <c r="B4027" s="1" t="n">
        <v>44375</v>
      </c>
      <c r="C4027" s="1" t="n">
        <v>45182</v>
      </c>
      <c r="D4027" t="inlineStr">
        <is>
          <t>JÄMTLANDS LÄN</t>
        </is>
      </c>
      <c r="E4027" t="inlineStr">
        <is>
          <t>ÖSTERSUND</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33133-2021</t>
        </is>
      </c>
      <c r="B4028" s="1" t="n">
        <v>44376</v>
      </c>
      <c r="C4028" s="1" t="n">
        <v>45182</v>
      </c>
      <c r="D4028" t="inlineStr">
        <is>
          <t>JÄMTLANDS LÄN</t>
        </is>
      </c>
      <c r="E4028" t="inlineStr">
        <is>
          <t>HÄRJEDALEN</t>
        </is>
      </c>
      <c r="G4028" t="n">
        <v>23.1</v>
      </c>
      <c r="H4028" t="n">
        <v>0</v>
      </c>
      <c r="I4028" t="n">
        <v>0</v>
      </c>
      <c r="J4028" t="n">
        <v>0</v>
      </c>
      <c r="K4028" t="n">
        <v>0</v>
      </c>
      <c r="L4028" t="n">
        <v>0</v>
      </c>
      <c r="M4028" t="n">
        <v>0</v>
      </c>
      <c r="N4028" t="n">
        <v>0</v>
      </c>
      <c r="O4028" t="n">
        <v>0</v>
      </c>
      <c r="P4028" t="n">
        <v>0</v>
      </c>
      <c r="Q4028" t="n">
        <v>0</v>
      </c>
      <c r="R4028" s="2" t="inlineStr"/>
    </row>
    <row r="4029" ht="15" customHeight="1">
      <c r="A4029" t="inlineStr">
        <is>
          <t>A 33221-2021</t>
        </is>
      </c>
      <c r="B4029" s="1" t="n">
        <v>44376</v>
      </c>
      <c r="C4029" s="1" t="n">
        <v>45182</v>
      </c>
      <c r="D4029" t="inlineStr">
        <is>
          <t>JÄMTLANDS LÄN</t>
        </is>
      </c>
      <c r="E4029" t="inlineStr">
        <is>
          <t>BRÄCKE</t>
        </is>
      </c>
      <c r="F4029" t="inlineStr">
        <is>
          <t>SCA</t>
        </is>
      </c>
      <c r="G4029" t="n">
        <v>11.4</v>
      </c>
      <c r="H4029" t="n">
        <v>0</v>
      </c>
      <c r="I4029" t="n">
        <v>0</v>
      </c>
      <c r="J4029" t="n">
        <v>0</v>
      </c>
      <c r="K4029" t="n">
        <v>0</v>
      </c>
      <c r="L4029" t="n">
        <v>0</v>
      </c>
      <c r="M4029" t="n">
        <v>0</v>
      </c>
      <c r="N4029" t="n">
        <v>0</v>
      </c>
      <c r="O4029" t="n">
        <v>0</v>
      </c>
      <c r="P4029" t="n">
        <v>0</v>
      </c>
      <c r="Q4029" t="n">
        <v>0</v>
      </c>
      <c r="R4029" s="2" t="inlineStr"/>
    </row>
    <row r="4030" ht="15" customHeight="1">
      <c r="A4030" t="inlineStr">
        <is>
          <t>A 33228-2021</t>
        </is>
      </c>
      <c r="B4030" s="1" t="n">
        <v>44376</v>
      </c>
      <c r="C4030" s="1" t="n">
        <v>45182</v>
      </c>
      <c r="D4030" t="inlineStr">
        <is>
          <t>JÄMTLANDS LÄN</t>
        </is>
      </c>
      <c r="E4030" t="inlineStr">
        <is>
          <t>STRÖMSUND</t>
        </is>
      </c>
      <c r="G4030" t="n">
        <v>1.5</v>
      </c>
      <c r="H4030" t="n">
        <v>0</v>
      </c>
      <c r="I4030" t="n">
        <v>0</v>
      </c>
      <c r="J4030" t="n">
        <v>0</v>
      </c>
      <c r="K4030" t="n">
        <v>0</v>
      </c>
      <c r="L4030" t="n">
        <v>0</v>
      </c>
      <c r="M4030" t="n">
        <v>0</v>
      </c>
      <c r="N4030" t="n">
        <v>0</v>
      </c>
      <c r="O4030" t="n">
        <v>0</v>
      </c>
      <c r="P4030" t="n">
        <v>0</v>
      </c>
      <c r="Q4030" t="n">
        <v>0</v>
      </c>
      <c r="R4030" s="2" t="inlineStr"/>
    </row>
    <row r="4031" ht="15" customHeight="1">
      <c r="A4031" t="inlineStr">
        <is>
          <t>A 33225-2021</t>
        </is>
      </c>
      <c r="B4031" s="1" t="n">
        <v>44376</v>
      </c>
      <c r="C4031" s="1" t="n">
        <v>45182</v>
      </c>
      <c r="D4031" t="inlineStr">
        <is>
          <t>JÄMTLANDS LÄN</t>
        </is>
      </c>
      <c r="E4031" t="inlineStr">
        <is>
          <t>STRÖMSUND</t>
        </is>
      </c>
      <c r="G4031" t="n">
        <v>1.7</v>
      </c>
      <c r="H4031" t="n">
        <v>0</v>
      </c>
      <c r="I4031" t="n">
        <v>0</v>
      </c>
      <c r="J4031" t="n">
        <v>0</v>
      </c>
      <c r="K4031" t="n">
        <v>0</v>
      </c>
      <c r="L4031" t="n">
        <v>0</v>
      </c>
      <c r="M4031" t="n">
        <v>0</v>
      </c>
      <c r="N4031" t="n">
        <v>0</v>
      </c>
      <c r="O4031" t="n">
        <v>0</v>
      </c>
      <c r="P4031" t="n">
        <v>0</v>
      </c>
      <c r="Q4031" t="n">
        <v>0</v>
      </c>
      <c r="R4031" s="2" t="inlineStr"/>
    </row>
    <row r="4032" ht="15" customHeight="1">
      <c r="A4032" t="inlineStr">
        <is>
          <t>A 33104-2021</t>
        </is>
      </c>
      <c r="B4032" s="1" t="n">
        <v>44376</v>
      </c>
      <c r="C4032" s="1" t="n">
        <v>45182</v>
      </c>
      <c r="D4032" t="inlineStr">
        <is>
          <t>JÄMTLANDS LÄN</t>
        </is>
      </c>
      <c r="E4032" t="inlineStr">
        <is>
          <t>STRÖMSUND</t>
        </is>
      </c>
      <c r="G4032" t="n">
        <v>6.4</v>
      </c>
      <c r="H4032" t="n">
        <v>0</v>
      </c>
      <c r="I4032" t="n">
        <v>0</v>
      </c>
      <c r="J4032" t="n">
        <v>0</v>
      </c>
      <c r="K4032" t="n">
        <v>0</v>
      </c>
      <c r="L4032" t="n">
        <v>0</v>
      </c>
      <c r="M4032" t="n">
        <v>0</v>
      </c>
      <c r="N4032" t="n">
        <v>0</v>
      </c>
      <c r="O4032" t="n">
        <v>0</v>
      </c>
      <c r="P4032" t="n">
        <v>0</v>
      </c>
      <c r="Q4032" t="n">
        <v>0</v>
      </c>
      <c r="R4032" s="2" t="inlineStr"/>
    </row>
    <row r="4033" ht="15" customHeight="1">
      <c r="A4033" t="inlineStr">
        <is>
          <t>A 33216-2021</t>
        </is>
      </c>
      <c r="B4033" s="1" t="n">
        <v>44376</v>
      </c>
      <c r="C4033" s="1" t="n">
        <v>45182</v>
      </c>
      <c r="D4033" t="inlineStr">
        <is>
          <t>JÄMTLANDS LÄN</t>
        </is>
      </c>
      <c r="E4033" t="inlineStr">
        <is>
          <t>STRÖMSUND</t>
        </is>
      </c>
      <c r="F4033" t="inlineStr">
        <is>
          <t>SCA</t>
        </is>
      </c>
      <c r="G4033" t="n">
        <v>5</v>
      </c>
      <c r="H4033" t="n">
        <v>0</v>
      </c>
      <c r="I4033" t="n">
        <v>0</v>
      </c>
      <c r="J4033" t="n">
        <v>0</v>
      </c>
      <c r="K4033" t="n">
        <v>0</v>
      </c>
      <c r="L4033" t="n">
        <v>0</v>
      </c>
      <c r="M4033" t="n">
        <v>0</v>
      </c>
      <c r="N4033" t="n">
        <v>0</v>
      </c>
      <c r="O4033" t="n">
        <v>0</v>
      </c>
      <c r="P4033" t="n">
        <v>0</v>
      </c>
      <c r="Q4033" t="n">
        <v>0</v>
      </c>
      <c r="R4033" s="2" t="inlineStr"/>
    </row>
    <row r="4034" ht="15" customHeight="1">
      <c r="A4034" t="inlineStr">
        <is>
          <t>A 33802-2021</t>
        </is>
      </c>
      <c r="B4034" s="1" t="n">
        <v>44377</v>
      </c>
      <c r="C4034" s="1" t="n">
        <v>45182</v>
      </c>
      <c r="D4034" t="inlineStr">
        <is>
          <t>JÄMTLANDS LÄN</t>
        </is>
      </c>
      <c r="E4034" t="inlineStr">
        <is>
          <t>KROKOM</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33554-2021</t>
        </is>
      </c>
      <c r="B4035" s="1" t="n">
        <v>44377</v>
      </c>
      <c r="C4035" s="1" t="n">
        <v>45182</v>
      </c>
      <c r="D4035" t="inlineStr">
        <is>
          <t>JÄMTLANDS LÄN</t>
        </is>
      </c>
      <c r="E4035" t="inlineStr">
        <is>
          <t>STRÖMSUND</t>
        </is>
      </c>
      <c r="F4035" t="inlineStr">
        <is>
          <t>SCA</t>
        </is>
      </c>
      <c r="G4035" t="n">
        <v>12.9</v>
      </c>
      <c r="H4035" t="n">
        <v>0</v>
      </c>
      <c r="I4035" t="n">
        <v>0</v>
      </c>
      <c r="J4035" t="n">
        <v>0</v>
      </c>
      <c r="K4035" t="n">
        <v>0</v>
      </c>
      <c r="L4035" t="n">
        <v>0</v>
      </c>
      <c r="M4035" t="n">
        <v>0</v>
      </c>
      <c r="N4035" t="n">
        <v>0</v>
      </c>
      <c r="O4035" t="n">
        <v>0</v>
      </c>
      <c r="P4035" t="n">
        <v>0</v>
      </c>
      <c r="Q4035" t="n">
        <v>0</v>
      </c>
      <c r="R4035" s="2" t="inlineStr"/>
    </row>
    <row r="4036" ht="15" customHeight="1">
      <c r="A4036" t="inlineStr">
        <is>
          <t>A 33333-2021</t>
        </is>
      </c>
      <c r="B4036" s="1" t="n">
        <v>44377</v>
      </c>
      <c r="C4036" s="1" t="n">
        <v>45182</v>
      </c>
      <c r="D4036" t="inlineStr">
        <is>
          <t>JÄMTLANDS LÄN</t>
        </is>
      </c>
      <c r="E4036" t="inlineStr">
        <is>
          <t>KROKOM</t>
        </is>
      </c>
      <c r="F4036" t="inlineStr">
        <is>
          <t>Övriga Aktiebolag</t>
        </is>
      </c>
      <c r="G4036" t="n">
        <v>2.3</v>
      </c>
      <c r="H4036" t="n">
        <v>0</v>
      </c>
      <c r="I4036" t="n">
        <v>0</v>
      </c>
      <c r="J4036" t="n">
        <v>0</v>
      </c>
      <c r="K4036" t="n">
        <v>0</v>
      </c>
      <c r="L4036" t="n">
        <v>0</v>
      </c>
      <c r="M4036" t="n">
        <v>0</v>
      </c>
      <c r="N4036" t="n">
        <v>0</v>
      </c>
      <c r="O4036" t="n">
        <v>0</v>
      </c>
      <c r="P4036" t="n">
        <v>0</v>
      </c>
      <c r="Q4036" t="n">
        <v>0</v>
      </c>
      <c r="R4036" s="2" t="inlineStr"/>
    </row>
    <row r="4037" ht="15" customHeight="1">
      <c r="A4037" t="inlineStr">
        <is>
          <t>A 33538-2021</t>
        </is>
      </c>
      <c r="B4037" s="1" t="n">
        <v>44377</v>
      </c>
      <c r="C4037" s="1" t="n">
        <v>45182</v>
      </c>
      <c r="D4037" t="inlineStr">
        <is>
          <t>JÄMTLANDS LÄN</t>
        </is>
      </c>
      <c r="E4037" t="inlineStr">
        <is>
          <t>BRÄCKE</t>
        </is>
      </c>
      <c r="G4037" t="n">
        <v>6.9</v>
      </c>
      <c r="H4037" t="n">
        <v>0</v>
      </c>
      <c r="I4037" t="n">
        <v>0</v>
      </c>
      <c r="J4037" t="n">
        <v>0</v>
      </c>
      <c r="K4037" t="n">
        <v>0</v>
      </c>
      <c r="L4037" t="n">
        <v>0</v>
      </c>
      <c r="M4037" t="n">
        <v>0</v>
      </c>
      <c r="N4037" t="n">
        <v>0</v>
      </c>
      <c r="O4037" t="n">
        <v>0</v>
      </c>
      <c r="P4037" t="n">
        <v>0</v>
      </c>
      <c r="Q4037" t="n">
        <v>0</v>
      </c>
      <c r="R4037" s="2" t="inlineStr"/>
    </row>
    <row r="4038" ht="15" customHeight="1">
      <c r="A4038" t="inlineStr">
        <is>
          <t>A 33562-2021</t>
        </is>
      </c>
      <c r="B4038" s="1" t="n">
        <v>44377</v>
      </c>
      <c r="C4038" s="1" t="n">
        <v>45182</v>
      </c>
      <c r="D4038" t="inlineStr">
        <is>
          <t>JÄMTLANDS LÄN</t>
        </is>
      </c>
      <c r="E4038" t="inlineStr">
        <is>
          <t>STRÖMSUND</t>
        </is>
      </c>
      <c r="F4038" t="inlineStr">
        <is>
          <t>SCA</t>
        </is>
      </c>
      <c r="G4038" t="n">
        <v>10.5</v>
      </c>
      <c r="H4038" t="n">
        <v>0</v>
      </c>
      <c r="I4038" t="n">
        <v>0</v>
      </c>
      <c r="J4038" t="n">
        <v>0</v>
      </c>
      <c r="K4038" t="n">
        <v>0</v>
      </c>
      <c r="L4038" t="n">
        <v>0</v>
      </c>
      <c r="M4038" t="n">
        <v>0</v>
      </c>
      <c r="N4038" t="n">
        <v>0</v>
      </c>
      <c r="O4038" t="n">
        <v>0</v>
      </c>
      <c r="P4038" t="n">
        <v>0</v>
      </c>
      <c r="Q4038" t="n">
        <v>0</v>
      </c>
      <c r="R4038" s="2" t="inlineStr"/>
    </row>
    <row r="4039" ht="15" customHeight="1">
      <c r="A4039" t="inlineStr">
        <is>
          <t>A 33347-2021</t>
        </is>
      </c>
      <c r="B4039" s="1" t="n">
        <v>44377</v>
      </c>
      <c r="C4039" s="1" t="n">
        <v>45182</v>
      </c>
      <c r="D4039" t="inlineStr">
        <is>
          <t>JÄMTLANDS LÄN</t>
        </is>
      </c>
      <c r="E4039" t="inlineStr">
        <is>
          <t>KROKOM</t>
        </is>
      </c>
      <c r="F4039" t="inlineStr">
        <is>
          <t>Övriga Aktiebolag</t>
        </is>
      </c>
      <c r="G4039" t="n">
        <v>4.9</v>
      </c>
      <c r="H4039" t="n">
        <v>0</v>
      </c>
      <c r="I4039" t="n">
        <v>0</v>
      </c>
      <c r="J4039" t="n">
        <v>0</v>
      </c>
      <c r="K4039" t="n">
        <v>0</v>
      </c>
      <c r="L4039" t="n">
        <v>0</v>
      </c>
      <c r="M4039" t="n">
        <v>0</v>
      </c>
      <c r="N4039" t="n">
        <v>0</v>
      </c>
      <c r="O4039" t="n">
        <v>0</v>
      </c>
      <c r="P4039" t="n">
        <v>0</v>
      </c>
      <c r="Q4039" t="n">
        <v>0</v>
      </c>
      <c r="R4039" s="2" t="inlineStr"/>
    </row>
    <row r="4040" ht="15" customHeight="1">
      <c r="A4040" t="inlineStr">
        <is>
          <t>A 33424-2021</t>
        </is>
      </c>
      <c r="B4040" s="1" t="n">
        <v>44377</v>
      </c>
      <c r="C4040" s="1" t="n">
        <v>45182</v>
      </c>
      <c r="D4040" t="inlineStr">
        <is>
          <t>JÄMTLANDS LÄN</t>
        </is>
      </c>
      <c r="E4040" t="inlineStr">
        <is>
          <t>HÄRJEDALEN</t>
        </is>
      </c>
      <c r="G4040" t="n">
        <v>2.5</v>
      </c>
      <c r="H4040" t="n">
        <v>0</v>
      </c>
      <c r="I4040" t="n">
        <v>0</v>
      </c>
      <c r="J4040" t="n">
        <v>0</v>
      </c>
      <c r="K4040" t="n">
        <v>0</v>
      </c>
      <c r="L4040" t="n">
        <v>0</v>
      </c>
      <c r="M4040" t="n">
        <v>0</v>
      </c>
      <c r="N4040" t="n">
        <v>0</v>
      </c>
      <c r="O4040" t="n">
        <v>0</v>
      </c>
      <c r="P4040" t="n">
        <v>0</v>
      </c>
      <c r="Q4040" t="n">
        <v>0</v>
      </c>
      <c r="R4040" s="2" t="inlineStr"/>
    </row>
    <row r="4041" ht="15" customHeight="1">
      <c r="A4041" t="inlineStr">
        <is>
          <t>A 33549-2021</t>
        </is>
      </c>
      <c r="B4041" s="1" t="n">
        <v>44377</v>
      </c>
      <c r="C4041" s="1" t="n">
        <v>45182</v>
      </c>
      <c r="D4041" t="inlineStr">
        <is>
          <t>JÄMTLANDS LÄN</t>
        </is>
      </c>
      <c r="E4041" t="inlineStr">
        <is>
          <t>STRÖMSUND</t>
        </is>
      </c>
      <c r="F4041" t="inlineStr">
        <is>
          <t>SCA</t>
        </is>
      </c>
      <c r="G4041" t="n">
        <v>8</v>
      </c>
      <c r="H4041" t="n">
        <v>0</v>
      </c>
      <c r="I4041" t="n">
        <v>0</v>
      </c>
      <c r="J4041" t="n">
        <v>0</v>
      </c>
      <c r="K4041" t="n">
        <v>0</v>
      </c>
      <c r="L4041" t="n">
        <v>0</v>
      </c>
      <c r="M4041" t="n">
        <v>0</v>
      </c>
      <c r="N4041" t="n">
        <v>0</v>
      </c>
      <c r="O4041" t="n">
        <v>0</v>
      </c>
      <c r="P4041" t="n">
        <v>0</v>
      </c>
      <c r="Q4041" t="n">
        <v>0</v>
      </c>
      <c r="R4041" s="2" t="inlineStr"/>
    </row>
    <row r="4042" ht="15" customHeight="1">
      <c r="A4042" t="inlineStr">
        <is>
          <t>A 33831-2021</t>
        </is>
      </c>
      <c r="B4042" s="1" t="n">
        <v>44378</v>
      </c>
      <c r="C4042" s="1" t="n">
        <v>45182</v>
      </c>
      <c r="D4042" t="inlineStr">
        <is>
          <t>JÄMTLANDS LÄN</t>
        </is>
      </c>
      <c r="E4042" t="inlineStr">
        <is>
          <t>ÖSTERSUND</t>
        </is>
      </c>
      <c r="G4042" t="n">
        <v>2.5</v>
      </c>
      <c r="H4042" t="n">
        <v>0</v>
      </c>
      <c r="I4042" t="n">
        <v>0</v>
      </c>
      <c r="J4042" t="n">
        <v>0</v>
      </c>
      <c r="K4042" t="n">
        <v>0</v>
      </c>
      <c r="L4042" t="n">
        <v>0</v>
      </c>
      <c r="M4042" t="n">
        <v>0</v>
      </c>
      <c r="N4042" t="n">
        <v>0</v>
      </c>
      <c r="O4042" t="n">
        <v>0</v>
      </c>
      <c r="P4042" t="n">
        <v>0</v>
      </c>
      <c r="Q4042" t="n">
        <v>0</v>
      </c>
      <c r="R4042" s="2" t="inlineStr"/>
    </row>
    <row r="4043" ht="15" customHeight="1">
      <c r="A4043" t="inlineStr">
        <is>
          <t>A 34409-2021</t>
        </is>
      </c>
      <c r="B4043" s="1" t="n">
        <v>44379</v>
      </c>
      <c r="C4043" s="1" t="n">
        <v>45182</v>
      </c>
      <c r="D4043" t="inlineStr">
        <is>
          <t>JÄMTLANDS LÄN</t>
        </is>
      </c>
      <c r="E4043" t="inlineStr">
        <is>
          <t>BRÄCKE</t>
        </is>
      </c>
      <c r="F4043" t="inlineStr">
        <is>
          <t>SCA</t>
        </is>
      </c>
      <c r="G4043" t="n">
        <v>8.300000000000001</v>
      </c>
      <c r="H4043" t="n">
        <v>0</v>
      </c>
      <c r="I4043" t="n">
        <v>0</v>
      </c>
      <c r="J4043" t="n">
        <v>0</v>
      </c>
      <c r="K4043" t="n">
        <v>0</v>
      </c>
      <c r="L4043" t="n">
        <v>0</v>
      </c>
      <c r="M4043" t="n">
        <v>0</v>
      </c>
      <c r="N4043" t="n">
        <v>0</v>
      </c>
      <c r="O4043" t="n">
        <v>0</v>
      </c>
      <c r="P4043" t="n">
        <v>0</v>
      </c>
      <c r="Q4043" t="n">
        <v>0</v>
      </c>
      <c r="R4043" s="2" t="inlineStr"/>
    </row>
    <row r="4044" ht="15" customHeight="1">
      <c r="A4044" t="inlineStr">
        <is>
          <t>A 34279-2021</t>
        </is>
      </c>
      <c r="B4044" s="1" t="n">
        <v>44379</v>
      </c>
      <c r="C4044" s="1" t="n">
        <v>45182</v>
      </c>
      <c r="D4044" t="inlineStr">
        <is>
          <t>JÄMTLANDS LÄN</t>
        </is>
      </c>
      <c r="E4044" t="inlineStr">
        <is>
          <t>KROKOM</t>
        </is>
      </c>
      <c r="G4044" t="n">
        <v>8.800000000000001</v>
      </c>
      <c r="H4044" t="n">
        <v>0</v>
      </c>
      <c r="I4044" t="n">
        <v>0</v>
      </c>
      <c r="J4044" t="n">
        <v>0</v>
      </c>
      <c r="K4044" t="n">
        <v>0</v>
      </c>
      <c r="L4044" t="n">
        <v>0</v>
      </c>
      <c r="M4044" t="n">
        <v>0</v>
      </c>
      <c r="N4044" t="n">
        <v>0</v>
      </c>
      <c r="O4044" t="n">
        <v>0</v>
      </c>
      <c r="P4044" t="n">
        <v>0</v>
      </c>
      <c r="Q4044" t="n">
        <v>0</v>
      </c>
      <c r="R4044" s="2" t="inlineStr"/>
    </row>
    <row r="4045" ht="15" customHeight="1">
      <c r="A4045" t="inlineStr">
        <is>
          <t>A 34357-2021</t>
        </is>
      </c>
      <c r="B4045" s="1" t="n">
        <v>44379</v>
      </c>
      <c r="C4045" s="1" t="n">
        <v>45182</v>
      </c>
      <c r="D4045" t="inlineStr">
        <is>
          <t>JÄMTLANDS LÄN</t>
        </is>
      </c>
      <c r="E4045" t="inlineStr">
        <is>
          <t>ÅRE</t>
        </is>
      </c>
      <c r="G4045" t="n">
        <v>7.1</v>
      </c>
      <c r="H4045" t="n">
        <v>0</v>
      </c>
      <c r="I4045" t="n">
        <v>0</v>
      </c>
      <c r="J4045" t="n">
        <v>0</v>
      </c>
      <c r="K4045" t="n">
        <v>0</v>
      </c>
      <c r="L4045" t="n">
        <v>0</v>
      </c>
      <c r="M4045" t="n">
        <v>0</v>
      </c>
      <c r="N4045" t="n">
        <v>0</v>
      </c>
      <c r="O4045" t="n">
        <v>0</v>
      </c>
      <c r="P4045" t="n">
        <v>0</v>
      </c>
      <c r="Q4045" t="n">
        <v>0</v>
      </c>
      <c r="R4045" s="2" t="inlineStr"/>
    </row>
    <row r="4046" ht="15" customHeight="1">
      <c r="A4046" t="inlineStr">
        <is>
          <t>A 34348-2021</t>
        </is>
      </c>
      <c r="B4046" s="1" t="n">
        <v>44379</v>
      </c>
      <c r="C4046" s="1" t="n">
        <v>45182</v>
      </c>
      <c r="D4046" t="inlineStr">
        <is>
          <t>JÄMTLANDS LÄN</t>
        </is>
      </c>
      <c r="E4046" t="inlineStr">
        <is>
          <t>RAGUNDA</t>
        </is>
      </c>
      <c r="G4046" t="n">
        <v>8.1</v>
      </c>
      <c r="H4046" t="n">
        <v>0</v>
      </c>
      <c r="I4046" t="n">
        <v>0</v>
      </c>
      <c r="J4046" t="n">
        <v>0</v>
      </c>
      <c r="K4046" t="n">
        <v>0</v>
      </c>
      <c r="L4046" t="n">
        <v>0</v>
      </c>
      <c r="M4046" t="n">
        <v>0</v>
      </c>
      <c r="N4046" t="n">
        <v>0</v>
      </c>
      <c r="O4046" t="n">
        <v>0</v>
      </c>
      <c r="P4046" t="n">
        <v>0</v>
      </c>
      <c r="Q4046" t="n">
        <v>0</v>
      </c>
      <c r="R4046" s="2" t="inlineStr"/>
    </row>
    <row r="4047" ht="15" customHeight="1">
      <c r="A4047" t="inlineStr">
        <is>
          <t>A 34453-2021</t>
        </is>
      </c>
      <c r="B4047" s="1" t="n">
        <v>44381</v>
      </c>
      <c r="C4047" s="1" t="n">
        <v>45182</v>
      </c>
      <c r="D4047" t="inlineStr">
        <is>
          <t>JÄMTLANDS LÄN</t>
        </is>
      </c>
      <c r="E4047" t="inlineStr">
        <is>
          <t>HÄRJEDALEN</t>
        </is>
      </c>
      <c r="G4047" t="n">
        <v>12.7</v>
      </c>
      <c r="H4047" t="n">
        <v>0</v>
      </c>
      <c r="I4047" t="n">
        <v>0</v>
      </c>
      <c r="J4047" t="n">
        <v>0</v>
      </c>
      <c r="K4047" t="n">
        <v>0</v>
      </c>
      <c r="L4047" t="n">
        <v>0</v>
      </c>
      <c r="M4047" t="n">
        <v>0</v>
      </c>
      <c r="N4047" t="n">
        <v>0</v>
      </c>
      <c r="O4047" t="n">
        <v>0</v>
      </c>
      <c r="P4047" t="n">
        <v>0</v>
      </c>
      <c r="Q4047" t="n">
        <v>0</v>
      </c>
      <c r="R4047" s="2" t="inlineStr"/>
    </row>
    <row r="4048" ht="15" customHeight="1">
      <c r="A4048" t="inlineStr">
        <is>
          <t>A 34459-2021</t>
        </is>
      </c>
      <c r="B4048" s="1" t="n">
        <v>44381</v>
      </c>
      <c r="C4048" s="1" t="n">
        <v>45182</v>
      </c>
      <c r="D4048" t="inlineStr">
        <is>
          <t>JÄMTLANDS LÄN</t>
        </is>
      </c>
      <c r="E4048" t="inlineStr">
        <is>
          <t>KROKOM</t>
        </is>
      </c>
      <c r="G4048" t="n">
        <v>0.9</v>
      </c>
      <c r="H4048" t="n">
        <v>0</v>
      </c>
      <c r="I4048" t="n">
        <v>0</v>
      </c>
      <c r="J4048" t="n">
        <v>0</v>
      </c>
      <c r="K4048" t="n">
        <v>0</v>
      </c>
      <c r="L4048" t="n">
        <v>0</v>
      </c>
      <c r="M4048" t="n">
        <v>0</v>
      </c>
      <c r="N4048" t="n">
        <v>0</v>
      </c>
      <c r="O4048" t="n">
        <v>0</v>
      </c>
      <c r="P4048" t="n">
        <v>0</v>
      </c>
      <c r="Q4048" t="n">
        <v>0</v>
      </c>
      <c r="R4048" s="2" t="inlineStr"/>
    </row>
    <row r="4049" ht="15" customHeight="1">
      <c r="A4049" t="inlineStr">
        <is>
          <t>A 34873-2021</t>
        </is>
      </c>
      <c r="B4049" s="1" t="n">
        <v>44382</v>
      </c>
      <c r="C4049" s="1" t="n">
        <v>45182</v>
      </c>
      <c r="D4049" t="inlineStr">
        <is>
          <t>JÄMTLANDS LÄN</t>
        </is>
      </c>
      <c r="E4049" t="inlineStr">
        <is>
          <t>BRÄCKE</t>
        </is>
      </c>
      <c r="G4049" t="n">
        <v>2</v>
      </c>
      <c r="H4049" t="n">
        <v>0</v>
      </c>
      <c r="I4049" t="n">
        <v>0</v>
      </c>
      <c r="J4049" t="n">
        <v>0</v>
      </c>
      <c r="K4049" t="n">
        <v>0</v>
      </c>
      <c r="L4049" t="n">
        <v>0</v>
      </c>
      <c r="M4049" t="n">
        <v>0</v>
      </c>
      <c r="N4049" t="n">
        <v>0</v>
      </c>
      <c r="O4049" t="n">
        <v>0</v>
      </c>
      <c r="P4049" t="n">
        <v>0</v>
      </c>
      <c r="Q4049" t="n">
        <v>0</v>
      </c>
      <c r="R4049" s="2" t="inlineStr"/>
    </row>
    <row r="4050" ht="15" customHeight="1">
      <c r="A4050" t="inlineStr">
        <is>
          <t>A 35064-2021</t>
        </is>
      </c>
      <c r="B4050" s="1" t="n">
        <v>44383</v>
      </c>
      <c r="C4050" s="1" t="n">
        <v>45182</v>
      </c>
      <c r="D4050" t="inlineStr">
        <is>
          <t>JÄMTLANDS LÄN</t>
        </is>
      </c>
      <c r="E4050" t="inlineStr">
        <is>
          <t>STRÖMSUND</t>
        </is>
      </c>
      <c r="F4050" t="inlineStr">
        <is>
          <t>SCA</t>
        </is>
      </c>
      <c r="G4050" t="n">
        <v>2.4</v>
      </c>
      <c r="H4050" t="n">
        <v>0</v>
      </c>
      <c r="I4050" t="n">
        <v>0</v>
      </c>
      <c r="J4050" t="n">
        <v>0</v>
      </c>
      <c r="K4050" t="n">
        <v>0</v>
      </c>
      <c r="L4050" t="n">
        <v>0</v>
      </c>
      <c r="M4050" t="n">
        <v>0</v>
      </c>
      <c r="N4050" t="n">
        <v>0</v>
      </c>
      <c r="O4050" t="n">
        <v>0</v>
      </c>
      <c r="P4050" t="n">
        <v>0</v>
      </c>
      <c r="Q4050" t="n">
        <v>0</v>
      </c>
      <c r="R4050" s="2" t="inlineStr"/>
    </row>
    <row r="4051" ht="15" customHeight="1">
      <c r="A4051" t="inlineStr">
        <is>
          <t>A 35061-2021</t>
        </is>
      </c>
      <c r="B4051" s="1" t="n">
        <v>44383</v>
      </c>
      <c r="C4051" s="1" t="n">
        <v>45182</v>
      </c>
      <c r="D4051" t="inlineStr">
        <is>
          <t>JÄMTLANDS LÄN</t>
        </is>
      </c>
      <c r="E4051" t="inlineStr">
        <is>
          <t>STRÖMSUND</t>
        </is>
      </c>
      <c r="F4051" t="inlineStr">
        <is>
          <t>SCA</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35308-2021</t>
        </is>
      </c>
      <c r="B4052" s="1" t="n">
        <v>44384</v>
      </c>
      <c r="C4052" s="1" t="n">
        <v>45182</v>
      </c>
      <c r="D4052" t="inlineStr">
        <is>
          <t>JÄMTLANDS LÄN</t>
        </is>
      </c>
      <c r="E4052" t="inlineStr">
        <is>
          <t>BERG</t>
        </is>
      </c>
      <c r="G4052" t="n">
        <v>2.9</v>
      </c>
      <c r="H4052" t="n">
        <v>0</v>
      </c>
      <c r="I4052" t="n">
        <v>0</v>
      </c>
      <c r="J4052" t="n">
        <v>0</v>
      </c>
      <c r="K4052" t="n">
        <v>0</v>
      </c>
      <c r="L4052" t="n">
        <v>0</v>
      </c>
      <c r="M4052" t="n">
        <v>0</v>
      </c>
      <c r="N4052" t="n">
        <v>0</v>
      </c>
      <c r="O4052" t="n">
        <v>0</v>
      </c>
      <c r="P4052" t="n">
        <v>0</v>
      </c>
      <c r="Q4052" t="n">
        <v>0</v>
      </c>
      <c r="R4052" s="2" t="inlineStr"/>
      <c r="U4052">
        <f>HYPERLINK("https://klasma.github.io/Logging_BERG/knärot/A 35308-2021.png")</f>
        <v/>
      </c>
      <c r="V4052">
        <f>HYPERLINK("https://klasma.github.io/Logging_BERG/klagomål/A 35308-2021.docx")</f>
        <v/>
      </c>
      <c r="W4052">
        <f>HYPERLINK("https://klasma.github.io/Logging_BERG/klagomålsmail/A 35308-2021.docx")</f>
        <v/>
      </c>
      <c r="X4052">
        <f>HYPERLINK("https://klasma.github.io/Logging_BERG/tillsyn/A 35308-2021.docx")</f>
        <v/>
      </c>
      <c r="Y4052">
        <f>HYPERLINK("https://klasma.github.io/Logging_BERG/tillsynsmail/A 35308-2021.docx")</f>
        <v/>
      </c>
    </row>
    <row r="4053" ht="15" customHeight="1">
      <c r="A4053" t="inlineStr">
        <is>
          <t>A 35194-2021</t>
        </is>
      </c>
      <c r="B4053" s="1" t="n">
        <v>44384</v>
      </c>
      <c r="C4053" s="1" t="n">
        <v>45182</v>
      </c>
      <c r="D4053" t="inlineStr">
        <is>
          <t>JÄMTLANDS LÄN</t>
        </is>
      </c>
      <c r="E4053" t="inlineStr">
        <is>
          <t>HÄRJEDALEN</t>
        </is>
      </c>
      <c r="G4053" t="n">
        <v>46.4</v>
      </c>
      <c r="H4053" t="n">
        <v>0</v>
      </c>
      <c r="I4053" t="n">
        <v>0</v>
      </c>
      <c r="J4053" t="n">
        <v>0</v>
      </c>
      <c r="K4053" t="n">
        <v>0</v>
      </c>
      <c r="L4053" t="n">
        <v>0</v>
      </c>
      <c r="M4053" t="n">
        <v>0</v>
      </c>
      <c r="N4053" t="n">
        <v>0</v>
      </c>
      <c r="O4053" t="n">
        <v>0</v>
      </c>
      <c r="P4053" t="n">
        <v>0</v>
      </c>
      <c r="Q4053" t="n">
        <v>0</v>
      </c>
      <c r="R4053" s="2" t="inlineStr"/>
    </row>
    <row r="4054" ht="15" customHeight="1">
      <c r="A4054" t="inlineStr">
        <is>
          <t>A 35352-2021</t>
        </is>
      </c>
      <c r="B4054" s="1" t="n">
        <v>44384</v>
      </c>
      <c r="C4054" s="1" t="n">
        <v>45182</v>
      </c>
      <c r="D4054" t="inlineStr">
        <is>
          <t>JÄMTLANDS LÄN</t>
        </is>
      </c>
      <c r="E4054" t="inlineStr">
        <is>
          <t>STRÖMSUND</t>
        </is>
      </c>
      <c r="F4054" t="inlineStr">
        <is>
          <t>SCA</t>
        </is>
      </c>
      <c r="G4054" t="n">
        <v>2.5</v>
      </c>
      <c r="H4054" t="n">
        <v>0</v>
      </c>
      <c r="I4054" t="n">
        <v>0</v>
      </c>
      <c r="J4054" t="n">
        <v>0</v>
      </c>
      <c r="K4054" t="n">
        <v>0</v>
      </c>
      <c r="L4054" t="n">
        <v>0</v>
      </c>
      <c r="M4054" t="n">
        <v>0</v>
      </c>
      <c r="N4054" t="n">
        <v>0</v>
      </c>
      <c r="O4054" t="n">
        <v>0</v>
      </c>
      <c r="P4054" t="n">
        <v>0</v>
      </c>
      <c r="Q4054" t="n">
        <v>0</v>
      </c>
      <c r="R4054" s="2" t="inlineStr"/>
    </row>
    <row r="4055" ht="15" customHeight="1">
      <c r="A4055" t="inlineStr">
        <is>
          <t>A 35537-2021</t>
        </is>
      </c>
      <c r="B4055" s="1" t="n">
        <v>44384</v>
      </c>
      <c r="C4055" s="1" t="n">
        <v>45182</v>
      </c>
      <c r="D4055" t="inlineStr">
        <is>
          <t>JÄMTLANDS LÄN</t>
        </is>
      </c>
      <c r="E4055" t="inlineStr">
        <is>
          <t>RAGUNDA</t>
        </is>
      </c>
      <c r="G4055" t="n">
        <v>3.1</v>
      </c>
      <c r="H4055" t="n">
        <v>0</v>
      </c>
      <c r="I4055" t="n">
        <v>0</v>
      </c>
      <c r="J4055" t="n">
        <v>0</v>
      </c>
      <c r="K4055" t="n">
        <v>0</v>
      </c>
      <c r="L4055" t="n">
        <v>0</v>
      </c>
      <c r="M4055" t="n">
        <v>0</v>
      </c>
      <c r="N4055" t="n">
        <v>0</v>
      </c>
      <c r="O4055" t="n">
        <v>0</v>
      </c>
      <c r="P4055" t="n">
        <v>0</v>
      </c>
      <c r="Q4055" t="n">
        <v>0</v>
      </c>
      <c r="R4055" s="2" t="inlineStr"/>
    </row>
    <row r="4056" ht="15" customHeight="1">
      <c r="A4056" t="inlineStr">
        <is>
          <t>A 35532-2021</t>
        </is>
      </c>
      <c r="B4056" s="1" t="n">
        <v>44385</v>
      </c>
      <c r="C4056" s="1" t="n">
        <v>45182</v>
      </c>
      <c r="D4056" t="inlineStr">
        <is>
          <t>JÄMTLANDS LÄN</t>
        </is>
      </c>
      <c r="E4056" t="inlineStr">
        <is>
          <t>HÄRJEDALEN</t>
        </is>
      </c>
      <c r="G4056" t="n">
        <v>4.3</v>
      </c>
      <c r="H4056" t="n">
        <v>0</v>
      </c>
      <c r="I4056" t="n">
        <v>0</v>
      </c>
      <c r="J4056" t="n">
        <v>0</v>
      </c>
      <c r="K4056" t="n">
        <v>0</v>
      </c>
      <c r="L4056" t="n">
        <v>0</v>
      </c>
      <c r="M4056" t="n">
        <v>0</v>
      </c>
      <c r="N4056" t="n">
        <v>0</v>
      </c>
      <c r="O4056" t="n">
        <v>0</v>
      </c>
      <c r="P4056" t="n">
        <v>0</v>
      </c>
      <c r="Q4056" t="n">
        <v>0</v>
      </c>
      <c r="R4056" s="2" t="inlineStr"/>
    </row>
    <row r="4057" ht="15" customHeight="1">
      <c r="A4057" t="inlineStr">
        <is>
          <t>A 35988-2021</t>
        </is>
      </c>
      <c r="B4057" s="1" t="n">
        <v>44385</v>
      </c>
      <c r="C4057" s="1" t="n">
        <v>45182</v>
      </c>
      <c r="D4057" t="inlineStr">
        <is>
          <t>JÄMTLANDS LÄN</t>
        </is>
      </c>
      <c r="E4057" t="inlineStr">
        <is>
          <t>RAGUNDA</t>
        </is>
      </c>
      <c r="G4057" t="n">
        <v>4.1</v>
      </c>
      <c r="H4057" t="n">
        <v>0</v>
      </c>
      <c r="I4057" t="n">
        <v>0</v>
      </c>
      <c r="J4057" t="n">
        <v>0</v>
      </c>
      <c r="K4057" t="n">
        <v>0</v>
      </c>
      <c r="L4057" t="n">
        <v>0</v>
      </c>
      <c r="M4057" t="n">
        <v>0</v>
      </c>
      <c r="N4057" t="n">
        <v>0</v>
      </c>
      <c r="O4057" t="n">
        <v>0</v>
      </c>
      <c r="P4057" t="n">
        <v>0</v>
      </c>
      <c r="Q4057" t="n">
        <v>0</v>
      </c>
      <c r="R4057" s="2" t="inlineStr"/>
    </row>
    <row r="4058" ht="15" customHeight="1">
      <c r="A4058" t="inlineStr">
        <is>
          <t>A 35755-2021</t>
        </is>
      </c>
      <c r="B4058" s="1" t="n">
        <v>44385</v>
      </c>
      <c r="C4058" s="1" t="n">
        <v>45182</v>
      </c>
      <c r="D4058" t="inlineStr">
        <is>
          <t>JÄMTLANDS LÄN</t>
        </is>
      </c>
      <c r="E4058" t="inlineStr">
        <is>
          <t>ÖSTERSUND</t>
        </is>
      </c>
      <c r="G4058" t="n">
        <v>0.5</v>
      </c>
      <c r="H4058" t="n">
        <v>0</v>
      </c>
      <c r="I4058" t="n">
        <v>0</v>
      </c>
      <c r="J4058" t="n">
        <v>0</v>
      </c>
      <c r="K4058" t="n">
        <v>0</v>
      </c>
      <c r="L4058" t="n">
        <v>0</v>
      </c>
      <c r="M4058" t="n">
        <v>0</v>
      </c>
      <c r="N4058" t="n">
        <v>0</v>
      </c>
      <c r="O4058" t="n">
        <v>0</v>
      </c>
      <c r="P4058" t="n">
        <v>0</v>
      </c>
      <c r="Q4058" t="n">
        <v>0</v>
      </c>
      <c r="R4058" s="2" t="inlineStr"/>
    </row>
    <row r="4059" ht="15" customHeight="1">
      <c r="A4059" t="inlineStr">
        <is>
          <t>A 36079-2021</t>
        </is>
      </c>
      <c r="B4059" s="1" t="n">
        <v>44389</v>
      </c>
      <c r="C4059" s="1" t="n">
        <v>45182</v>
      </c>
      <c r="D4059" t="inlineStr">
        <is>
          <t>JÄMTLANDS LÄN</t>
        </is>
      </c>
      <c r="E4059" t="inlineStr">
        <is>
          <t>KROKOM</t>
        </is>
      </c>
      <c r="F4059" t="inlineStr">
        <is>
          <t>Övriga Aktiebolag</t>
        </is>
      </c>
      <c r="G4059" t="n">
        <v>17</v>
      </c>
      <c r="H4059" t="n">
        <v>0</v>
      </c>
      <c r="I4059" t="n">
        <v>0</v>
      </c>
      <c r="J4059" t="n">
        <v>0</v>
      </c>
      <c r="K4059" t="n">
        <v>0</v>
      </c>
      <c r="L4059" t="n">
        <v>0</v>
      </c>
      <c r="M4059" t="n">
        <v>0</v>
      </c>
      <c r="N4059" t="n">
        <v>0</v>
      </c>
      <c r="O4059" t="n">
        <v>0</v>
      </c>
      <c r="P4059" t="n">
        <v>0</v>
      </c>
      <c r="Q4059" t="n">
        <v>0</v>
      </c>
      <c r="R4059" s="2" t="inlineStr"/>
    </row>
    <row r="4060" ht="15" customHeight="1">
      <c r="A4060" t="inlineStr">
        <is>
          <t>A 36235-2021</t>
        </is>
      </c>
      <c r="B4060" s="1" t="n">
        <v>44389</v>
      </c>
      <c r="C4060" s="1" t="n">
        <v>45182</v>
      </c>
      <c r="D4060" t="inlineStr">
        <is>
          <t>JÄMTLANDS LÄN</t>
        </is>
      </c>
      <c r="E4060" t="inlineStr">
        <is>
          <t>HÄRJEDALEN</t>
        </is>
      </c>
      <c r="F4060" t="inlineStr">
        <is>
          <t>SCA</t>
        </is>
      </c>
      <c r="G4060" t="n">
        <v>4.4</v>
      </c>
      <c r="H4060" t="n">
        <v>0</v>
      </c>
      <c r="I4060" t="n">
        <v>0</v>
      </c>
      <c r="J4060" t="n">
        <v>0</v>
      </c>
      <c r="K4060" t="n">
        <v>0</v>
      </c>
      <c r="L4060" t="n">
        <v>0</v>
      </c>
      <c r="M4060" t="n">
        <v>0</v>
      </c>
      <c r="N4060" t="n">
        <v>0</v>
      </c>
      <c r="O4060" t="n">
        <v>0</v>
      </c>
      <c r="P4060" t="n">
        <v>0</v>
      </c>
      <c r="Q4060" t="n">
        <v>0</v>
      </c>
      <c r="R4060" s="2" t="inlineStr"/>
    </row>
    <row r="4061" ht="15" customHeight="1">
      <c r="A4061" t="inlineStr">
        <is>
          <t>A 36248-2021</t>
        </is>
      </c>
      <c r="B4061" s="1" t="n">
        <v>44389</v>
      </c>
      <c r="C4061" s="1" t="n">
        <v>45182</v>
      </c>
      <c r="D4061" t="inlineStr">
        <is>
          <t>JÄMTLANDS LÄN</t>
        </is>
      </c>
      <c r="E4061" t="inlineStr">
        <is>
          <t>KROKOM</t>
        </is>
      </c>
      <c r="G4061" t="n">
        <v>17.1</v>
      </c>
      <c r="H4061" t="n">
        <v>0</v>
      </c>
      <c r="I4061" t="n">
        <v>0</v>
      </c>
      <c r="J4061" t="n">
        <v>0</v>
      </c>
      <c r="K4061" t="n">
        <v>0</v>
      </c>
      <c r="L4061" t="n">
        <v>0</v>
      </c>
      <c r="M4061" t="n">
        <v>0</v>
      </c>
      <c r="N4061" t="n">
        <v>0</v>
      </c>
      <c r="O4061" t="n">
        <v>0</v>
      </c>
      <c r="P4061" t="n">
        <v>0</v>
      </c>
      <c r="Q4061" t="n">
        <v>0</v>
      </c>
      <c r="R4061" s="2" t="inlineStr"/>
    </row>
    <row r="4062" ht="15" customHeight="1">
      <c r="A4062" t="inlineStr">
        <is>
          <t>A 36031-2021</t>
        </is>
      </c>
      <c r="B4062" s="1" t="n">
        <v>44389</v>
      </c>
      <c r="C4062" s="1" t="n">
        <v>45182</v>
      </c>
      <c r="D4062" t="inlineStr">
        <is>
          <t>JÄMTLANDS LÄN</t>
        </is>
      </c>
      <c r="E4062" t="inlineStr">
        <is>
          <t>BERG</t>
        </is>
      </c>
      <c r="G4062" t="n">
        <v>0.8</v>
      </c>
      <c r="H4062" t="n">
        <v>0</v>
      </c>
      <c r="I4062" t="n">
        <v>0</v>
      </c>
      <c r="J4062" t="n">
        <v>0</v>
      </c>
      <c r="K4062" t="n">
        <v>0</v>
      </c>
      <c r="L4062" t="n">
        <v>0</v>
      </c>
      <c r="M4062" t="n">
        <v>0</v>
      </c>
      <c r="N4062" t="n">
        <v>0</v>
      </c>
      <c r="O4062" t="n">
        <v>0</v>
      </c>
      <c r="P4062" t="n">
        <v>0</v>
      </c>
      <c r="Q4062" t="n">
        <v>0</v>
      </c>
      <c r="R4062" s="2" t="inlineStr"/>
    </row>
    <row r="4063" ht="15" customHeight="1">
      <c r="A4063" t="inlineStr">
        <is>
          <t>A 36491-2021</t>
        </is>
      </c>
      <c r="B4063" s="1" t="n">
        <v>44390</v>
      </c>
      <c r="C4063" s="1" t="n">
        <v>45182</v>
      </c>
      <c r="D4063" t="inlineStr">
        <is>
          <t>JÄMTLANDS LÄN</t>
        </is>
      </c>
      <c r="E4063" t="inlineStr">
        <is>
          <t>KROKOM</t>
        </is>
      </c>
      <c r="G4063" t="n">
        <v>5.4</v>
      </c>
      <c r="H4063" t="n">
        <v>0</v>
      </c>
      <c r="I4063" t="n">
        <v>0</v>
      </c>
      <c r="J4063" t="n">
        <v>0</v>
      </c>
      <c r="K4063" t="n">
        <v>0</v>
      </c>
      <c r="L4063" t="n">
        <v>0</v>
      </c>
      <c r="M4063" t="n">
        <v>0</v>
      </c>
      <c r="N4063" t="n">
        <v>0</v>
      </c>
      <c r="O4063" t="n">
        <v>0</v>
      </c>
      <c r="P4063" t="n">
        <v>0</v>
      </c>
      <c r="Q4063" t="n">
        <v>0</v>
      </c>
      <c r="R4063" s="2" t="inlineStr"/>
    </row>
    <row r="4064" ht="15" customHeight="1">
      <c r="A4064" t="inlineStr">
        <is>
          <t>A 36567-2021</t>
        </is>
      </c>
      <c r="B4064" s="1" t="n">
        <v>44391</v>
      </c>
      <c r="C4064" s="1" t="n">
        <v>45182</v>
      </c>
      <c r="D4064" t="inlineStr">
        <is>
          <t>JÄMTLANDS LÄN</t>
        </is>
      </c>
      <c r="E4064" t="inlineStr">
        <is>
          <t>KROKOM</t>
        </is>
      </c>
      <c r="G4064" t="n">
        <v>3.5</v>
      </c>
      <c r="H4064" t="n">
        <v>0</v>
      </c>
      <c r="I4064" t="n">
        <v>0</v>
      </c>
      <c r="J4064" t="n">
        <v>0</v>
      </c>
      <c r="K4064" t="n">
        <v>0</v>
      </c>
      <c r="L4064" t="n">
        <v>0</v>
      </c>
      <c r="M4064" t="n">
        <v>0</v>
      </c>
      <c r="N4064" t="n">
        <v>0</v>
      </c>
      <c r="O4064" t="n">
        <v>0</v>
      </c>
      <c r="P4064" t="n">
        <v>0</v>
      </c>
      <c r="Q4064" t="n">
        <v>0</v>
      </c>
      <c r="R4064" s="2" t="inlineStr"/>
    </row>
    <row r="4065" ht="15" customHeight="1">
      <c r="A4065" t="inlineStr">
        <is>
          <t>A 36577-2021</t>
        </is>
      </c>
      <c r="B4065" s="1" t="n">
        <v>44391</v>
      </c>
      <c r="C4065" s="1" t="n">
        <v>45182</v>
      </c>
      <c r="D4065" t="inlineStr">
        <is>
          <t>JÄMTLANDS LÄN</t>
        </is>
      </c>
      <c r="E4065" t="inlineStr">
        <is>
          <t>KROKOM</t>
        </is>
      </c>
      <c r="G4065" t="n">
        <v>2</v>
      </c>
      <c r="H4065" t="n">
        <v>0</v>
      </c>
      <c r="I4065" t="n">
        <v>0</v>
      </c>
      <c r="J4065" t="n">
        <v>0</v>
      </c>
      <c r="K4065" t="n">
        <v>0</v>
      </c>
      <c r="L4065" t="n">
        <v>0</v>
      </c>
      <c r="M4065" t="n">
        <v>0</v>
      </c>
      <c r="N4065" t="n">
        <v>0</v>
      </c>
      <c r="O4065" t="n">
        <v>0</v>
      </c>
      <c r="P4065" t="n">
        <v>0</v>
      </c>
      <c r="Q4065" t="n">
        <v>0</v>
      </c>
      <c r="R4065" s="2" t="inlineStr"/>
    </row>
    <row r="4066" ht="15" customHeight="1">
      <c r="A4066" t="inlineStr">
        <is>
          <t>A 36819-2021</t>
        </is>
      </c>
      <c r="B4066" s="1" t="n">
        <v>44392</v>
      </c>
      <c r="C4066" s="1" t="n">
        <v>45182</v>
      </c>
      <c r="D4066" t="inlineStr">
        <is>
          <t>JÄMTLANDS LÄN</t>
        </is>
      </c>
      <c r="E4066" t="inlineStr">
        <is>
          <t>BRÄCKE</t>
        </is>
      </c>
      <c r="F4066" t="inlineStr">
        <is>
          <t>SCA</t>
        </is>
      </c>
      <c r="G4066" t="n">
        <v>3.8</v>
      </c>
      <c r="H4066" t="n">
        <v>0</v>
      </c>
      <c r="I4066" t="n">
        <v>0</v>
      </c>
      <c r="J4066" t="n">
        <v>0</v>
      </c>
      <c r="K4066" t="n">
        <v>0</v>
      </c>
      <c r="L4066" t="n">
        <v>0</v>
      </c>
      <c r="M4066" t="n">
        <v>0</v>
      </c>
      <c r="N4066" t="n">
        <v>0</v>
      </c>
      <c r="O4066" t="n">
        <v>0</v>
      </c>
      <c r="P4066" t="n">
        <v>0</v>
      </c>
      <c r="Q4066" t="n">
        <v>0</v>
      </c>
      <c r="R4066" s="2" t="inlineStr"/>
    </row>
    <row r="4067" ht="15" customHeight="1">
      <c r="A4067" t="inlineStr">
        <is>
          <t>A 36720-2021</t>
        </is>
      </c>
      <c r="B4067" s="1" t="n">
        <v>44392</v>
      </c>
      <c r="C4067" s="1" t="n">
        <v>45182</v>
      </c>
      <c r="D4067" t="inlineStr">
        <is>
          <t>JÄMTLANDS LÄN</t>
        </is>
      </c>
      <c r="E4067" t="inlineStr">
        <is>
          <t>BERG</t>
        </is>
      </c>
      <c r="G4067" t="n">
        <v>1.9</v>
      </c>
      <c r="H4067" t="n">
        <v>0</v>
      </c>
      <c r="I4067" t="n">
        <v>0</v>
      </c>
      <c r="J4067" t="n">
        <v>0</v>
      </c>
      <c r="K4067" t="n">
        <v>0</v>
      </c>
      <c r="L4067" t="n">
        <v>0</v>
      </c>
      <c r="M4067" t="n">
        <v>0</v>
      </c>
      <c r="N4067" t="n">
        <v>0</v>
      </c>
      <c r="O4067" t="n">
        <v>0</v>
      </c>
      <c r="P4067" t="n">
        <v>0</v>
      </c>
      <c r="Q4067" t="n">
        <v>0</v>
      </c>
      <c r="R4067" s="2" t="inlineStr"/>
    </row>
    <row r="4068" ht="15" customHeight="1">
      <c r="A4068" t="inlineStr">
        <is>
          <t>A 37047-2021</t>
        </is>
      </c>
      <c r="B4068" s="1" t="n">
        <v>44393</v>
      </c>
      <c r="C4068" s="1" t="n">
        <v>45182</v>
      </c>
      <c r="D4068" t="inlineStr">
        <is>
          <t>JÄMTLANDS LÄN</t>
        </is>
      </c>
      <c r="E4068" t="inlineStr">
        <is>
          <t>STRÖMSUND</t>
        </is>
      </c>
      <c r="F4068" t="inlineStr">
        <is>
          <t>SCA</t>
        </is>
      </c>
      <c r="G4068" t="n">
        <v>12.3</v>
      </c>
      <c r="H4068" t="n">
        <v>0</v>
      </c>
      <c r="I4068" t="n">
        <v>0</v>
      </c>
      <c r="J4068" t="n">
        <v>0</v>
      </c>
      <c r="K4068" t="n">
        <v>0</v>
      </c>
      <c r="L4068" t="n">
        <v>0</v>
      </c>
      <c r="M4068" t="n">
        <v>0</v>
      </c>
      <c r="N4068" t="n">
        <v>0</v>
      </c>
      <c r="O4068" t="n">
        <v>0</v>
      </c>
      <c r="P4068" t="n">
        <v>0</v>
      </c>
      <c r="Q4068" t="n">
        <v>0</v>
      </c>
      <c r="R4068" s="2" t="inlineStr"/>
    </row>
    <row r="4069" ht="15" customHeight="1">
      <c r="A4069" t="inlineStr">
        <is>
          <t>A 36868-2021</t>
        </is>
      </c>
      <c r="B4069" s="1" t="n">
        <v>44393</v>
      </c>
      <c r="C4069" s="1" t="n">
        <v>45182</v>
      </c>
      <c r="D4069" t="inlineStr">
        <is>
          <t>JÄMTLANDS LÄN</t>
        </is>
      </c>
      <c r="E4069" t="inlineStr">
        <is>
          <t>ÅRE</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37086-2021</t>
        </is>
      </c>
      <c r="B4070" s="1" t="n">
        <v>44395</v>
      </c>
      <c r="C4070" s="1" t="n">
        <v>45182</v>
      </c>
      <c r="D4070" t="inlineStr">
        <is>
          <t>JÄMTLANDS LÄN</t>
        </is>
      </c>
      <c r="E4070" t="inlineStr">
        <is>
          <t>ÅRE</t>
        </is>
      </c>
      <c r="G4070" t="n">
        <v>34.1</v>
      </c>
      <c r="H4070" t="n">
        <v>0</v>
      </c>
      <c r="I4070" t="n">
        <v>0</v>
      </c>
      <c r="J4070" t="n">
        <v>0</v>
      </c>
      <c r="K4070" t="n">
        <v>0</v>
      </c>
      <c r="L4070" t="n">
        <v>0</v>
      </c>
      <c r="M4070" t="n">
        <v>0</v>
      </c>
      <c r="N4070" t="n">
        <v>0</v>
      </c>
      <c r="O4070" t="n">
        <v>0</v>
      </c>
      <c r="P4070" t="n">
        <v>0</v>
      </c>
      <c r="Q4070" t="n">
        <v>0</v>
      </c>
      <c r="R4070" s="2" t="inlineStr"/>
    </row>
    <row r="4071" ht="15" customHeight="1">
      <c r="A4071" t="inlineStr">
        <is>
          <t>A 37227-2021</t>
        </is>
      </c>
      <c r="B4071" s="1" t="n">
        <v>44396</v>
      </c>
      <c r="C4071" s="1" t="n">
        <v>45182</v>
      </c>
      <c r="D4071" t="inlineStr">
        <is>
          <t>JÄMTLANDS LÄN</t>
        </is>
      </c>
      <c r="E4071" t="inlineStr">
        <is>
          <t>RAGUNDA</t>
        </is>
      </c>
      <c r="G4071" t="n">
        <v>10.1</v>
      </c>
      <c r="H4071" t="n">
        <v>0</v>
      </c>
      <c r="I4071" t="n">
        <v>0</v>
      </c>
      <c r="J4071" t="n">
        <v>0</v>
      </c>
      <c r="K4071" t="n">
        <v>0</v>
      </c>
      <c r="L4071" t="n">
        <v>0</v>
      </c>
      <c r="M4071" t="n">
        <v>0</v>
      </c>
      <c r="N4071" t="n">
        <v>0</v>
      </c>
      <c r="O4071" t="n">
        <v>0</v>
      </c>
      <c r="P4071" t="n">
        <v>0</v>
      </c>
      <c r="Q4071" t="n">
        <v>0</v>
      </c>
      <c r="R4071" s="2" t="inlineStr"/>
    </row>
    <row r="4072" ht="15" customHeight="1">
      <c r="A4072" t="inlineStr">
        <is>
          <t>A 37156-2021</t>
        </is>
      </c>
      <c r="B4072" s="1" t="n">
        <v>44396</v>
      </c>
      <c r="C4072" s="1" t="n">
        <v>45182</v>
      </c>
      <c r="D4072" t="inlineStr">
        <is>
          <t>JÄMTLANDS LÄN</t>
        </is>
      </c>
      <c r="E4072" t="inlineStr">
        <is>
          <t>ÅRE</t>
        </is>
      </c>
      <c r="G4072" t="n">
        <v>16.5</v>
      </c>
      <c r="H4072" t="n">
        <v>0</v>
      </c>
      <c r="I4072" t="n">
        <v>0</v>
      </c>
      <c r="J4072" t="n">
        <v>0</v>
      </c>
      <c r="K4072" t="n">
        <v>0</v>
      </c>
      <c r="L4072" t="n">
        <v>0</v>
      </c>
      <c r="M4072" t="n">
        <v>0</v>
      </c>
      <c r="N4072" t="n">
        <v>0</v>
      </c>
      <c r="O4072" t="n">
        <v>0</v>
      </c>
      <c r="P4072" t="n">
        <v>0</v>
      </c>
      <c r="Q4072" t="n">
        <v>0</v>
      </c>
      <c r="R4072" s="2" t="inlineStr"/>
    </row>
    <row r="4073" ht="15" customHeight="1">
      <c r="A4073" t="inlineStr">
        <is>
          <t>A 37155-2021</t>
        </is>
      </c>
      <c r="B4073" s="1" t="n">
        <v>44396</v>
      </c>
      <c r="C4073" s="1" t="n">
        <v>45182</v>
      </c>
      <c r="D4073" t="inlineStr">
        <is>
          <t>JÄMTLANDS LÄN</t>
        </is>
      </c>
      <c r="E4073" t="inlineStr">
        <is>
          <t>HÄRJEDALEN</t>
        </is>
      </c>
      <c r="G4073" t="n">
        <v>2.3</v>
      </c>
      <c r="H4073" t="n">
        <v>0</v>
      </c>
      <c r="I4073" t="n">
        <v>0</v>
      </c>
      <c r="J4073" t="n">
        <v>0</v>
      </c>
      <c r="K4073" t="n">
        <v>0</v>
      </c>
      <c r="L4073" t="n">
        <v>0</v>
      </c>
      <c r="M4073" t="n">
        <v>0</v>
      </c>
      <c r="N4073" t="n">
        <v>0</v>
      </c>
      <c r="O4073" t="n">
        <v>0</v>
      </c>
      <c r="P4073" t="n">
        <v>0</v>
      </c>
      <c r="Q4073" t="n">
        <v>0</v>
      </c>
      <c r="R4073" s="2" t="inlineStr"/>
    </row>
    <row r="4074" ht="15" customHeight="1">
      <c r="A4074" t="inlineStr">
        <is>
          <t>A 37230-2021</t>
        </is>
      </c>
      <c r="B4074" s="1" t="n">
        <v>44396</v>
      </c>
      <c r="C4074" s="1" t="n">
        <v>45182</v>
      </c>
      <c r="D4074" t="inlineStr">
        <is>
          <t>JÄMTLANDS LÄN</t>
        </is>
      </c>
      <c r="E4074" t="inlineStr">
        <is>
          <t>STRÖMSUND</t>
        </is>
      </c>
      <c r="F4074" t="inlineStr">
        <is>
          <t>SCA</t>
        </is>
      </c>
      <c r="G4074" t="n">
        <v>1.6</v>
      </c>
      <c r="H4074" t="n">
        <v>0</v>
      </c>
      <c r="I4074" t="n">
        <v>0</v>
      </c>
      <c r="J4074" t="n">
        <v>0</v>
      </c>
      <c r="K4074" t="n">
        <v>0</v>
      </c>
      <c r="L4074" t="n">
        <v>0</v>
      </c>
      <c r="M4074" t="n">
        <v>0</v>
      </c>
      <c r="N4074" t="n">
        <v>0</v>
      </c>
      <c r="O4074" t="n">
        <v>0</v>
      </c>
      <c r="P4074" t="n">
        <v>0</v>
      </c>
      <c r="Q4074" t="n">
        <v>0</v>
      </c>
      <c r="R4074" s="2" t="inlineStr"/>
    </row>
    <row r="4075" ht="15" customHeight="1">
      <c r="A4075" t="inlineStr">
        <is>
          <t>A 37375-2021</t>
        </is>
      </c>
      <c r="B4075" s="1" t="n">
        <v>44397</v>
      </c>
      <c r="C4075" s="1" t="n">
        <v>45182</v>
      </c>
      <c r="D4075" t="inlineStr">
        <is>
          <t>JÄMTLANDS LÄN</t>
        </is>
      </c>
      <c r="E4075" t="inlineStr">
        <is>
          <t>BRÄCKE</t>
        </is>
      </c>
      <c r="F4075" t="inlineStr">
        <is>
          <t>SCA</t>
        </is>
      </c>
      <c r="G4075" t="n">
        <v>7.3</v>
      </c>
      <c r="H4075" t="n">
        <v>0</v>
      </c>
      <c r="I4075" t="n">
        <v>0</v>
      </c>
      <c r="J4075" t="n">
        <v>0</v>
      </c>
      <c r="K4075" t="n">
        <v>0</v>
      </c>
      <c r="L4075" t="n">
        <v>0</v>
      </c>
      <c r="M4075" t="n">
        <v>0</v>
      </c>
      <c r="N4075" t="n">
        <v>0</v>
      </c>
      <c r="O4075" t="n">
        <v>0</v>
      </c>
      <c r="P4075" t="n">
        <v>0</v>
      </c>
      <c r="Q4075" t="n">
        <v>0</v>
      </c>
      <c r="R4075" s="2" t="inlineStr"/>
    </row>
    <row r="4076" ht="15" customHeight="1">
      <c r="A4076" t="inlineStr">
        <is>
          <t>A 37370-2021</t>
        </is>
      </c>
      <c r="B4076" s="1" t="n">
        <v>44397</v>
      </c>
      <c r="C4076" s="1" t="n">
        <v>45182</v>
      </c>
      <c r="D4076" t="inlineStr">
        <is>
          <t>JÄMTLANDS LÄN</t>
        </is>
      </c>
      <c r="E4076" t="inlineStr">
        <is>
          <t>STRÖMSUND</t>
        </is>
      </c>
      <c r="F4076" t="inlineStr">
        <is>
          <t>SCA</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37376-2021</t>
        </is>
      </c>
      <c r="B4077" s="1" t="n">
        <v>44397</v>
      </c>
      <c r="C4077" s="1" t="n">
        <v>45182</v>
      </c>
      <c r="D4077" t="inlineStr">
        <is>
          <t>JÄMTLANDS LÄN</t>
        </is>
      </c>
      <c r="E4077" t="inlineStr">
        <is>
          <t>BRÄCKE</t>
        </is>
      </c>
      <c r="F4077" t="inlineStr">
        <is>
          <t>SCA</t>
        </is>
      </c>
      <c r="G4077" t="n">
        <v>1</v>
      </c>
      <c r="H4077" t="n">
        <v>0</v>
      </c>
      <c r="I4077" t="n">
        <v>0</v>
      </c>
      <c r="J4077" t="n">
        <v>0</v>
      </c>
      <c r="K4077" t="n">
        <v>0</v>
      </c>
      <c r="L4077" t="n">
        <v>0</v>
      </c>
      <c r="M4077" t="n">
        <v>0</v>
      </c>
      <c r="N4077" t="n">
        <v>0</v>
      </c>
      <c r="O4077" t="n">
        <v>0</v>
      </c>
      <c r="P4077" t="n">
        <v>0</v>
      </c>
      <c r="Q4077" t="n">
        <v>0</v>
      </c>
      <c r="R4077" s="2" t="inlineStr"/>
    </row>
    <row r="4078" ht="15" customHeight="1">
      <c r="A4078" t="inlineStr">
        <is>
          <t>A 37479-2021</t>
        </is>
      </c>
      <c r="B4078" s="1" t="n">
        <v>44398</v>
      </c>
      <c r="C4078" s="1" t="n">
        <v>45182</v>
      </c>
      <c r="D4078" t="inlineStr">
        <is>
          <t>JÄMTLANDS LÄN</t>
        </is>
      </c>
      <c r="E4078" t="inlineStr">
        <is>
          <t>BRÄCKE</t>
        </is>
      </c>
      <c r="F4078" t="inlineStr">
        <is>
          <t>SCA</t>
        </is>
      </c>
      <c r="G4078" t="n">
        <v>5.6</v>
      </c>
      <c r="H4078" t="n">
        <v>0</v>
      </c>
      <c r="I4078" t="n">
        <v>0</v>
      </c>
      <c r="J4078" t="n">
        <v>0</v>
      </c>
      <c r="K4078" t="n">
        <v>0</v>
      </c>
      <c r="L4078" t="n">
        <v>0</v>
      </c>
      <c r="M4078" t="n">
        <v>0</v>
      </c>
      <c r="N4078" t="n">
        <v>0</v>
      </c>
      <c r="O4078" t="n">
        <v>0</v>
      </c>
      <c r="P4078" t="n">
        <v>0</v>
      </c>
      <c r="Q4078" t="n">
        <v>0</v>
      </c>
      <c r="R4078" s="2" t="inlineStr"/>
    </row>
    <row r="4079" ht="15" customHeight="1">
      <c r="A4079" t="inlineStr">
        <is>
          <t>A 37461-2021</t>
        </is>
      </c>
      <c r="B4079" s="1" t="n">
        <v>44398</v>
      </c>
      <c r="C4079" s="1" t="n">
        <v>45182</v>
      </c>
      <c r="D4079" t="inlineStr">
        <is>
          <t>JÄMTLANDS LÄN</t>
        </is>
      </c>
      <c r="E4079" t="inlineStr">
        <is>
          <t>ÅRE</t>
        </is>
      </c>
      <c r="G4079" t="n">
        <v>11.7</v>
      </c>
      <c r="H4079" t="n">
        <v>0</v>
      </c>
      <c r="I4079" t="n">
        <v>0</v>
      </c>
      <c r="J4079" t="n">
        <v>0</v>
      </c>
      <c r="K4079" t="n">
        <v>0</v>
      </c>
      <c r="L4079" t="n">
        <v>0</v>
      </c>
      <c r="M4079" t="n">
        <v>0</v>
      </c>
      <c r="N4079" t="n">
        <v>0</v>
      </c>
      <c r="O4079" t="n">
        <v>0</v>
      </c>
      <c r="P4079" t="n">
        <v>0</v>
      </c>
      <c r="Q4079" t="n">
        <v>0</v>
      </c>
      <c r="R4079" s="2" t="inlineStr"/>
    </row>
    <row r="4080" ht="15" customHeight="1">
      <c r="A4080" t="inlineStr">
        <is>
          <t>A 37588-2021</t>
        </is>
      </c>
      <c r="B4080" s="1" t="n">
        <v>44399</v>
      </c>
      <c r="C4080" s="1" t="n">
        <v>45182</v>
      </c>
      <c r="D4080" t="inlineStr">
        <is>
          <t>JÄMTLANDS LÄN</t>
        </is>
      </c>
      <c r="E4080" t="inlineStr">
        <is>
          <t>BERG</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37589-2021</t>
        </is>
      </c>
      <c r="B4081" s="1" t="n">
        <v>44399</v>
      </c>
      <c r="C4081" s="1" t="n">
        <v>45182</v>
      </c>
      <c r="D4081" t="inlineStr">
        <is>
          <t>JÄMTLANDS LÄN</t>
        </is>
      </c>
      <c r="E4081" t="inlineStr">
        <is>
          <t>BERG</t>
        </is>
      </c>
      <c r="G4081" t="n">
        <v>8.6</v>
      </c>
      <c r="H4081" t="n">
        <v>0</v>
      </c>
      <c r="I4081" t="n">
        <v>0</v>
      </c>
      <c r="J4081" t="n">
        <v>0</v>
      </c>
      <c r="K4081" t="n">
        <v>0</v>
      </c>
      <c r="L4081" t="n">
        <v>0</v>
      </c>
      <c r="M4081" t="n">
        <v>0</v>
      </c>
      <c r="N4081" t="n">
        <v>0</v>
      </c>
      <c r="O4081" t="n">
        <v>0</v>
      </c>
      <c r="P4081" t="n">
        <v>0</v>
      </c>
      <c r="Q4081" t="n">
        <v>0</v>
      </c>
      <c r="R4081" s="2" t="inlineStr"/>
    </row>
    <row r="4082" ht="15" customHeight="1">
      <c r="A4082" t="inlineStr">
        <is>
          <t>A 37591-2021</t>
        </is>
      </c>
      <c r="B4082" s="1" t="n">
        <v>44399</v>
      </c>
      <c r="C4082" s="1" t="n">
        <v>45182</v>
      </c>
      <c r="D4082" t="inlineStr">
        <is>
          <t>JÄMTLANDS LÄN</t>
        </is>
      </c>
      <c r="E4082" t="inlineStr">
        <is>
          <t>BERG</t>
        </is>
      </c>
      <c r="G4082" t="n">
        <v>1.9</v>
      </c>
      <c r="H4082" t="n">
        <v>0</v>
      </c>
      <c r="I4082" t="n">
        <v>0</v>
      </c>
      <c r="J4082" t="n">
        <v>0</v>
      </c>
      <c r="K4082" t="n">
        <v>0</v>
      </c>
      <c r="L4082" t="n">
        <v>0</v>
      </c>
      <c r="M4082" t="n">
        <v>0</v>
      </c>
      <c r="N4082" t="n">
        <v>0</v>
      </c>
      <c r="O4082" t="n">
        <v>0</v>
      </c>
      <c r="P4082" t="n">
        <v>0</v>
      </c>
      <c r="Q4082" t="n">
        <v>0</v>
      </c>
      <c r="R4082" s="2" t="inlineStr"/>
    </row>
    <row r="4083" ht="15" customHeight="1">
      <c r="A4083" t="inlineStr">
        <is>
          <t>A 37586-2021</t>
        </is>
      </c>
      <c r="B4083" s="1" t="n">
        <v>44399</v>
      </c>
      <c r="C4083" s="1" t="n">
        <v>45182</v>
      </c>
      <c r="D4083" t="inlineStr">
        <is>
          <t>JÄMTLANDS LÄN</t>
        </is>
      </c>
      <c r="E4083" t="inlineStr">
        <is>
          <t>BERG</t>
        </is>
      </c>
      <c r="G4083" t="n">
        <v>15.4</v>
      </c>
      <c r="H4083" t="n">
        <v>0</v>
      </c>
      <c r="I4083" t="n">
        <v>0</v>
      </c>
      <c r="J4083" t="n">
        <v>0</v>
      </c>
      <c r="K4083" t="n">
        <v>0</v>
      </c>
      <c r="L4083" t="n">
        <v>0</v>
      </c>
      <c r="M4083" t="n">
        <v>0</v>
      </c>
      <c r="N4083" t="n">
        <v>0</v>
      </c>
      <c r="O4083" t="n">
        <v>0</v>
      </c>
      <c r="P4083" t="n">
        <v>0</v>
      </c>
      <c r="Q4083" t="n">
        <v>0</v>
      </c>
      <c r="R4083" s="2" t="inlineStr"/>
    </row>
    <row r="4084" ht="15" customHeight="1">
      <c r="A4084" t="inlineStr">
        <is>
          <t>A 37832-2021</t>
        </is>
      </c>
      <c r="B4084" s="1" t="n">
        <v>44403</v>
      </c>
      <c r="C4084" s="1" t="n">
        <v>45182</v>
      </c>
      <c r="D4084" t="inlineStr">
        <is>
          <t>JÄMTLANDS LÄN</t>
        </is>
      </c>
      <c r="E4084" t="inlineStr">
        <is>
          <t>HÄRJEDALEN</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37957-2021</t>
        </is>
      </c>
      <c r="B4085" s="1" t="n">
        <v>44403</v>
      </c>
      <c r="C4085" s="1" t="n">
        <v>45182</v>
      </c>
      <c r="D4085" t="inlineStr">
        <is>
          <t>JÄMTLANDS LÄN</t>
        </is>
      </c>
      <c r="E4085" t="inlineStr">
        <is>
          <t>BRÄCKE</t>
        </is>
      </c>
      <c r="F4085" t="inlineStr">
        <is>
          <t>SCA</t>
        </is>
      </c>
      <c r="G4085" t="n">
        <v>3</v>
      </c>
      <c r="H4085" t="n">
        <v>0</v>
      </c>
      <c r="I4085" t="n">
        <v>0</v>
      </c>
      <c r="J4085" t="n">
        <v>0</v>
      </c>
      <c r="K4085" t="n">
        <v>0</v>
      </c>
      <c r="L4085" t="n">
        <v>0</v>
      </c>
      <c r="M4085" t="n">
        <v>0</v>
      </c>
      <c r="N4085" t="n">
        <v>0</v>
      </c>
      <c r="O4085" t="n">
        <v>0</v>
      </c>
      <c r="P4085" t="n">
        <v>0</v>
      </c>
      <c r="Q4085" t="n">
        <v>0</v>
      </c>
      <c r="R4085" s="2" t="inlineStr"/>
    </row>
    <row r="4086" ht="15" customHeight="1">
      <c r="A4086" t="inlineStr">
        <is>
          <t>A 37825-2021</t>
        </is>
      </c>
      <c r="B4086" s="1" t="n">
        <v>44403</v>
      </c>
      <c r="C4086" s="1" t="n">
        <v>45182</v>
      </c>
      <c r="D4086" t="inlineStr">
        <is>
          <t>JÄMTLANDS LÄN</t>
        </is>
      </c>
      <c r="E4086" t="inlineStr">
        <is>
          <t>HÄRJEDALEN</t>
        </is>
      </c>
      <c r="G4086" t="n">
        <v>0.1</v>
      </c>
      <c r="H4086" t="n">
        <v>0</v>
      </c>
      <c r="I4086" t="n">
        <v>0</v>
      </c>
      <c r="J4086" t="n">
        <v>0</v>
      </c>
      <c r="K4086" t="n">
        <v>0</v>
      </c>
      <c r="L4086" t="n">
        <v>0</v>
      </c>
      <c r="M4086" t="n">
        <v>0</v>
      </c>
      <c r="N4086" t="n">
        <v>0</v>
      </c>
      <c r="O4086" t="n">
        <v>0</v>
      </c>
      <c r="P4086" t="n">
        <v>0</v>
      </c>
      <c r="Q4086" t="n">
        <v>0</v>
      </c>
      <c r="R4086" s="2" t="inlineStr"/>
    </row>
    <row r="4087" ht="15" customHeight="1">
      <c r="A4087" t="inlineStr">
        <is>
          <t>A 38030-2021</t>
        </is>
      </c>
      <c r="B4087" s="1" t="n">
        <v>44404</v>
      </c>
      <c r="C4087" s="1" t="n">
        <v>45182</v>
      </c>
      <c r="D4087" t="inlineStr">
        <is>
          <t>JÄMTLANDS LÄN</t>
        </is>
      </c>
      <c r="E4087" t="inlineStr">
        <is>
          <t>HÄRJEDALEN</t>
        </is>
      </c>
      <c r="F4087" t="inlineStr">
        <is>
          <t>Bergvik skog väst AB</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38001-2021</t>
        </is>
      </c>
      <c r="B4088" s="1" t="n">
        <v>44404</v>
      </c>
      <c r="C4088" s="1" t="n">
        <v>45182</v>
      </c>
      <c r="D4088" t="inlineStr">
        <is>
          <t>JÄMTLANDS LÄN</t>
        </is>
      </c>
      <c r="E4088" t="inlineStr">
        <is>
          <t>HÄRJEDALEN</t>
        </is>
      </c>
      <c r="G4088" t="n">
        <v>1.9</v>
      </c>
      <c r="H4088" t="n">
        <v>0</v>
      </c>
      <c r="I4088" t="n">
        <v>0</v>
      </c>
      <c r="J4088" t="n">
        <v>0</v>
      </c>
      <c r="K4088" t="n">
        <v>0</v>
      </c>
      <c r="L4088" t="n">
        <v>0</v>
      </c>
      <c r="M4088" t="n">
        <v>0</v>
      </c>
      <c r="N4088" t="n">
        <v>0</v>
      </c>
      <c r="O4088" t="n">
        <v>0</v>
      </c>
      <c r="P4088" t="n">
        <v>0</v>
      </c>
      <c r="Q4088" t="n">
        <v>0</v>
      </c>
      <c r="R4088" s="2" t="inlineStr"/>
    </row>
    <row r="4089" ht="15" customHeight="1">
      <c r="A4089" t="inlineStr">
        <is>
          <t>A 38285-2021</t>
        </is>
      </c>
      <c r="B4089" s="1" t="n">
        <v>44405</v>
      </c>
      <c r="C4089" s="1" t="n">
        <v>45182</v>
      </c>
      <c r="D4089" t="inlineStr">
        <is>
          <t>JÄMTLANDS LÄN</t>
        </is>
      </c>
      <c r="E4089" t="inlineStr">
        <is>
          <t>BRÄCKE</t>
        </is>
      </c>
      <c r="F4089" t="inlineStr">
        <is>
          <t>SCA</t>
        </is>
      </c>
      <c r="G4089" t="n">
        <v>2.5</v>
      </c>
      <c r="H4089" t="n">
        <v>0</v>
      </c>
      <c r="I4089" t="n">
        <v>0</v>
      </c>
      <c r="J4089" t="n">
        <v>0</v>
      </c>
      <c r="K4089" t="n">
        <v>0</v>
      </c>
      <c r="L4089" t="n">
        <v>0</v>
      </c>
      <c r="M4089" t="n">
        <v>0</v>
      </c>
      <c r="N4089" t="n">
        <v>0</v>
      </c>
      <c r="O4089" t="n">
        <v>0</v>
      </c>
      <c r="P4089" t="n">
        <v>0</v>
      </c>
      <c r="Q4089" t="n">
        <v>0</v>
      </c>
      <c r="R4089" s="2" t="inlineStr"/>
    </row>
    <row r="4090" ht="15" customHeight="1">
      <c r="A4090" t="inlineStr">
        <is>
          <t>A 38215-2021</t>
        </is>
      </c>
      <c r="B4090" s="1" t="n">
        <v>44405</v>
      </c>
      <c r="C4090" s="1" t="n">
        <v>45182</v>
      </c>
      <c r="D4090" t="inlineStr">
        <is>
          <t>JÄMTLANDS LÄN</t>
        </is>
      </c>
      <c r="E4090" t="inlineStr">
        <is>
          <t>HÄRJEDALEN</t>
        </is>
      </c>
      <c r="F4090" t="inlineStr">
        <is>
          <t>Övriga Aktiebolag</t>
        </is>
      </c>
      <c r="G4090" t="n">
        <v>6.4</v>
      </c>
      <c r="H4090" t="n">
        <v>0</v>
      </c>
      <c r="I4090" t="n">
        <v>0</v>
      </c>
      <c r="J4090" t="n">
        <v>0</v>
      </c>
      <c r="K4090" t="n">
        <v>0</v>
      </c>
      <c r="L4090" t="n">
        <v>0</v>
      </c>
      <c r="M4090" t="n">
        <v>0</v>
      </c>
      <c r="N4090" t="n">
        <v>0</v>
      </c>
      <c r="O4090" t="n">
        <v>0</v>
      </c>
      <c r="P4090" t="n">
        <v>0</v>
      </c>
      <c r="Q4090" t="n">
        <v>0</v>
      </c>
      <c r="R4090" s="2" t="inlineStr"/>
    </row>
    <row r="4091" ht="15" customHeight="1">
      <c r="A4091" t="inlineStr">
        <is>
          <t>A 38281-2021</t>
        </is>
      </c>
      <c r="B4091" s="1" t="n">
        <v>44405</v>
      </c>
      <c r="C4091" s="1" t="n">
        <v>45182</v>
      </c>
      <c r="D4091" t="inlineStr">
        <is>
          <t>JÄMTLANDS LÄN</t>
        </is>
      </c>
      <c r="E4091" t="inlineStr">
        <is>
          <t>BRÄCKE</t>
        </is>
      </c>
      <c r="F4091" t="inlineStr">
        <is>
          <t>SCA</t>
        </is>
      </c>
      <c r="G4091" t="n">
        <v>2</v>
      </c>
      <c r="H4091" t="n">
        <v>0</v>
      </c>
      <c r="I4091" t="n">
        <v>0</v>
      </c>
      <c r="J4091" t="n">
        <v>0</v>
      </c>
      <c r="K4091" t="n">
        <v>0</v>
      </c>
      <c r="L4091" t="n">
        <v>0</v>
      </c>
      <c r="M4091" t="n">
        <v>0</v>
      </c>
      <c r="N4091" t="n">
        <v>0</v>
      </c>
      <c r="O4091" t="n">
        <v>0</v>
      </c>
      <c r="P4091" t="n">
        <v>0</v>
      </c>
      <c r="Q4091" t="n">
        <v>0</v>
      </c>
      <c r="R4091" s="2" t="inlineStr"/>
    </row>
    <row r="4092" ht="15" customHeight="1">
      <c r="A4092" t="inlineStr">
        <is>
          <t>A 38219-2021</t>
        </is>
      </c>
      <c r="B4092" s="1" t="n">
        <v>44405</v>
      </c>
      <c r="C4092" s="1" t="n">
        <v>45182</v>
      </c>
      <c r="D4092" t="inlineStr">
        <is>
          <t>JÄMTLANDS LÄN</t>
        </is>
      </c>
      <c r="E4092" t="inlineStr">
        <is>
          <t>STRÖMSUND</t>
        </is>
      </c>
      <c r="G4092" t="n">
        <v>3.1</v>
      </c>
      <c r="H4092" t="n">
        <v>0</v>
      </c>
      <c r="I4092" t="n">
        <v>0</v>
      </c>
      <c r="J4092" t="n">
        <v>0</v>
      </c>
      <c r="K4092" t="n">
        <v>0</v>
      </c>
      <c r="L4092" t="n">
        <v>0</v>
      </c>
      <c r="M4092" t="n">
        <v>0</v>
      </c>
      <c r="N4092" t="n">
        <v>0</v>
      </c>
      <c r="O4092" t="n">
        <v>0</v>
      </c>
      <c r="P4092" t="n">
        <v>0</v>
      </c>
      <c r="Q4092" t="n">
        <v>0</v>
      </c>
      <c r="R4092" s="2" t="inlineStr"/>
    </row>
    <row r="4093" ht="15" customHeight="1">
      <c r="A4093" t="inlineStr">
        <is>
          <t>A 38142-2021</t>
        </is>
      </c>
      <c r="B4093" s="1" t="n">
        <v>44405</v>
      </c>
      <c r="C4093" s="1" t="n">
        <v>45182</v>
      </c>
      <c r="D4093" t="inlineStr">
        <is>
          <t>JÄMTLANDS LÄN</t>
        </is>
      </c>
      <c r="E4093" t="inlineStr">
        <is>
          <t>ÖSTERSUND</t>
        </is>
      </c>
      <c r="G4093" t="n">
        <v>1.7</v>
      </c>
      <c r="H4093" t="n">
        <v>0</v>
      </c>
      <c r="I4093" t="n">
        <v>0</v>
      </c>
      <c r="J4093" t="n">
        <v>0</v>
      </c>
      <c r="K4093" t="n">
        <v>0</v>
      </c>
      <c r="L4093" t="n">
        <v>0</v>
      </c>
      <c r="M4093" t="n">
        <v>0</v>
      </c>
      <c r="N4093" t="n">
        <v>0</v>
      </c>
      <c r="O4093" t="n">
        <v>0</v>
      </c>
      <c r="P4093" t="n">
        <v>0</v>
      </c>
      <c r="Q4093" t="n">
        <v>0</v>
      </c>
      <c r="R4093" s="2" t="inlineStr"/>
    </row>
    <row r="4094" ht="15" customHeight="1">
      <c r="A4094" t="inlineStr">
        <is>
          <t>A 38212-2021</t>
        </is>
      </c>
      <c r="B4094" s="1" t="n">
        <v>44405</v>
      </c>
      <c r="C4094" s="1" t="n">
        <v>45182</v>
      </c>
      <c r="D4094" t="inlineStr">
        <is>
          <t>JÄMTLANDS LÄN</t>
        </is>
      </c>
      <c r="E4094" t="inlineStr">
        <is>
          <t>RAGUNDA</t>
        </is>
      </c>
      <c r="G4094" t="n">
        <v>5.5</v>
      </c>
      <c r="H4094" t="n">
        <v>0</v>
      </c>
      <c r="I4094" t="n">
        <v>0</v>
      </c>
      <c r="J4094" t="n">
        <v>0</v>
      </c>
      <c r="K4094" t="n">
        <v>0</v>
      </c>
      <c r="L4094" t="n">
        <v>0</v>
      </c>
      <c r="M4094" t="n">
        <v>0</v>
      </c>
      <c r="N4094" t="n">
        <v>0</v>
      </c>
      <c r="O4094" t="n">
        <v>0</v>
      </c>
      <c r="P4094" t="n">
        <v>0</v>
      </c>
      <c r="Q4094" t="n">
        <v>0</v>
      </c>
      <c r="R4094" s="2" t="inlineStr"/>
    </row>
    <row r="4095" ht="15" customHeight="1">
      <c r="A4095" t="inlineStr">
        <is>
          <t>A 38280-2021</t>
        </is>
      </c>
      <c r="B4095" s="1" t="n">
        <v>44405</v>
      </c>
      <c r="C4095" s="1" t="n">
        <v>45182</v>
      </c>
      <c r="D4095" t="inlineStr">
        <is>
          <t>JÄMTLANDS LÄN</t>
        </is>
      </c>
      <c r="E4095" t="inlineStr">
        <is>
          <t>BRÄCKE</t>
        </is>
      </c>
      <c r="F4095" t="inlineStr">
        <is>
          <t>SCA</t>
        </is>
      </c>
      <c r="G4095" t="n">
        <v>0.5</v>
      </c>
      <c r="H4095" t="n">
        <v>0</v>
      </c>
      <c r="I4095" t="n">
        <v>0</v>
      </c>
      <c r="J4095" t="n">
        <v>0</v>
      </c>
      <c r="K4095" t="n">
        <v>0</v>
      </c>
      <c r="L4095" t="n">
        <v>0</v>
      </c>
      <c r="M4095" t="n">
        <v>0</v>
      </c>
      <c r="N4095" t="n">
        <v>0</v>
      </c>
      <c r="O4095" t="n">
        <v>0</v>
      </c>
      <c r="P4095" t="n">
        <v>0</v>
      </c>
      <c r="Q4095" t="n">
        <v>0</v>
      </c>
      <c r="R4095" s="2" t="inlineStr"/>
    </row>
    <row r="4096" ht="15" customHeight="1">
      <c r="A4096" t="inlineStr">
        <is>
          <t>A 38450-2021</t>
        </is>
      </c>
      <c r="B4096" s="1" t="n">
        <v>44406</v>
      </c>
      <c r="C4096" s="1" t="n">
        <v>45182</v>
      </c>
      <c r="D4096" t="inlineStr">
        <is>
          <t>JÄMTLANDS LÄN</t>
        </is>
      </c>
      <c r="E4096" t="inlineStr">
        <is>
          <t>ÅRE</t>
        </is>
      </c>
      <c r="G4096" t="n">
        <v>8.699999999999999</v>
      </c>
      <c r="H4096" t="n">
        <v>0</v>
      </c>
      <c r="I4096" t="n">
        <v>0</v>
      </c>
      <c r="J4096" t="n">
        <v>0</v>
      </c>
      <c r="K4096" t="n">
        <v>0</v>
      </c>
      <c r="L4096" t="n">
        <v>0</v>
      </c>
      <c r="M4096" t="n">
        <v>0</v>
      </c>
      <c r="N4096" t="n">
        <v>0</v>
      </c>
      <c r="O4096" t="n">
        <v>0</v>
      </c>
      <c r="P4096" t="n">
        <v>0</v>
      </c>
      <c r="Q4096" t="n">
        <v>0</v>
      </c>
      <c r="R4096" s="2" t="inlineStr"/>
    </row>
    <row r="4097" ht="15" customHeight="1">
      <c r="A4097" t="inlineStr">
        <is>
          <t>A 38456-2021</t>
        </is>
      </c>
      <c r="B4097" s="1" t="n">
        <v>44406</v>
      </c>
      <c r="C4097" s="1" t="n">
        <v>45182</v>
      </c>
      <c r="D4097" t="inlineStr">
        <is>
          <t>JÄMTLANDS LÄN</t>
        </is>
      </c>
      <c r="E4097" t="inlineStr">
        <is>
          <t>ÅRE</t>
        </is>
      </c>
      <c r="G4097" t="n">
        <v>19.8</v>
      </c>
      <c r="H4097" t="n">
        <v>0</v>
      </c>
      <c r="I4097" t="n">
        <v>0</v>
      </c>
      <c r="J4097" t="n">
        <v>0</v>
      </c>
      <c r="K4097" t="n">
        <v>0</v>
      </c>
      <c r="L4097" t="n">
        <v>0</v>
      </c>
      <c r="M4097" t="n">
        <v>0</v>
      </c>
      <c r="N4097" t="n">
        <v>0</v>
      </c>
      <c r="O4097" t="n">
        <v>0</v>
      </c>
      <c r="P4097" t="n">
        <v>0</v>
      </c>
      <c r="Q4097" t="n">
        <v>0</v>
      </c>
      <c r="R4097" s="2" t="inlineStr"/>
    </row>
    <row r="4098" ht="15" customHeight="1">
      <c r="A4098" t="inlineStr">
        <is>
          <t>A 38356-2021</t>
        </is>
      </c>
      <c r="B4098" s="1" t="n">
        <v>44406</v>
      </c>
      <c r="C4098" s="1" t="n">
        <v>45182</v>
      </c>
      <c r="D4098" t="inlineStr">
        <is>
          <t>JÄMTLANDS LÄN</t>
        </is>
      </c>
      <c r="E4098" t="inlineStr">
        <is>
          <t>HÄRJEDALEN</t>
        </is>
      </c>
      <c r="G4098" t="n">
        <v>5.4</v>
      </c>
      <c r="H4098" t="n">
        <v>0</v>
      </c>
      <c r="I4098" t="n">
        <v>0</v>
      </c>
      <c r="J4098" t="n">
        <v>0</v>
      </c>
      <c r="K4098" t="n">
        <v>0</v>
      </c>
      <c r="L4098" t="n">
        <v>0</v>
      </c>
      <c r="M4098" t="n">
        <v>0</v>
      </c>
      <c r="N4098" t="n">
        <v>0</v>
      </c>
      <c r="O4098" t="n">
        <v>0</v>
      </c>
      <c r="P4098" t="n">
        <v>0</v>
      </c>
      <c r="Q4098" t="n">
        <v>0</v>
      </c>
      <c r="R4098" s="2" t="inlineStr"/>
    </row>
    <row r="4099" ht="15" customHeight="1">
      <c r="A4099" t="inlineStr">
        <is>
          <t>A 38586-2021</t>
        </is>
      </c>
      <c r="B4099" s="1" t="n">
        <v>44407</v>
      </c>
      <c r="C4099" s="1" t="n">
        <v>45182</v>
      </c>
      <c r="D4099" t="inlineStr">
        <is>
          <t>JÄMTLANDS LÄN</t>
        </is>
      </c>
      <c r="E4099" t="inlineStr">
        <is>
          <t>STRÖMSUND</t>
        </is>
      </c>
      <c r="F4099" t="inlineStr">
        <is>
          <t>SCA</t>
        </is>
      </c>
      <c r="G4099" t="n">
        <v>1.4</v>
      </c>
      <c r="H4099" t="n">
        <v>0</v>
      </c>
      <c r="I4099" t="n">
        <v>0</v>
      </c>
      <c r="J4099" t="n">
        <v>0</v>
      </c>
      <c r="K4099" t="n">
        <v>0</v>
      </c>
      <c r="L4099" t="n">
        <v>0</v>
      </c>
      <c r="M4099" t="n">
        <v>0</v>
      </c>
      <c r="N4099" t="n">
        <v>0</v>
      </c>
      <c r="O4099" t="n">
        <v>0</v>
      </c>
      <c r="P4099" t="n">
        <v>0</v>
      </c>
      <c r="Q4099" t="n">
        <v>0</v>
      </c>
      <c r="R4099" s="2" t="inlineStr"/>
      <c r="U4099">
        <f>HYPERLINK("https://klasma.github.io/Logging_STROMSUND/knärot/A 38586-2021.png")</f>
        <v/>
      </c>
      <c r="V4099">
        <f>HYPERLINK("https://klasma.github.io/Logging_STROMSUND/klagomål/A 38586-2021.docx")</f>
        <v/>
      </c>
      <c r="W4099">
        <f>HYPERLINK("https://klasma.github.io/Logging_STROMSUND/klagomålsmail/A 38586-2021.docx")</f>
        <v/>
      </c>
      <c r="X4099">
        <f>HYPERLINK("https://klasma.github.io/Logging_STROMSUND/tillsyn/A 38586-2021.docx")</f>
        <v/>
      </c>
      <c r="Y4099">
        <f>HYPERLINK("https://klasma.github.io/Logging_STROMSUND/tillsynsmail/A 38586-2021.docx")</f>
        <v/>
      </c>
    </row>
    <row r="4100" ht="15" customHeight="1">
      <c r="A4100" t="inlineStr">
        <is>
          <t>A 38593-2021</t>
        </is>
      </c>
      <c r="B4100" s="1" t="n">
        <v>44407</v>
      </c>
      <c r="C4100" s="1" t="n">
        <v>45182</v>
      </c>
      <c r="D4100" t="inlineStr">
        <is>
          <t>JÄMTLANDS LÄN</t>
        </is>
      </c>
      <c r="E4100" t="inlineStr">
        <is>
          <t>BRÄCKE</t>
        </is>
      </c>
      <c r="F4100" t="inlineStr">
        <is>
          <t>SCA</t>
        </is>
      </c>
      <c r="G4100" t="n">
        <v>0.6</v>
      </c>
      <c r="H4100" t="n">
        <v>0</v>
      </c>
      <c r="I4100" t="n">
        <v>0</v>
      </c>
      <c r="J4100" t="n">
        <v>0</v>
      </c>
      <c r="K4100" t="n">
        <v>0</v>
      </c>
      <c r="L4100" t="n">
        <v>0</v>
      </c>
      <c r="M4100" t="n">
        <v>0</v>
      </c>
      <c r="N4100" t="n">
        <v>0</v>
      </c>
      <c r="O4100" t="n">
        <v>0</v>
      </c>
      <c r="P4100" t="n">
        <v>0</v>
      </c>
      <c r="Q4100" t="n">
        <v>0</v>
      </c>
      <c r="R4100" s="2" t="inlineStr"/>
    </row>
    <row r="4101" ht="15" customHeight="1">
      <c r="A4101" t="inlineStr">
        <is>
          <t>A 38576-2021</t>
        </is>
      </c>
      <c r="B4101" s="1" t="n">
        <v>44407</v>
      </c>
      <c r="C4101" s="1" t="n">
        <v>45182</v>
      </c>
      <c r="D4101" t="inlineStr">
        <is>
          <t>JÄMTLANDS LÄN</t>
        </is>
      </c>
      <c r="E4101" t="inlineStr">
        <is>
          <t>STRÖMSUND</t>
        </is>
      </c>
      <c r="F4101" t="inlineStr">
        <is>
          <t>SCA</t>
        </is>
      </c>
      <c r="G4101" t="n">
        <v>5.4</v>
      </c>
      <c r="H4101" t="n">
        <v>0</v>
      </c>
      <c r="I4101" t="n">
        <v>0</v>
      </c>
      <c r="J4101" t="n">
        <v>0</v>
      </c>
      <c r="K4101" t="n">
        <v>0</v>
      </c>
      <c r="L4101" t="n">
        <v>0</v>
      </c>
      <c r="M4101" t="n">
        <v>0</v>
      </c>
      <c r="N4101" t="n">
        <v>0</v>
      </c>
      <c r="O4101" t="n">
        <v>0</v>
      </c>
      <c r="P4101" t="n">
        <v>0</v>
      </c>
      <c r="Q4101" t="n">
        <v>0</v>
      </c>
      <c r="R4101" s="2" t="inlineStr"/>
    </row>
    <row r="4102" ht="15" customHeight="1">
      <c r="A4102" t="inlineStr">
        <is>
          <t>A 38578-2021</t>
        </is>
      </c>
      <c r="B4102" s="1" t="n">
        <v>44407</v>
      </c>
      <c r="C4102" s="1" t="n">
        <v>45182</v>
      </c>
      <c r="D4102" t="inlineStr">
        <is>
          <t>JÄMTLANDS LÄN</t>
        </is>
      </c>
      <c r="E4102" t="inlineStr">
        <is>
          <t>STRÖMSUND</t>
        </is>
      </c>
      <c r="F4102" t="inlineStr">
        <is>
          <t>SCA</t>
        </is>
      </c>
      <c r="G4102" t="n">
        <v>2.2</v>
      </c>
      <c r="H4102" t="n">
        <v>0</v>
      </c>
      <c r="I4102" t="n">
        <v>0</v>
      </c>
      <c r="J4102" t="n">
        <v>0</v>
      </c>
      <c r="K4102" t="n">
        <v>0</v>
      </c>
      <c r="L4102" t="n">
        <v>0</v>
      </c>
      <c r="M4102" t="n">
        <v>0</v>
      </c>
      <c r="N4102" t="n">
        <v>0</v>
      </c>
      <c r="O4102" t="n">
        <v>0</v>
      </c>
      <c r="P4102" t="n">
        <v>0</v>
      </c>
      <c r="Q4102" t="n">
        <v>0</v>
      </c>
      <c r="R4102" s="2" t="inlineStr"/>
    </row>
    <row r="4103" ht="15" customHeight="1">
      <c r="A4103" t="inlineStr">
        <is>
          <t>A 38511-2021</t>
        </is>
      </c>
      <c r="B4103" s="1" t="n">
        <v>44407</v>
      </c>
      <c r="C4103" s="1" t="n">
        <v>45182</v>
      </c>
      <c r="D4103" t="inlineStr">
        <is>
          <t>JÄMTLANDS LÄN</t>
        </is>
      </c>
      <c r="E4103" t="inlineStr">
        <is>
          <t>KROKOM</t>
        </is>
      </c>
      <c r="G4103" t="n">
        <v>0.5</v>
      </c>
      <c r="H4103" t="n">
        <v>0</v>
      </c>
      <c r="I4103" t="n">
        <v>0</v>
      </c>
      <c r="J4103" t="n">
        <v>0</v>
      </c>
      <c r="K4103" t="n">
        <v>0</v>
      </c>
      <c r="L4103" t="n">
        <v>0</v>
      </c>
      <c r="M4103" t="n">
        <v>0</v>
      </c>
      <c r="N4103" t="n">
        <v>0</v>
      </c>
      <c r="O4103" t="n">
        <v>0</v>
      </c>
      <c r="P4103" t="n">
        <v>0</v>
      </c>
      <c r="Q4103" t="n">
        <v>0</v>
      </c>
      <c r="R4103" s="2" t="inlineStr"/>
    </row>
    <row r="4104" ht="15" customHeight="1">
      <c r="A4104" t="inlineStr">
        <is>
          <t>A 38786-2021</t>
        </is>
      </c>
      <c r="B4104" s="1" t="n">
        <v>44410</v>
      </c>
      <c r="C4104" s="1" t="n">
        <v>45182</v>
      </c>
      <c r="D4104" t="inlineStr">
        <is>
          <t>JÄMTLANDS LÄN</t>
        </is>
      </c>
      <c r="E4104" t="inlineStr">
        <is>
          <t>STRÖMSUND</t>
        </is>
      </c>
      <c r="G4104" t="n">
        <v>2.3</v>
      </c>
      <c r="H4104" t="n">
        <v>0</v>
      </c>
      <c r="I4104" t="n">
        <v>0</v>
      </c>
      <c r="J4104" t="n">
        <v>0</v>
      </c>
      <c r="K4104" t="n">
        <v>0</v>
      </c>
      <c r="L4104" t="n">
        <v>0</v>
      </c>
      <c r="M4104" t="n">
        <v>0</v>
      </c>
      <c r="N4104" t="n">
        <v>0</v>
      </c>
      <c r="O4104" t="n">
        <v>0</v>
      </c>
      <c r="P4104" t="n">
        <v>0</v>
      </c>
      <c r="Q4104" t="n">
        <v>0</v>
      </c>
      <c r="R4104" s="2" t="inlineStr"/>
    </row>
    <row r="4105" ht="15" customHeight="1">
      <c r="A4105" t="inlineStr">
        <is>
          <t>A 38763-2021</t>
        </is>
      </c>
      <c r="B4105" s="1" t="n">
        <v>44410</v>
      </c>
      <c r="C4105" s="1" t="n">
        <v>45182</v>
      </c>
      <c r="D4105" t="inlineStr">
        <is>
          <t>JÄMTLANDS LÄN</t>
        </is>
      </c>
      <c r="E4105" t="inlineStr">
        <is>
          <t>STRÖMSUND</t>
        </is>
      </c>
      <c r="F4105" t="inlineStr">
        <is>
          <t>Kyrkan</t>
        </is>
      </c>
      <c r="G4105" t="n">
        <v>4.8</v>
      </c>
      <c r="H4105" t="n">
        <v>0</v>
      </c>
      <c r="I4105" t="n">
        <v>0</v>
      </c>
      <c r="J4105" t="n">
        <v>0</v>
      </c>
      <c r="K4105" t="n">
        <v>0</v>
      </c>
      <c r="L4105" t="n">
        <v>0</v>
      </c>
      <c r="M4105" t="n">
        <v>0</v>
      </c>
      <c r="N4105" t="n">
        <v>0</v>
      </c>
      <c r="O4105" t="n">
        <v>0</v>
      </c>
      <c r="P4105" t="n">
        <v>0</v>
      </c>
      <c r="Q4105" t="n">
        <v>0</v>
      </c>
      <c r="R4105" s="2" t="inlineStr"/>
    </row>
    <row r="4106" ht="15" customHeight="1">
      <c r="A4106" t="inlineStr">
        <is>
          <t>A 38782-2021</t>
        </is>
      </c>
      <c r="B4106" s="1" t="n">
        <v>44410</v>
      </c>
      <c r="C4106" s="1" t="n">
        <v>45182</v>
      </c>
      <c r="D4106" t="inlineStr">
        <is>
          <t>JÄMTLANDS LÄN</t>
        </is>
      </c>
      <c r="E4106" t="inlineStr">
        <is>
          <t>RAGUNDA</t>
        </is>
      </c>
      <c r="G4106" t="n">
        <v>3.2</v>
      </c>
      <c r="H4106" t="n">
        <v>0</v>
      </c>
      <c r="I4106" t="n">
        <v>0</v>
      </c>
      <c r="J4106" t="n">
        <v>0</v>
      </c>
      <c r="K4106" t="n">
        <v>0</v>
      </c>
      <c r="L4106" t="n">
        <v>0</v>
      </c>
      <c r="M4106" t="n">
        <v>0</v>
      </c>
      <c r="N4106" t="n">
        <v>0</v>
      </c>
      <c r="O4106" t="n">
        <v>0</v>
      </c>
      <c r="P4106" t="n">
        <v>0</v>
      </c>
      <c r="Q4106" t="n">
        <v>0</v>
      </c>
      <c r="R4106" s="2" t="inlineStr"/>
    </row>
    <row r="4107" ht="15" customHeight="1">
      <c r="A4107" t="inlineStr">
        <is>
          <t>A 38956-2021</t>
        </is>
      </c>
      <c r="B4107" s="1" t="n">
        <v>44411</v>
      </c>
      <c r="C4107" s="1" t="n">
        <v>45182</v>
      </c>
      <c r="D4107" t="inlineStr">
        <is>
          <t>JÄMTLANDS LÄN</t>
        </is>
      </c>
      <c r="E4107" t="inlineStr">
        <is>
          <t>BRÄCKE</t>
        </is>
      </c>
      <c r="G4107" t="n">
        <v>1.6</v>
      </c>
      <c r="H4107" t="n">
        <v>0</v>
      </c>
      <c r="I4107" t="n">
        <v>0</v>
      </c>
      <c r="J4107" t="n">
        <v>0</v>
      </c>
      <c r="K4107" t="n">
        <v>0</v>
      </c>
      <c r="L4107" t="n">
        <v>0</v>
      </c>
      <c r="M4107" t="n">
        <v>0</v>
      </c>
      <c r="N4107" t="n">
        <v>0</v>
      </c>
      <c r="O4107" t="n">
        <v>0</v>
      </c>
      <c r="P4107" t="n">
        <v>0</v>
      </c>
      <c r="Q4107" t="n">
        <v>0</v>
      </c>
      <c r="R4107" s="2" t="inlineStr"/>
    </row>
    <row r="4108" ht="15" customHeight="1">
      <c r="A4108" t="inlineStr">
        <is>
          <t>A 39258-2021</t>
        </is>
      </c>
      <c r="B4108" s="1" t="n">
        <v>44413</v>
      </c>
      <c r="C4108" s="1" t="n">
        <v>45182</v>
      </c>
      <c r="D4108" t="inlineStr">
        <is>
          <t>JÄMTLANDS LÄN</t>
        </is>
      </c>
      <c r="E4108" t="inlineStr">
        <is>
          <t>RAGUNDA</t>
        </is>
      </c>
      <c r="G4108" t="n">
        <v>4.2</v>
      </c>
      <c r="H4108" t="n">
        <v>0</v>
      </c>
      <c r="I4108" t="n">
        <v>0</v>
      </c>
      <c r="J4108" t="n">
        <v>0</v>
      </c>
      <c r="K4108" t="n">
        <v>0</v>
      </c>
      <c r="L4108" t="n">
        <v>0</v>
      </c>
      <c r="M4108" t="n">
        <v>0</v>
      </c>
      <c r="N4108" t="n">
        <v>0</v>
      </c>
      <c r="O4108" t="n">
        <v>0</v>
      </c>
      <c r="P4108" t="n">
        <v>0</v>
      </c>
      <c r="Q4108" t="n">
        <v>0</v>
      </c>
      <c r="R4108" s="2" t="inlineStr"/>
    </row>
    <row r="4109" ht="15" customHeight="1">
      <c r="A4109" t="inlineStr">
        <is>
          <t>A 39332-2021</t>
        </is>
      </c>
      <c r="B4109" s="1" t="n">
        <v>44413</v>
      </c>
      <c r="C4109" s="1" t="n">
        <v>45182</v>
      </c>
      <c r="D4109" t="inlineStr">
        <is>
          <t>JÄMTLANDS LÄN</t>
        </is>
      </c>
      <c r="E4109" t="inlineStr">
        <is>
          <t>STRÖMSUND</t>
        </is>
      </c>
      <c r="F4109" t="inlineStr">
        <is>
          <t>SCA</t>
        </is>
      </c>
      <c r="G4109" t="n">
        <v>3.5</v>
      </c>
      <c r="H4109" t="n">
        <v>0</v>
      </c>
      <c r="I4109" t="n">
        <v>0</v>
      </c>
      <c r="J4109" t="n">
        <v>0</v>
      </c>
      <c r="K4109" t="n">
        <v>0</v>
      </c>
      <c r="L4109" t="n">
        <v>0</v>
      </c>
      <c r="M4109" t="n">
        <v>0</v>
      </c>
      <c r="N4109" t="n">
        <v>0</v>
      </c>
      <c r="O4109" t="n">
        <v>0</v>
      </c>
      <c r="P4109" t="n">
        <v>0</v>
      </c>
      <c r="Q4109" t="n">
        <v>0</v>
      </c>
      <c r="R4109" s="2" t="inlineStr"/>
    </row>
    <row r="4110" ht="15" customHeight="1">
      <c r="A4110" t="inlineStr">
        <is>
          <t>A 39321-2021</t>
        </is>
      </c>
      <c r="B4110" s="1" t="n">
        <v>44413</v>
      </c>
      <c r="C4110" s="1" t="n">
        <v>45182</v>
      </c>
      <c r="D4110" t="inlineStr">
        <is>
          <t>JÄMTLANDS LÄN</t>
        </is>
      </c>
      <c r="E4110" t="inlineStr">
        <is>
          <t>HÄRJEDALEN</t>
        </is>
      </c>
      <c r="G4110" t="n">
        <v>3.6</v>
      </c>
      <c r="H4110" t="n">
        <v>0</v>
      </c>
      <c r="I4110" t="n">
        <v>0</v>
      </c>
      <c r="J4110" t="n">
        <v>0</v>
      </c>
      <c r="K4110" t="n">
        <v>0</v>
      </c>
      <c r="L4110" t="n">
        <v>0</v>
      </c>
      <c r="M4110" t="n">
        <v>0</v>
      </c>
      <c r="N4110" t="n">
        <v>0</v>
      </c>
      <c r="O4110" t="n">
        <v>0</v>
      </c>
      <c r="P4110" t="n">
        <v>0</v>
      </c>
      <c r="Q4110" t="n">
        <v>0</v>
      </c>
      <c r="R4110" s="2" t="inlineStr"/>
    </row>
    <row r="4111" ht="15" customHeight="1">
      <c r="A4111" t="inlineStr">
        <is>
          <t>A 39493-2021</t>
        </is>
      </c>
      <c r="B4111" s="1" t="n">
        <v>44414</v>
      </c>
      <c r="C4111" s="1" t="n">
        <v>45182</v>
      </c>
      <c r="D4111" t="inlineStr">
        <is>
          <t>JÄMTLANDS LÄN</t>
        </is>
      </c>
      <c r="E4111" t="inlineStr">
        <is>
          <t>HÄRJEDALEN</t>
        </is>
      </c>
      <c r="G4111" t="n">
        <v>13.5</v>
      </c>
      <c r="H4111" t="n">
        <v>0</v>
      </c>
      <c r="I4111" t="n">
        <v>0</v>
      </c>
      <c r="J4111" t="n">
        <v>0</v>
      </c>
      <c r="K4111" t="n">
        <v>0</v>
      </c>
      <c r="L4111" t="n">
        <v>0</v>
      </c>
      <c r="M4111" t="n">
        <v>0</v>
      </c>
      <c r="N4111" t="n">
        <v>0</v>
      </c>
      <c r="O4111" t="n">
        <v>0</v>
      </c>
      <c r="P4111" t="n">
        <v>0</v>
      </c>
      <c r="Q4111" t="n">
        <v>0</v>
      </c>
      <c r="R4111" s="2" t="inlineStr"/>
    </row>
    <row r="4112" ht="15" customHeight="1">
      <c r="A4112" t="inlineStr">
        <is>
          <t>A 39511-2021</t>
        </is>
      </c>
      <c r="B4112" s="1" t="n">
        <v>44414</v>
      </c>
      <c r="C4112" s="1" t="n">
        <v>45182</v>
      </c>
      <c r="D4112" t="inlineStr">
        <is>
          <t>JÄMTLANDS LÄN</t>
        </is>
      </c>
      <c r="E4112" t="inlineStr">
        <is>
          <t>STRÖMSUND</t>
        </is>
      </c>
      <c r="F4112" t="inlineStr">
        <is>
          <t>SCA</t>
        </is>
      </c>
      <c r="G4112" t="n">
        <v>3.8</v>
      </c>
      <c r="H4112" t="n">
        <v>0</v>
      </c>
      <c r="I4112" t="n">
        <v>0</v>
      </c>
      <c r="J4112" t="n">
        <v>0</v>
      </c>
      <c r="K4112" t="n">
        <v>0</v>
      </c>
      <c r="L4112" t="n">
        <v>0</v>
      </c>
      <c r="M4112" t="n">
        <v>0</v>
      </c>
      <c r="N4112" t="n">
        <v>0</v>
      </c>
      <c r="O4112" t="n">
        <v>0</v>
      </c>
      <c r="P4112" t="n">
        <v>0</v>
      </c>
      <c r="Q4112" t="n">
        <v>0</v>
      </c>
      <c r="R4112" s="2" t="inlineStr"/>
    </row>
    <row r="4113" ht="15" customHeight="1">
      <c r="A4113" t="inlineStr">
        <is>
          <t>A 39492-2021</t>
        </is>
      </c>
      <c r="B4113" s="1" t="n">
        <v>44414</v>
      </c>
      <c r="C4113" s="1" t="n">
        <v>45182</v>
      </c>
      <c r="D4113" t="inlineStr">
        <is>
          <t>JÄMTLANDS LÄN</t>
        </is>
      </c>
      <c r="E4113" t="inlineStr">
        <is>
          <t>HÄRJEDALEN</t>
        </is>
      </c>
      <c r="G4113" t="n">
        <v>28.3</v>
      </c>
      <c r="H4113" t="n">
        <v>0</v>
      </c>
      <c r="I4113" t="n">
        <v>0</v>
      </c>
      <c r="J4113" t="n">
        <v>0</v>
      </c>
      <c r="K4113" t="n">
        <v>0</v>
      </c>
      <c r="L4113" t="n">
        <v>0</v>
      </c>
      <c r="M4113" t="n">
        <v>0</v>
      </c>
      <c r="N4113" t="n">
        <v>0</v>
      </c>
      <c r="O4113" t="n">
        <v>0</v>
      </c>
      <c r="P4113" t="n">
        <v>0</v>
      </c>
      <c r="Q4113" t="n">
        <v>0</v>
      </c>
      <c r="R4113" s="2" t="inlineStr"/>
    </row>
    <row r="4114" ht="15" customHeight="1">
      <c r="A4114" t="inlineStr">
        <is>
          <t>A 39510-2021</t>
        </is>
      </c>
      <c r="B4114" s="1" t="n">
        <v>44414</v>
      </c>
      <c r="C4114" s="1" t="n">
        <v>45182</v>
      </c>
      <c r="D4114" t="inlineStr">
        <is>
          <t>JÄMTLANDS LÄN</t>
        </is>
      </c>
      <c r="E4114" t="inlineStr">
        <is>
          <t>STRÖMSUND</t>
        </is>
      </c>
      <c r="F4114" t="inlineStr">
        <is>
          <t>SCA</t>
        </is>
      </c>
      <c r="G4114" t="n">
        <v>1.4</v>
      </c>
      <c r="H4114" t="n">
        <v>0</v>
      </c>
      <c r="I4114" t="n">
        <v>0</v>
      </c>
      <c r="J4114" t="n">
        <v>0</v>
      </c>
      <c r="K4114" t="n">
        <v>0</v>
      </c>
      <c r="L4114" t="n">
        <v>0</v>
      </c>
      <c r="M4114" t="n">
        <v>0</v>
      </c>
      <c r="N4114" t="n">
        <v>0</v>
      </c>
      <c r="O4114" t="n">
        <v>0</v>
      </c>
      <c r="P4114" t="n">
        <v>0</v>
      </c>
      <c r="Q4114" t="n">
        <v>0</v>
      </c>
      <c r="R4114" s="2" t="inlineStr"/>
    </row>
    <row r="4115" ht="15" customHeight="1">
      <c r="A4115" t="inlineStr">
        <is>
          <t>A 39735-2021</t>
        </is>
      </c>
      <c r="B4115" s="1" t="n">
        <v>44414</v>
      </c>
      <c r="C4115" s="1" t="n">
        <v>45182</v>
      </c>
      <c r="D4115" t="inlineStr">
        <is>
          <t>JÄMTLANDS LÄN</t>
        </is>
      </c>
      <c r="E4115" t="inlineStr">
        <is>
          <t>ÖSTERSUND</t>
        </is>
      </c>
      <c r="G4115" t="n">
        <v>4.5</v>
      </c>
      <c r="H4115" t="n">
        <v>0</v>
      </c>
      <c r="I4115" t="n">
        <v>0</v>
      </c>
      <c r="J4115" t="n">
        <v>0</v>
      </c>
      <c r="K4115" t="n">
        <v>0</v>
      </c>
      <c r="L4115" t="n">
        <v>0</v>
      </c>
      <c r="M4115" t="n">
        <v>0</v>
      </c>
      <c r="N4115" t="n">
        <v>0</v>
      </c>
      <c r="O4115" t="n">
        <v>0</v>
      </c>
      <c r="P4115" t="n">
        <v>0</v>
      </c>
      <c r="Q4115" t="n">
        <v>0</v>
      </c>
      <c r="R4115" s="2" t="inlineStr"/>
    </row>
    <row r="4116" ht="15" customHeight="1">
      <c r="A4116" t="inlineStr">
        <is>
          <t>A 39611-2021</t>
        </is>
      </c>
      <c r="B4116" s="1" t="n">
        <v>44417</v>
      </c>
      <c r="C4116" s="1" t="n">
        <v>45182</v>
      </c>
      <c r="D4116" t="inlineStr">
        <is>
          <t>JÄMTLANDS LÄN</t>
        </is>
      </c>
      <c r="E4116" t="inlineStr">
        <is>
          <t>HÄRJEDALEN</t>
        </is>
      </c>
      <c r="G4116" t="n">
        <v>2</v>
      </c>
      <c r="H4116" t="n">
        <v>0</v>
      </c>
      <c r="I4116" t="n">
        <v>0</v>
      </c>
      <c r="J4116" t="n">
        <v>0</v>
      </c>
      <c r="K4116" t="n">
        <v>0</v>
      </c>
      <c r="L4116" t="n">
        <v>0</v>
      </c>
      <c r="M4116" t="n">
        <v>0</v>
      </c>
      <c r="N4116" t="n">
        <v>0</v>
      </c>
      <c r="O4116" t="n">
        <v>0</v>
      </c>
      <c r="P4116" t="n">
        <v>0</v>
      </c>
      <c r="Q4116" t="n">
        <v>0</v>
      </c>
      <c r="R4116" s="2" t="inlineStr"/>
    </row>
    <row r="4117" ht="15" customHeight="1">
      <c r="A4117" t="inlineStr">
        <is>
          <t>A 39934-2021</t>
        </is>
      </c>
      <c r="B4117" s="1" t="n">
        <v>44417</v>
      </c>
      <c r="C4117" s="1" t="n">
        <v>45182</v>
      </c>
      <c r="D4117" t="inlineStr">
        <is>
          <t>JÄMTLANDS LÄN</t>
        </is>
      </c>
      <c r="E4117" t="inlineStr">
        <is>
          <t>BRÄCKE</t>
        </is>
      </c>
      <c r="F4117" t="inlineStr">
        <is>
          <t>SCA</t>
        </is>
      </c>
      <c r="G4117" t="n">
        <v>1.7</v>
      </c>
      <c r="H4117" t="n">
        <v>0</v>
      </c>
      <c r="I4117" t="n">
        <v>0</v>
      </c>
      <c r="J4117" t="n">
        <v>0</v>
      </c>
      <c r="K4117" t="n">
        <v>0</v>
      </c>
      <c r="L4117" t="n">
        <v>0</v>
      </c>
      <c r="M4117" t="n">
        <v>0</v>
      </c>
      <c r="N4117" t="n">
        <v>0</v>
      </c>
      <c r="O4117" t="n">
        <v>0</v>
      </c>
      <c r="P4117" t="n">
        <v>0</v>
      </c>
      <c r="Q4117" t="n">
        <v>0</v>
      </c>
      <c r="R4117" s="2" t="inlineStr"/>
    </row>
    <row r="4118" ht="15" customHeight="1">
      <c r="A4118" t="inlineStr">
        <is>
          <t>A 39945-2021</t>
        </is>
      </c>
      <c r="B4118" s="1" t="n">
        <v>44417</v>
      </c>
      <c r="C4118" s="1" t="n">
        <v>45182</v>
      </c>
      <c r="D4118" t="inlineStr">
        <is>
          <t>JÄMTLANDS LÄN</t>
        </is>
      </c>
      <c r="E4118" t="inlineStr">
        <is>
          <t>STRÖMSUND</t>
        </is>
      </c>
      <c r="F4118" t="inlineStr">
        <is>
          <t>SCA</t>
        </is>
      </c>
      <c r="G4118" t="n">
        <v>0.9</v>
      </c>
      <c r="H4118" t="n">
        <v>0</v>
      </c>
      <c r="I4118" t="n">
        <v>0</v>
      </c>
      <c r="J4118" t="n">
        <v>0</v>
      </c>
      <c r="K4118" t="n">
        <v>0</v>
      </c>
      <c r="L4118" t="n">
        <v>0</v>
      </c>
      <c r="M4118" t="n">
        <v>0</v>
      </c>
      <c r="N4118" t="n">
        <v>0</v>
      </c>
      <c r="O4118" t="n">
        <v>0</v>
      </c>
      <c r="P4118" t="n">
        <v>0</v>
      </c>
      <c r="Q4118" t="n">
        <v>0</v>
      </c>
      <c r="R4118" s="2" t="inlineStr"/>
    </row>
    <row r="4119" ht="15" customHeight="1">
      <c r="A4119" t="inlineStr">
        <is>
          <t>A 39943-2021</t>
        </is>
      </c>
      <c r="B4119" s="1" t="n">
        <v>44417</v>
      </c>
      <c r="C4119" s="1" t="n">
        <v>45182</v>
      </c>
      <c r="D4119" t="inlineStr">
        <is>
          <t>JÄMTLANDS LÄN</t>
        </is>
      </c>
      <c r="E4119" t="inlineStr">
        <is>
          <t>BERG</t>
        </is>
      </c>
      <c r="F4119" t="inlineStr">
        <is>
          <t>SCA</t>
        </is>
      </c>
      <c r="G4119" t="n">
        <v>8.199999999999999</v>
      </c>
      <c r="H4119" t="n">
        <v>0</v>
      </c>
      <c r="I4119" t="n">
        <v>0</v>
      </c>
      <c r="J4119" t="n">
        <v>0</v>
      </c>
      <c r="K4119" t="n">
        <v>0</v>
      </c>
      <c r="L4119" t="n">
        <v>0</v>
      </c>
      <c r="M4119" t="n">
        <v>0</v>
      </c>
      <c r="N4119" t="n">
        <v>0</v>
      </c>
      <c r="O4119" t="n">
        <v>0</v>
      </c>
      <c r="P4119" t="n">
        <v>0</v>
      </c>
      <c r="Q4119" t="n">
        <v>0</v>
      </c>
      <c r="R4119" s="2" t="inlineStr"/>
    </row>
    <row r="4120" ht="15" customHeight="1">
      <c r="A4120" t="inlineStr">
        <is>
          <t>A 39610-2021</t>
        </is>
      </c>
      <c r="B4120" s="1" t="n">
        <v>44417</v>
      </c>
      <c r="C4120" s="1" t="n">
        <v>45182</v>
      </c>
      <c r="D4120" t="inlineStr">
        <is>
          <t>JÄMTLANDS LÄN</t>
        </is>
      </c>
      <c r="E4120" t="inlineStr">
        <is>
          <t>HÄRJEDALEN</t>
        </is>
      </c>
      <c r="G4120" t="n">
        <v>5.1</v>
      </c>
      <c r="H4120" t="n">
        <v>0</v>
      </c>
      <c r="I4120" t="n">
        <v>0</v>
      </c>
      <c r="J4120" t="n">
        <v>0</v>
      </c>
      <c r="K4120" t="n">
        <v>0</v>
      </c>
      <c r="L4120" t="n">
        <v>0</v>
      </c>
      <c r="M4120" t="n">
        <v>0</v>
      </c>
      <c r="N4120" t="n">
        <v>0</v>
      </c>
      <c r="O4120" t="n">
        <v>0</v>
      </c>
      <c r="P4120" t="n">
        <v>0</v>
      </c>
      <c r="Q4120" t="n">
        <v>0</v>
      </c>
      <c r="R4120" s="2" t="inlineStr"/>
    </row>
    <row r="4121" ht="15" customHeight="1">
      <c r="A4121" t="inlineStr">
        <is>
          <t>A 39944-2021</t>
        </is>
      </c>
      <c r="B4121" s="1" t="n">
        <v>44417</v>
      </c>
      <c r="C4121" s="1" t="n">
        <v>45182</v>
      </c>
      <c r="D4121" t="inlineStr">
        <is>
          <t>JÄMTLANDS LÄN</t>
        </is>
      </c>
      <c r="E4121" t="inlineStr">
        <is>
          <t>STRÖMSUND</t>
        </is>
      </c>
      <c r="F4121" t="inlineStr">
        <is>
          <t>SCA</t>
        </is>
      </c>
      <c r="G4121" t="n">
        <v>2.7</v>
      </c>
      <c r="H4121" t="n">
        <v>0</v>
      </c>
      <c r="I4121" t="n">
        <v>0</v>
      </c>
      <c r="J4121" t="n">
        <v>0</v>
      </c>
      <c r="K4121" t="n">
        <v>0</v>
      </c>
      <c r="L4121" t="n">
        <v>0</v>
      </c>
      <c r="M4121" t="n">
        <v>0</v>
      </c>
      <c r="N4121" t="n">
        <v>0</v>
      </c>
      <c r="O4121" t="n">
        <v>0</v>
      </c>
      <c r="P4121" t="n">
        <v>0</v>
      </c>
      <c r="Q4121" t="n">
        <v>0</v>
      </c>
      <c r="R4121" s="2" t="inlineStr"/>
    </row>
    <row r="4122" ht="15" customHeight="1">
      <c r="A4122" t="inlineStr">
        <is>
          <t>A 39950-2021</t>
        </is>
      </c>
      <c r="B4122" s="1" t="n">
        <v>44418</v>
      </c>
      <c r="C4122" s="1" t="n">
        <v>45182</v>
      </c>
      <c r="D4122" t="inlineStr">
        <is>
          <t>JÄMTLANDS LÄN</t>
        </is>
      </c>
      <c r="E4122" t="inlineStr">
        <is>
          <t>HÄRJEDALEN</t>
        </is>
      </c>
      <c r="F4122" t="inlineStr">
        <is>
          <t>Sveaskog</t>
        </is>
      </c>
      <c r="G4122" t="n">
        <v>6.5</v>
      </c>
      <c r="H4122" t="n">
        <v>0</v>
      </c>
      <c r="I4122" t="n">
        <v>0</v>
      </c>
      <c r="J4122" t="n">
        <v>0</v>
      </c>
      <c r="K4122" t="n">
        <v>0</v>
      </c>
      <c r="L4122" t="n">
        <v>0</v>
      </c>
      <c r="M4122" t="n">
        <v>0</v>
      </c>
      <c r="N4122" t="n">
        <v>0</v>
      </c>
      <c r="O4122" t="n">
        <v>0</v>
      </c>
      <c r="P4122" t="n">
        <v>0</v>
      </c>
      <c r="Q4122" t="n">
        <v>0</v>
      </c>
      <c r="R4122" s="2" t="inlineStr"/>
    </row>
    <row r="4123" ht="15" customHeight="1">
      <c r="A4123" t="inlineStr">
        <is>
          <t>A 39979-2021</t>
        </is>
      </c>
      <c r="B4123" s="1" t="n">
        <v>44418</v>
      </c>
      <c r="C4123" s="1" t="n">
        <v>45182</v>
      </c>
      <c r="D4123" t="inlineStr">
        <is>
          <t>JÄMTLANDS LÄN</t>
        </is>
      </c>
      <c r="E4123" t="inlineStr">
        <is>
          <t>HÄRJEDALEN</t>
        </is>
      </c>
      <c r="G4123" t="n">
        <v>9</v>
      </c>
      <c r="H4123" t="n">
        <v>0</v>
      </c>
      <c r="I4123" t="n">
        <v>0</v>
      </c>
      <c r="J4123" t="n">
        <v>0</v>
      </c>
      <c r="K4123" t="n">
        <v>0</v>
      </c>
      <c r="L4123" t="n">
        <v>0</v>
      </c>
      <c r="M4123" t="n">
        <v>0</v>
      </c>
      <c r="N4123" t="n">
        <v>0</v>
      </c>
      <c r="O4123" t="n">
        <v>0</v>
      </c>
      <c r="P4123" t="n">
        <v>0</v>
      </c>
      <c r="Q4123" t="n">
        <v>0</v>
      </c>
      <c r="R4123" s="2" t="inlineStr"/>
    </row>
    <row r="4124" ht="15" customHeight="1">
      <c r="A4124" t="inlineStr">
        <is>
          <t>A 39951-2021</t>
        </is>
      </c>
      <c r="B4124" s="1" t="n">
        <v>44418</v>
      </c>
      <c r="C4124" s="1" t="n">
        <v>45182</v>
      </c>
      <c r="D4124" t="inlineStr">
        <is>
          <t>JÄMTLANDS LÄN</t>
        </is>
      </c>
      <c r="E4124" t="inlineStr">
        <is>
          <t>HÄRJEDALEN</t>
        </is>
      </c>
      <c r="F4124" t="inlineStr">
        <is>
          <t>Sveaskog</t>
        </is>
      </c>
      <c r="G4124" t="n">
        <v>1.9</v>
      </c>
      <c r="H4124" t="n">
        <v>0</v>
      </c>
      <c r="I4124" t="n">
        <v>0</v>
      </c>
      <c r="J4124" t="n">
        <v>0</v>
      </c>
      <c r="K4124" t="n">
        <v>0</v>
      </c>
      <c r="L4124" t="n">
        <v>0</v>
      </c>
      <c r="M4124" t="n">
        <v>0</v>
      </c>
      <c r="N4124" t="n">
        <v>0</v>
      </c>
      <c r="O4124" t="n">
        <v>0</v>
      </c>
      <c r="P4124" t="n">
        <v>0</v>
      </c>
      <c r="Q4124" t="n">
        <v>0</v>
      </c>
      <c r="R4124" s="2" t="inlineStr"/>
    </row>
    <row r="4125" ht="15" customHeight="1">
      <c r="A4125" t="inlineStr">
        <is>
          <t>A 40339-2021</t>
        </is>
      </c>
      <c r="B4125" s="1" t="n">
        <v>44419</v>
      </c>
      <c r="C4125" s="1" t="n">
        <v>45182</v>
      </c>
      <c r="D4125" t="inlineStr">
        <is>
          <t>JÄMTLANDS LÄN</t>
        </is>
      </c>
      <c r="E4125" t="inlineStr">
        <is>
          <t>ÅRE</t>
        </is>
      </c>
      <c r="G4125" t="n">
        <v>6.4</v>
      </c>
      <c r="H4125" t="n">
        <v>0</v>
      </c>
      <c r="I4125" t="n">
        <v>0</v>
      </c>
      <c r="J4125" t="n">
        <v>0</v>
      </c>
      <c r="K4125" t="n">
        <v>0</v>
      </c>
      <c r="L4125" t="n">
        <v>0</v>
      </c>
      <c r="M4125" t="n">
        <v>0</v>
      </c>
      <c r="N4125" t="n">
        <v>0</v>
      </c>
      <c r="O4125" t="n">
        <v>0</v>
      </c>
      <c r="P4125" t="n">
        <v>0</v>
      </c>
      <c r="Q4125" t="n">
        <v>0</v>
      </c>
      <c r="R4125" s="2" t="inlineStr"/>
    </row>
    <row r="4126" ht="15" customHeight="1">
      <c r="A4126" t="inlineStr">
        <is>
          <t>A 40290-2021</t>
        </is>
      </c>
      <c r="B4126" s="1" t="n">
        <v>44419</v>
      </c>
      <c r="C4126" s="1" t="n">
        <v>45182</v>
      </c>
      <c r="D4126" t="inlineStr">
        <is>
          <t>JÄMTLANDS LÄN</t>
        </is>
      </c>
      <c r="E4126" t="inlineStr">
        <is>
          <t>KROKOM</t>
        </is>
      </c>
      <c r="G4126" t="n">
        <v>4.4</v>
      </c>
      <c r="H4126" t="n">
        <v>0</v>
      </c>
      <c r="I4126" t="n">
        <v>0</v>
      </c>
      <c r="J4126" t="n">
        <v>0</v>
      </c>
      <c r="K4126" t="n">
        <v>0</v>
      </c>
      <c r="L4126" t="n">
        <v>0</v>
      </c>
      <c r="M4126" t="n">
        <v>0</v>
      </c>
      <c r="N4126" t="n">
        <v>0</v>
      </c>
      <c r="O4126" t="n">
        <v>0</v>
      </c>
      <c r="P4126" t="n">
        <v>0</v>
      </c>
      <c r="Q4126" t="n">
        <v>0</v>
      </c>
      <c r="R4126" s="2" t="inlineStr"/>
    </row>
    <row r="4127" ht="15" customHeight="1">
      <c r="A4127" t="inlineStr">
        <is>
          <t>A 40341-2021</t>
        </is>
      </c>
      <c r="B4127" s="1" t="n">
        <v>44419</v>
      </c>
      <c r="C4127" s="1" t="n">
        <v>45182</v>
      </c>
      <c r="D4127" t="inlineStr">
        <is>
          <t>JÄMTLANDS LÄN</t>
        </is>
      </c>
      <c r="E4127" t="inlineStr">
        <is>
          <t>ÅRE</t>
        </is>
      </c>
      <c r="G4127" t="n">
        <v>3</v>
      </c>
      <c r="H4127" t="n">
        <v>0</v>
      </c>
      <c r="I4127" t="n">
        <v>0</v>
      </c>
      <c r="J4127" t="n">
        <v>0</v>
      </c>
      <c r="K4127" t="n">
        <v>0</v>
      </c>
      <c r="L4127" t="n">
        <v>0</v>
      </c>
      <c r="M4127" t="n">
        <v>0</v>
      </c>
      <c r="N4127" t="n">
        <v>0</v>
      </c>
      <c r="O4127" t="n">
        <v>0</v>
      </c>
      <c r="P4127" t="n">
        <v>0</v>
      </c>
      <c r="Q4127" t="n">
        <v>0</v>
      </c>
      <c r="R4127" s="2" t="inlineStr"/>
    </row>
    <row r="4128" ht="15" customHeight="1">
      <c r="A4128" t="inlineStr">
        <is>
          <t>A 40336-2021</t>
        </is>
      </c>
      <c r="B4128" s="1" t="n">
        <v>44419</v>
      </c>
      <c r="C4128" s="1" t="n">
        <v>45182</v>
      </c>
      <c r="D4128" t="inlineStr">
        <is>
          <t>JÄMTLANDS LÄN</t>
        </is>
      </c>
      <c r="E4128" t="inlineStr">
        <is>
          <t>ÅRE</t>
        </is>
      </c>
      <c r="G4128" t="n">
        <v>1.1</v>
      </c>
      <c r="H4128" t="n">
        <v>0</v>
      </c>
      <c r="I4128" t="n">
        <v>0</v>
      </c>
      <c r="J4128" t="n">
        <v>0</v>
      </c>
      <c r="K4128" t="n">
        <v>0</v>
      </c>
      <c r="L4128" t="n">
        <v>0</v>
      </c>
      <c r="M4128" t="n">
        <v>0</v>
      </c>
      <c r="N4128" t="n">
        <v>0</v>
      </c>
      <c r="O4128" t="n">
        <v>0</v>
      </c>
      <c r="P4128" t="n">
        <v>0</v>
      </c>
      <c r="Q4128" t="n">
        <v>0</v>
      </c>
      <c r="R4128" s="2" t="inlineStr"/>
    </row>
    <row r="4129" ht="15" customHeight="1">
      <c r="A4129" t="inlineStr">
        <is>
          <t>A 40354-2021</t>
        </is>
      </c>
      <c r="B4129" s="1" t="n">
        <v>44419</v>
      </c>
      <c r="C4129" s="1" t="n">
        <v>45182</v>
      </c>
      <c r="D4129" t="inlineStr">
        <is>
          <t>JÄMTLANDS LÄN</t>
        </is>
      </c>
      <c r="E4129" t="inlineStr">
        <is>
          <t>STRÖMSUND</t>
        </is>
      </c>
      <c r="G4129" t="n">
        <v>10</v>
      </c>
      <c r="H4129" t="n">
        <v>0</v>
      </c>
      <c r="I4129" t="n">
        <v>0</v>
      </c>
      <c r="J4129" t="n">
        <v>0</v>
      </c>
      <c r="K4129" t="n">
        <v>0</v>
      </c>
      <c r="L4129" t="n">
        <v>0</v>
      </c>
      <c r="M4129" t="n">
        <v>0</v>
      </c>
      <c r="N4129" t="n">
        <v>0</v>
      </c>
      <c r="O4129" t="n">
        <v>0</v>
      </c>
      <c r="P4129" t="n">
        <v>0</v>
      </c>
      <c r="Q4129" t="n">
        <v>0</v>
      </c>
      <c r="R4129" s="2" t="inlineStr"/>
    </row>
    <row r="4130" ht="15" customHeight="1">
      <c r="A4130" t="inlineStr">
        <is>
          <t>A 40769-2021</t>
        </is>
      </c>
      <c r="B4130" s="1" t="n">
        <v>44420</v>
      </c>
      <c r="C4130" s="1" t="n">
        <v>45182</v>
      </c>
      <c r="D4130" t="inlineStr">
        <is>
          <t>JÄMTLANDS LÄN</t>
        </is>
      </c>
      <c r="E4130" t="inlineStr">
        <is>
          <t>BRÄCKE</t>
        </is>
      </c>
      <c r="F4130" t="inlineStr">
        <is>
          <t>SCA</t>
        </is>
      </c>
      <c r="G4130" t="n">
        <v>2.9</v>
      </c>
      <c r="H4130" t="n">
        <v>0</v>
      </c>
      <c r="I4130" t="n">
        <v>0</v>
      </c>
      <c r="J4130" t="n">
        <v>0</v>
      </c>
      <c r="K4130" t="n">
        <v>0</v>
      </c>
      <c r="L4130" t="n">
        <v>0</v>
      </c>
      <c r="M4130" t="n">
        <v>0</v>
      </c>
      <c r="N4130" t="n">
        <v>0</v>
      </c>
      <c r="O4130" t="n">
        <v>0</v>
      </c>
      <c r="P4130" t="n">
        <v>0</v>
      </c>
      <c r="Q4130" t="n">
        <v>0</v>
      </c>
      <c r="R4130" s="2" t="inlineStr"/>
    </row>
    <row r="4131" ht="15" customHeight="1">
      <c r="A4131" t="inlineStr">
        <is>
          <t>A 40808-2021</t>
        </is>
      </c>
      <c r="B4131" s="1" t="n">
        <v>44421</v>
      </c>
      <c r="C4131" s="1" t="n">
        <v>45182</v>
      </c>
      <c r="D4131" t="inlineStr">
        <is>
          <t>JÄMTLANDS LÄN</t>
        </is>
      </c>
      <c r="E4131" t="inlineStr">
        <is>
          <t>HÄRJEDALEN</t>
        </is>
      </c>
      <c r="G4131" t="n">
        <v>0.5</v>
      </c>
      <c r="H4131" t="n">
        <v>0</v>
      </c>
      <c r="I4131" t="n">
        <v>0</v>
      </c>
      <c r="J4131" t="n">
        <v>0</v>
      </c>
      <c r="K4131" t="n">
        <v>0</v>
      </c>
      <c r="L4131" t="n">
        <v>0</v>
      </c>
      <c r="M4131" t="n">
        <v>0</v>
      </c>
      <c r="N4131" t="n">
        <v>0</v>
      </c>
      <c r="O4131" t="n">
        <v>0</v>
      </c>
      <c r="P4131" t="n">
        <v>0</v>
      </c>
      <c r="Q4131" t="n">
        <v>0</v>
      </c>
      <c r="R4131" s="2" t="inlineStr"/>
    </row>
    <row r="4132" ht="15" customHeight="1">
      <c r="A4132" t="inlineStr">
        <is>
          <t>A 41146-2021</t>
        </is>
      </c>
      <c r="B4132" s="1" t="n">
        <v>44423</v>
      </c>
      <c r="C4132" s="1" t="n">
        <v>45182</v>
      </c>
      <c r="D4132" t="inlineStr">
        <is>
          <t>JÄMTLANDS LÄN</t>
        </is>
      </c>
      <c r="E4132" t="inlineStr">
        <is>
          <t>HÄRJEDALEN</t>
        </is>
      </c>
      <c r="G4132" t="n">
        <v>14.9</v>
      </c>
      <c r="H4132" t="n">
        <v>0</v>
      </c>
      <c r="I4132" t="n">
        <v>0</v>
      </c>
      <c r="J4132" t="n">
        <v>0</v>
      </c>
      <c r="K4132" t="n">
        <v>0</v>
      </c>
      <c r="L4132" t="n">
        <v>0</v>
      </c>
      <c r="M4132" t="n">
        <v>0</v>
      </c>
      <c r="N4132" t="n">
        <v>0</v>
      </c>
      <c r="O4132" t="n">
        <v>0</v>
      </c>
      <c r="P4132" t="n">
        <v>0</v>
      </c>
      <c r="Q4132" t="n">
        <v>0</v>
      </c>
      <c r="R4132" s="2" t="inlineStr"/>
    </row>
    <row r="4133" ht="15" customHeight="1">
      <c r="A4133" t="inlineStr">
        <is>
          <t>A 41149-2021</t>
        </is>
      </c>
      <c r="B4133" s="1" t="n">
        <v>44423</v>
      </c>
      <c r="C4133" s="1" t="n">
        <v>45182</v>
      </c>
      <c r="D4133" t="inlineStr">
        <is>
          <t>JÄMTLANDS LÄN</t>
        </is>
      </c>
      <c r="E4133" t="inlineStr">
        <is>
          <t>HÄRJEDALEN</t>
        </is>
      </c>
      <c r="G4133" t="n">
        <v>1.2</v>
      </c>
      <c r="H4133" t="n">
        <v>0</v>
      </c>
      <c r="I4133" t="n">
        <v>0</v>
      </c>
      <c r="J4133" t="n">
        <v>0</v>
      </c>
      <c r="K4133" t="n">
        <v>0</v>
      </c>
      <c r="L4133" t="n">
        <v>0</v>
      </c>
      <c r="M4133" t="n">
        <v>0</v>
      </c>
      <c r="N4133" t="n">
        <v>0</v>
      </c>
      <c r="O4133" t="n">
        <v>0</v>
      </c>
      <c r="P4133" t="n">
        <v>0</v>
      </c>
      <c r="Q4133" t="n">
        <v>0</v>
      </c>
      <c r="R4133" s="2" t="inlineStr"/>
    </row>
    <row r="4134" ht="15" customHeight="1">
      <c r="A4134" t="inlineStr">
        <is>
          <t>A 41147-2021</t>
        </is>
      </c>
      <c r="B4134" s="1" t="n">
        <v>44423</v>
      </c>
      <c r="C4134" s="1" t="n">
        <v>45182</v>
      </c>
      <c r="D4134" t="inlineStr">
        <is>
          <t>JÄMTLANDS LÄN</t>
        </is>
      </c>
      <c r="E4134" t="inlineStr">
        <is>
          <t>HÄRJEDALEN</t>
        </is>
      </c>
      <c r="G4134" t="n">
        <v>2.2</v>
      </c>
      <c r="H4134" t="n">
        <v>0</v>
      </c>
      <c r="I4134" t="n">
        <v>0</v>
      </c>
      <c r="J4134" t="n">
        <v>0</v>
      </c>
      <c r="K4134" t="n">
        <v>0</v>
      </c>
      <c r="L4134" t="n">
        <v>0</v>
      </c>
      <c r="M4134" t="n">
        <v>0</v>
      </c>
      <c r="N4134" t="n">
        <v>0</v>
      </c>
      <c r="O4134" t="n">
        <v>0</v>
      </c>
      <c r="P4134" t="n">
        <v>0</v>
      </c>
      <c r="Q4134" t="n">
        <v>0</v>
      </c>
      <c r="R4134" s="2" t="inlineStr"/>
    </row>
    <row r="4135" ht="15" customHeight="1">
      <c r="A4135" t="inlineStr">
        <is>
          <t>A 41387-2021</t>
        </is>
      </c>
      <c r="B4135" s="1" t="n">
        <v>44424</v>
      </c>
      <c r="C4135" s="1" t="n">
        <v>45182</v>
      </c>
      <c r="D4135" t="inlineStr">
        <is>
          <t>JÄMTLANDS LÄN</t>
        </is>
      </c>
      <c r="E4135" t="inlineStr">
        <is>
          <t>HÄRJEDALEN</t>
        </is>
      </c>
      <c r="G4135" t="n">
        <v>9.5</v>
      </c>
      <c r="H4135" t="n">
        <v>0</v>
      </c>
      <c r="I4135" t="n">
        <v>0</v>
      </c>
      <c r="J4135" t="n">
        <v>0</v>
      </c>
      <c r="K4135" t="n">
        <v>0</v>
      </c>
      <c r="L4135" t="n">
        <v>0</v>
      </c>
      <c r="M4135" t="n">
        <v>0</v>
      </c>
      <c r="N4135" t="n">
        <v>0</v>
      </c>
      <c r="O4135" t="n">
        <v>0</v>
      </c>
      <c r="P4135" t="n">
        <v>0</v>
      </c>
      <c r="Q4135" t="n">
        <v>0</v>
      </c>
      <c r="R4135" s="2" t="inlineStr"/>
    </row>
    <row r="4136" ht="15" customHeight="1">
      <c r="A4136" t="inlineStr">
        <is>
          <t>A 41395-2021</t>
        </is>
      </c>
      <c r="B4136" s="1" t="n">
        <v>44424</v>
      </c>
      <c r="C4136" s="1" t="n">
        <v>45182</v>
      </c>
      <c r="D4136" t="inlineStr">
        <is>
          <t>JÄMTLANDS LÄN</t>
        </is>
      </c>
      <c r="E4136" t="inlineStr">
        <is>
          <t>HÄRJEDALEN</t>
        </is>
      </c>
      <c r="G4136" t="n">
        <v>1.9</v>
      </c>
      <c r="H4136" t="n">
        <v>0</v>
      </c>
      <c r="I4136" t="n">
        <v>0</v>
      </c>
      <c r="J4136" t="n">
        <v>0</v>
      </c>
      <c r="K4136" t="n">
        <v>0</v>
      </c>
      <c r="L4136" t="n">
        <v>0</v>
      </c>
      <c r="M4136" t="n">
        <v>0</v>
      </c>
      <c r="N4136" t="n">
        <v>0</v>
      </c>
      <c r="O4136" t="n">
        <v>0</v>
      </c>
      <c r="P4136" t="n">
        <v>0</v>
      </c>
      <c r="Q4136" t="n">
        <v>0</v>
      </c>
      <c r="R4136" s="2" t="inlineStr"/>
    </row>
    <row r="4137" ht="15" customHeight="1">
      <c r="A4137" t="inlineStr">
        <is>
          <t>A 41400-2021</t>
        </is>
      </c>
      <c r="B4137" s="1" t="n">
        <v>44424</v>
      </c>
      <c r="C4137" s="1" t="n">
        <v>45182</v>
      </c>
      <c r="D4137" t="inlineStr">
        <is>
          <t>JÄMTLANDS LÄN</t>
        </is>
      </c>
      <c r="E4137" t="inlineStr">
        <is>
          <t>HÄRJEDALEN</t>
        </is>
      </c>
      <c r="G4137" t="n">
        <v>1.9</v>
      </c>
      <c r="H4137" t="n">
        <v>0</v>
      </c>
      <c r="I4137" t="n">
        <v>0</v>
      </c>
      <c r="J4137" t="n">
        <v>0</v>
      </c>
      <c r="K4137" t="n">
        <v>0</v>
      </c>
      <c r="L4137" t="n">
        <v>0</v>
      </c>
      <c r="M4137" t="n">
        <v>0</v>
      </c>
      <c r="N4137" t="n">
        <v>0</v>
      </c>
      <c r="O4137" t="n">
        <v>0</v>
      </c>
      <c r="P4137" t="n">
        <v>0</v>
      </c>
      <c r="Q4137" t="n">
        <v>0</v>
      </c>
      <c r="R4137" s="2" t="inlineStr"/>
    </row>
    <row r="4138" ht="15" customHeight="1">
      <c r="A4138" t="inlineStr">
        <is>
          <t>A 41489-2021</t>
        </is>
      </c>
      <c r="B4138" s="1" t="n">
        <v>44424</v>
      </c>
      <c r="C4138" s="1" t="n">
        <v>45182</v>
      </c>
      <c r="D4138" t="inlineStr">
        <is>
          <t>JÄMTLANDS LÄN</t>
        </is>
      </c>
      <c r="E4138" t="inlineStr">
        <is>
          <t>STRÖMSUND</t>
        </is>
      </c>
      <c r="F4138" t="inlineStr">
        <is>
          <t>SCA</t>
        </is>
      </c>
      <c r="G4138" t="n">
        <v>1.7</v>
      </c>
      <c r="H4138" t="n">
        <v>0</v>
      </c>
      <c r="I4138" t="n">
        <v>0</v>
      </c>
      <c r="J4138" t="n">
        <v>0</v>
      </c>
      <c r="K4138" t="n">
        <v>0</v>
      </c>
      <c r="L4138" t="n">
        <v>0</v>
      </c>
      <c r="M4138" t="n">
        <v>0</v>
      </c>
      <c r="N4138" t="n">
        <v>0</v>
      </c>
      <c r="O4138" t="n">
        <v>0</v>
      </c>
      <c r="P4138" t="n">
        <v>0</v>
      </c>
      <c r="Q4138" t="n">
        <v>0</v>
      </c>
      <c r="R4138" s="2" t="inlineStr"/>
    </row>
    <row r="4139" ht="15" customHeight="1">
      <c r="A4139" t="inlineStr">
        <is>
          <t>A 41391-2021</t>
        </is>
      </c>
      <c r="B4139" s="1" t="n">
        <v>44424</v>
      </c>
      <c r="C4139" s="1" t="n">
        <v>45182</v>
      </c>
      <c r="D4139" t="inlineStr">
        <is>
          <t>JÄMTLANDS LÄN</t>
        </is>
      </c>
      <c r="E4139" t="inlineStr">
        <is>
          <t>HÄRJEDALEN</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41491-2021</t>
        </is>
      </c>
      <c r="B4140" s="1" t="n">
        <v>44424</v>
      </c>
      <c r="C4140" s="1" t="n">
        <v>45182</v>
      </c>
      <c r="D4140" t="inlineStr">
        <is>
          <t>JÄMTLANDS LÄN</t>
        </is>
      </c>
      <c r="E4140" t="inlineStr">
        <is>
          <t>STRÖMSUND</t>
        </is>
      </c>
      <c r="F4140" t="inlineStr">
        <is>
          <t>SCA</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41262-2021</t>
        </is>
      </c>
      <c r="B4141" s="1" t="n">
        <v>44424</v>
      </c>
      <c r="C4141" s="1" t="n">
        <v>45182</v>
      </c>
      <c r="D4141" t="inlineStr">
        <is>
          <t>JÄMTLANDS LÄN</t>
        </is>
      </c>
      <c r="E4141" t="inlineStr">
        <is>
          <t>RAGUNDA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41474-2021</t>
        </is>
      </c>
      <c r="B4142" s="1" t="n">
        <v>44424</v>
      </c>
      <c r="C4142" s="1" t="n">
        <v>45182</v>
      </c>
      <c r="D4142" t="inlineStr">
        <is>
          <t>JÄMTLANDS LÄN</t>
        </is>
      </c>
      <c r="E4142" t="inlineStr">
        <is>
          <t>BRÄCKE</t>
        </is>
      </c>
      <c r="G4142" t="n">
        <v>2.3</v>
      </c>
      <c r="H4142" t="n">
        <v>0</v>
      </c>
      <c r="I4142" t="n">
        <v>0</v>
      </c>
      <c r="J4142" t="n">
        <v>0</v>
      </c>
      <c r="K4142" t="n">
        <v>0</v>
      </c>
      <c r="L4142" t="n">
        <v>0</v>
      </c>
      <c r="M4142" t="n">
        <v>0</v>
      </c>
      <c r="N4142" t="n">
        <v>0</v>
      </c>
      <c r="O4142" t="n">
        <v>0</v>
      </c>
      <c r="P4142" t="n">
        <v>0</v>
      </c>
      <c r="Q4142" t="n">
        <v>0</v>
      </c>
      <c r="R4142" s="2" t="inlineStr"/>
    </row>
    <row r="4143" ht="15" customHeight="1">
      <c r="A4143" t="inlineStr">
        <is>
          <t>A 41488-2021</t>
        </is>
      </c>
      <c r="B4143" s="1" t="n">
        <v>44424</v>
      </c>
      <c r="C4143" s="1" t="n">
        <v>45182</v>
      </c>
      <c r="D4143" t="inlineStr">
        <is>
          <t>JÄMTLANDS LÄN</t>
        </is>
      </c>
      <c r="E4143" t="inlineStr">
        <is>
          <t>STRÖMSUND</t>
        </is>
      </c>
      <c r="F4143" t="inlineStr">
        <is>
          <t>SCA</t>
        </is>
      </c>
      <c r="G4143" t="n">
        <v>1.3</v>
      </c>
      <c r="H4143" t="n">
        <v>0</v>
      </c>
      <c r="I4143" t="n">
        <v>0</v>
      </c>
      <c r="J4143" t="n">
        <v>0</v>
      </c>
      <c r="K4143" t="n">
        <v>0</v>
      </c>
      <c r="L4143" t="n">
        <v>0</v>
      </c>
      <c r="M4143" t="n">
        <v>0</v>
      </c>
      <c r="N4143" t="n">
        <v>0</v>
      </c>
      <c r="O4143" t="n">
        <v>0</v>
      </c>
      <c r="P4143" t="n">
        <v>0</v>
      </c>
      <c r="Q4143" t="n">
        <v>0</v>
      </c>
      <c r="R4143" s="2" t="inlineStr"/>
    </row>
    <row r="4144" ht="15" customHeight="1">
      <c r="A4144" t="inlineStr">
        <is>
          <t>A 41606-2021</t>
        </is>
      </c>
      <c r="B4144" s="1" t="n">
        <v>44425</v>
      </c>
      <c r="C4144" s="1" t="n">
        <v>45182</v>
      </c>
      <c r="D4144" t="inlineStr">
        <is>
          <t>JÄMTLANDS LÄN</t>
        </is>
      </c>
      <c r="E4144" t="inlineStr">
        <is>
          <t>RAGUNDA</t>
        </is>
      </c>
      <c r="F4144" t="inlineStr">
        <is>
          <t>Kommuner</t>
        </is>
      </c>
      <c r="G4144" t="n">
        <v>3.5</v>
      </c>
      <c r="H4144" t="n">
        <v>0</v>
      </c>
      <c r="I4144" t="n">
        <v>0</v>
      </c>
      <c r="J4144" t="n">
        <v>0</v>
      </c>
      <c r="K4144" t="n">
        <v>0</v>
      </c>
      <c r="L4144" t="n">
        <v>0</v>
      </c>
      <c r="M4144" t="n">
        <v>0</v>
      </c>
      <c r="N4144" t="n">
        <v>0</v>
      </c>
      <c r="O4144" t="n">
        <v>0</v>
      </c>
      <c r="P4144" t="n">
        <v>0</v>
      </c>
      <c r="Q4144" t="n">
        <v>0</v>
      </c>
      <c r="R4144" s="2" t="inlineStr"/>
    </row>
    <row r="4145" ht="15" customHeight="1">
      <c r="A4145" t="inlineStr">
        <is>
          <t>A 41609-2021</t>
        </is>
      </c>
      <c r="B4145" s="1" t="n">
        <v>44425</v>
      </c>
      <c r="C4145" s="1" t="n">
        <v>45182</v>
      </c>
      <c r="D4145" t="inlineStr">
        <is>
          <t>JÄMTLANDS LÄN</t>
        </is>
      </c>
      <c r="E4145" t="inlineStr">
        <is>
          <t>RAGUNDA</t>
        </is>
      </c>
      <c r="F4145" t="inlineStr">
        <is>
          <t>Kommuner</t>
        </is>
      </c>
      <c r="G4145" t="n">
        <v>2.8</v>
      </c>
      <c r="H4145" t="n">
        <v>0</v>
      </c>
      <c r="I4145" t="n">
        <v>0</v>
      </c>
      <c r="J4145" t="n">
        <v>0</v>
      </c>
      <c r="K4145" t="n">
        <v>0</v>
      </c>
      <c r="L4145" t="n">
        <v>0</v>
      </c>
      <c r="M4145" t="n">
        <v>0</v>
      </c>
      <c r="N4145" t="n">
        <v>0</v>
      </c>
      <c r="O4145" t="n">
        <v>0</v>
      </c>
      <c r="P4145" t="n">
        <v>0</v>
      </c>
      <c r="Q4145" t="n">
        <v>0</v>
      </c>
      <c r="R4145" s="2" t="inlineStr"/>
    </row>
    <row r="4146" ht="15" customHeight="1">
      <c r="A4146" t="inlineStr">
        <is>
          <t>A 41639-2021</t>
        </is>
      </c>
      <c r="B4146" s="1" t="n">
        <v>44425</v>
      </c>
      <c r="C4146" s="1" t="n">
        <v>45182</v>
      </c>
      <c r="D4146" t="inlineStr">
        <is>
          <t>JÄMTLANDS LÄN</t>
        </is>
      </c>
      <c r="E4146" t="inlineStr">
        <is>
          <t>STRÖMSUND</t>
        </is>
      </c>
      <c r="G4146" t="n">
        <v>1</v>
      </c>
      <c r="H4146" t="n">
        <v>0</v>
      </c>
      <c r="I4146" t="n">
        <v>0</v>
      </c>
      <c r="J4146" t="n">
        <v>0</v>
      </c>
      <c r="K4146" t="n">
        <v>0</v>
      </c>
      <c r="L4146" t="n">
        <v>0</v>
      </c>
      <c r="M4146" t="n">
        <v>0</v>
      </c>
      <c r="N4146" t="n">
        <v>0</v>
      </c>
      <c r="O4146" t="n">
        <v>0</v>
      </c>
      <c r="P4146" t="n">
        <v>0</v>
      </c>
      <c r="Q4146" t="n">
        <v>0</v>
      </c>
      <c r="R4146" s="2" t="inlineStr"/>
    </row>
    <row r="4147" ht="15" customHeight="1">
      <c r="A4147" t="inlineStr">
        <is>
          <t>A 41802-2021</t>
        </is>
      </c>
      <c r="B4147" s="1" t="n">
        <v>44425</v>
      </c>
      <c r="C4147" s="1" t="n">
        <v>45182</v>
      </c>
      <c r="D4147" t="inlineStr">
        <is>
          <t>JÄMTLANDS LÄN</t>
        </is>
      </c>
      <c r="E4147" t="inlineStr">
        <is>
          <t>ÖSTERSUND</t>
        </is>
      </c>
      <c r="G4147" t="n">
        <v>1.7</v>
      </c>
      <c r="H4147" t="n">
        <v>0</v>
      </c>
      <c r="I4147" t="n">
        <v>0</v>
      </c>
      <c r="J4147" t="n">
        <v>0</v>
      </c>
      <c r="K4147" t="n">
        <v>0</v>
      </c>
      <c r="L4147" t="n">
        <v>0</v>
      </c>
      <c r="M4147" t="n">
        <v>0</v>
      </c>
      <c r="N4147" t="n">
        <v>0</v>
      </c>
      <c r="O4147" t="n">
        <v>0</v>
      </c>
      <c r="P4147" t="n">
        <v>0</v>
      </c>
      <c r="Q4147" t="n">
        <v>0</v>
      </c>
      <c r="R4147" s="2" t="inlineStr"/>
    </row>
    <row r="4148" ht="15" customHeight="1">
      <c r="A4148" t="inlineStr">
        <is>
          <t>A 41613-2021</t>
        </is>
      </c>
      <c r="B4148" s="1" t="n">
        <v>44425</v>
      </c>
      <c r="C4148" s="1" t="n">
        <v>45182</v>
      </c>
      <c r="D4148" t="inlineStr">
        <is>
          <t>JÄMTLANDS LÄN</t>
        </is>
      </c>
      <c r="E4148" t="inlineStr">
        <is>
          <t>RAGUNDA</t>
        </is>
      </c>
      <c r="F4148" t="inlineStr">
        <is>
          <t>Kommuner</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42247-2021</t>
        </is>
      </c>
      <c r="B4149" s="1" t="n">
        <v>44426</v>
      </c>
      <c r="C4149" s="1" t="n">
        <v>45182</v>
      </c>
      <c r="D4149" t="inlineStr">
        <is>
          <t>JÄMTLANDS LÄN</t>
        </is>
      </c>
      <c r="E4149" t="inlineStr">
        <is>
          <t>STRÖMSUND</t>
        </is>
      </c>
      <c r="F4149" t="inlineStr">
        <is>
          <t>SCA</t>
        </is>
      </c>
      <c r="G4149" t="n">
        <v>3</v>
      </c>
      <c r="H4149" t="n">
        <v>0</v>
      </c>
      <c r="I4149" t="n">
        <v>0</v>
      </c>
      <c r="J4149" t="n">
        <v>0</v>
      </c>
      <c r="K4149" t="n">
        <v>0</v>
      </c>
      <c r="L4149" t="n">
        <v>0</v>
      </c>
      <c r="M4149" t="n">
        <v>0</v>
      </c>
      <c r="N4149" t="n">
        <v>0</v>
      </c>
      <c r="O4149" t="n">
        <v>0</v>
      </c>
      <c r="P4149" t="n">
        <v>0</v>
      </c>
      <c r="Q4149" t="n">
        <v>0</v>
      </c>
      <c r="R4149" s="2" t="inlineStr"/>
    </row>
    <row r="4150" ht="15" customHeight="1">
      <c r="A4150" t="inlineStr">
        <is>
          <t>A 42258-2021</t>
        </is>
      </c>
      <c r="B4150" s="1" t="n">
        <v>44426</v>
      </c>
      <c r="C4150" s="1" t="n">
        <v>45182</v>
      </c>
      <c r="D4150" t="inlineStr">
        <is>
          <t>JÄMTLANDS LÄN</t>
        </is>
      </c>
      <c r="E4150" t="inlineStr">
        <is>
          <t>STRÖMSUND</t>
        </is>
      </c>
      <c r="F4150" t="inlineStr">
        <is>
          <t>SCA</t>
        </is>
      </c>
      <c r="G4150" t="n">
        <v>0.7</v>
      </c>
      <c r="H4150" t="n">
        <v>0</v>
      </c>
      <c r="I4150" t="n">
        <v>0</v>
      </c>
      <c r="J4150" t="n">
        <v>0</v>
      </c>
      <c r="K4150" t="n">
        <v>0</v>
      </c>
      <c r="L4150" t="n">
        <v>0</v>
      </c>
      <c r="M4150" t="n">
        <v>0</v>
      </c>
      <c r="N4150" t="n">
        <v>0</v>
      </c>
      <c r="O4150" t="n">
        <v>0</v>
      </c>
      <c r="P4150" t="n">
        <v>0</v>
      </c>
      <c r="Q4150" t="n">
        <v>0</v>
      </c>
      <c r="R4150" s="2" t="inlineStr"/>
    </row>
    <row r="4151" ht="15" customHeight="1">
      <c r="A4151" t="inlineStr">
        <is>
          <t>A 42243-2021</t>
        </is>
      </c>
      <c r="B4151" s="1" t="n">
        <v>44426</v>
      </c>
      <c r="C4151" s="1" t="n">
        <v>45182</v>
      </c>
      <c r="D4151" t="inlineStr">
        <is>
          <t>JÄMTLANDS LÄN</t>
        </is>
      </c>
      <c r="E4151" t="inlineStr">
        <is>
          <t>BRÄCKE</t>
        </is>
      </c>
      <c r="F4151" t="inlineStr">
        <is>
          <t>SCA</t>
        </is>
      </c>
      <c r="G4151" t="n">
        <v>6.2</v>
      </c>
      <c r="H4151" t="n">
        <v>0</v>
      </c>
      <c r="I4151" t="n">
        <v>0</v>
      </c>
      <c r="J4151" t="n">
        <v>0</v>
      </c>
      <c r="K4151" t="n">
        <v>0</v>
      </c>
      <c r="L4151" t="n">
        <v>0</v>
      </c>
      <c r="M4151" t="n">
        <v>0</v>
      </c>
      <c r="N4151" t="n">
        <v>0</v>
      </c>
      <c r="O4151" t="n">
        <v>0</v>
      </c>
      <c r="P4151" t="n">
        <v>0</v>
      </c>
      <c r="Q4151" t="n">
        <v>0</v>
      </c>
      <c r="R4151" s="2" t="inlineStr"/>
    </row>
    <row r="4152" ht="15" customHeight="1">
      <c r="A4152" t="inlineStr">
        <is>
          <t>A 42369-2021</t>
        </is>
      </c>
      <c r="B4152" s="1" t="n">
        <v>44427</v>
      </c>
      <c r="C4152" s="1" t="n">
        <v>45182</v>
      </c>
      <c r="D4152" t="inlineStr">
        <is>
          <t>JÄMTLANDS LÄN</t>
        </is>
      </c>
      <c r="E4152" t="inlineStr">
        <is>
          <t>KROKOM</t>
        </is>
      </c>
      <c r="G4152" t="n">
        <v>8.199999999999999</v>
      </c>
      <c r="H4152" t="n">
        <v>0</v>
      </c>
      <c r="I4152" t="n">
        <v>0</v>
      </c>
      <c r="J4152" t="n">
        <v>0</v>
      </c>
      <c r="K4152" t="n">
        <v>0</v>
      </c>
      <c r="L4152" t="n">
        <v>0</v>
      </c>
      <c r="M4152" t="n">
        <v>0</v>
      </c>
      <c r="N4152" t="n">
        <v>0</v>
      </c>
      <c r="O4152" t="n">
        <v>0</v>
      </c>
      <c r="P4152" t="n">
        <v>0</v>
      </c>
      <c r="Q4152" t="n">
        <v>0</v>
      </c>
      <c r="R4152" s="2" t="inlineStr"/>
    </row>
    <row r="4153" ht="15" customHeight="1">
      <c r="A4153" t="inlineStr">
        <is>
          <t>A 42469-2021</t>
        </is>
      </c>
      <c r="B4153" s="1" t="n">
        <v>44427</v>
      </c>
      <c r="C4153" s="1" t="n">
        <v>45182</v>
      </c>
      <c r="D4153" t="inlineStr">
        <is>
          <t>JÄMTLANDS LÄN</t>
        </is>
      </c>
      <c r="E4153" t="inlineStr">
        <is>
          <t>ÖSTERSUND</t>
        </is>
      </c>
      <c r="G4153" t="n">
        <v>1.5</v>
      </c>
      <c r="H4153" t="n">
        <v>0</v>
      </c>
      <c r="I4153" t="n">
        <v>0</v>
      </c>
      <c r="J4153" t="n">
        <v>0</v>
      </c>
      <c r="K4153" t="n">
        <v>0</v>
      </c>
      <c r="L4153" t="n">
        <v>0</v>
      </c>
      <c r="M4153" t="n">
        <v>0</v>
      </c>
      <c r="N4153" t="n">
        <v>0</v>
      </c>
      <c r="O4153" t="n">
        <v>0</v>
      </c>
      <c r="P4153" t="n">
        <v>0</v>
      </c>
      <c r="Q4153" t="n">
        <v>0</v>
      </c>
      <c r="R4153" s="2" t="inlineStr"/>
    </row>
    <row r="4154" ht="15" customHeight="1">
      <c r="A4154" t="inlineStr">
        <is>
          <t>A 42549-2021</t>
        </is>
      </c>
      <c r="B4154" s="1" t="n">
        <v>44427</v>
      </c>
      <c r="C4154" s="1" t="n">
        <v>45182</v>
      </c>
      <c r="D4154" t="inlineStr">
        <is>
          <t>JÄMTLANDS LÄN</t>
        </is>
      </c>
      <c r="E4154" t="inlineStr">
        <is>
          <t>STRÖMSUND</t>
        </is>
      </c>
      <c r="F4154" t="inlineStr">
        <is>
          <t>SCA</t>
        </is>
      </c>
      <c r="G4154" t="n">
        <v>10.7</v>
      </c>
      <c r="H4154" t="n">
        <v>0</v>
      </c>
      <c r="I4154" t="n">
        <v>0</v>
      </c>
      <c r="J4154" t="n">
        <v>0</v>
      </c>
      <c r="K4154" t="n">
        <v>0</v>
      </c>
      <c r="L4154" t="n">
        <v>0</v>
      </c>
      <c r="M4154" t="n">
        <v>0</v>
      </c>
      <c r="N4154" t="n">
        <v>0</v>
      </c>
      <c r="O4154" t="n">
        <v>0</v>
      </c>
      <c r="P4154" t="n">
        <v>0</v>
      </c>
      <c r="Q4154" t="n">
        <v>0</v>
      </c>
      <c r="R4154" s="2" t="inlineStr"/>
    </row>
    <row r="4155" ht="15" customHeight="1">
      <c r="A4155" t="inlineStr">
        <is>
          <t>A 42551-2021</t>
        </is>
      </c>
      <c r="B4155" s="1" t="n">
        <v>44427</v>
      </c>
      <c r="C4155" s="1" t="n">
        <v>45182</v>
      </c>
      <c r="D4155" t="inlineStr">
        <is>
          <t>JÄMTLANDS LÄN</t>
        </is>
      </c>
      <c r="E4155" t="inlineStr">
        <is>
          <t>STRÖMSUND</t>
        </is>
      </c>
      <c r="F4155" t="inlineStr">
        <is>
          <t>SCA</t>
        </is>
      </c>
      <c r="G4155" t="n">
        <v>4</v>
      </c>
      <c r="H4155" t="n">
        <v>0</v>
      </c>
      <c r="I4155" t="n">
        <v>0</v>
      </c>
      <c r="J4155" t="n">
        <v>0</v>
      </c>
      <c r="K4155" t="n">
        <v>0</v>
      </c>
      <c r="L4155" t="n">
        <v>0</v>
      </c>
      <c r="M4155" t="n">
        <v>0</v>
      </c>
      <c r="N4155" t="n">
        <v>0</v>
      </c>
      <c r="O4155" t="n">
        <v>0</v>
      </c>
      <c r="P4155" t="n">
        <v>0</v>
      </c>
      <c r="Q4155" t="n">
        <v>0</v>
      </c>
      <c r="R4155" s="2" t="inlineStr"/>
    </row>
    <row r="4156" ht="15" customHeight="1">
      <c r="A4156" t="inlineStr">
        <is>
          <t>A 42793-2021</t>
        </is>
      </c>
      <c r="B4156" s="1" t="n">
        <v>44428</v>
      </c>
      <c r="C4156" s="1" t="n">
        <v>45182</v>
      </c>
      <c r="D4156" t="inlineStr">
        <is>
          <t>JÄMTLANDS LÄN</t>
        </is>
      </c>
      <c r="E4156" t="inlineStr">
        <is>
          <t>ÖSTERSUND</t>
        </is>
      </c>
      <c r="G4156" t="n">
        <v>8.199999999999999</v>
      </c>
      <c r="H4156" t="n">
        <v>0</v>
      </c>
      <c r="I4156" t="n">
        <v>0</v>
      </c>
      <c r="J4156" t="n">
        <v>0</v>
      </c>
      <c r="K4156" t="n">
        <v>0</v>
      </c>
      <c r="L4156" t="n">
        <v>0</v>
      </c>
      <c r="M4156" t="n">
        <v>0</v>
      </c>
      <c r="N4156" t="n">
        <v>0</v>
      </c>
      <c r="O4156" t="n">
        <v>0</v>
      </c>
      <c r="P4156" t="n">
        <v>0</v>
      </c>
      <c r="Q4156" t="n">
        <v>0</v>
      </c>
      <c r="R4156" s="2" t="inlineStr"/>
    </row>
    <row r="4157" ht="15" customHeight="1">
      <c r="A4157" t="inlineStr">
        <is>
          <t>A 42827-2021</t>
        </is>
      </c>
      <c r="B4157" s="1" t="n">
        <v>44430</v>
      </c>
      <c r="C4157" s="1" t="n">
        <v>45182</v>
      </c>
      <c r="D4157" t="inlineStr">
        <is>
          <t>JÄMTLANDS LÄN</t>
        </is>
      </c>
      <c r="E4157" t="inlineStr">
        <is>
          <t>HÄRJEDALEN</t>
        </is>
      </c>
      <c r="F4157" t="inlineStr">
        <is>
          <t>Sveaskog</t>
        </is>
      </c>
      <c r="G4157" t="n">
        <v>1.7</v>
      </c>
      <c r="H4157" t="n">
        <v>0</v>
      </c>
      <c r="I4157" t="n">
        <v>0</v>
      </c>
      <c r="J4157" t="n">
        <v>0</v>
      </c>
      <c r="K4157" t="n">
        <v>0</v>
      </c>
      <c r="L4157" t="n">
        <v>0</v>
      </c>
      <c r="M4157" t="n">
        <v>0</v>
      </c>
      <c r="N4157" t="n">
        <v>0</v>
      </c>
      <c r="O4157" t="n">
        <v>0</v>
      </c>
      <c r="P4157" t="n">
        <v>0</v>
      </c>
      <c r="Q4157" t="n">
        <v>0</v>
      </c>
      <c r="R4157" s="2" t="inlineStr"/>
    </row>
    <row r="4158" ht="15" customHeight="1">
      <c r="A4158" t="inlineStr">
        <is>
          <t>A 42832-2021</t>
        </is>
      </c>
      <c r="B4158" s="1" t="n">
        <v>44430</v>
      </c>
      <c r="C4158" s="1" t="n">
        <v>45182</v>
      </c>
      <c r="D4158" t="inlineStr">
        <is>
          <t>JÄMTLANDS LÄN</t>
        </is>
      </c>
      <c r="E4158" t="inlineStr">
        <is>
          <t>ÖSTERSUND</t>
        </is>
      </c>
      <c r="G4158" t="n">
        <v>9</v>
      </c>
      <c r="H4158" t="n">
        <v>0</v>
      </c>
      <c r="I4158" t="n">
        <v>0</v>
      </c>
      <c r="J4158" t="n">
        <v>0</v>
      </c>
      <c r="K4158" t="n">
        <v>0</v>
      </c>
      <c r="L4158" t="n">
        <v>0</v>
      </c>
      <c r="M4158" t="n">
        <v>0</v>
      </c>
      <c r="N4158" t="n">
        <v>0</v>
      </c>
      <c r="O4158" t="n">
        <v>0</v>
      </c>
      <c r="P4158" t="n">
        <v>0</v>
      </c>
      <c r="Q4158" t="n">
        <v>0</v>
      </c>
      <c r="R4158" s="2" t="inlineStr"/>
    </row>
    <row r="4159" ht="15" customHeight="1">
      <c r="A4159" t="inlineStr">
        <is>
          <t>A 43040-2021</t>
        </is>
      </c>
      <c r="B4159" s="1" t="n">
        <v>44431</v>
      </c>
      <c r="C4159" s="1" t="n">
        <v>45182</v>
      </c>
      <c r="D4159" t="inlineStr">
        <is>
          <t>JÄMTLANDS LÄN</t>
        </is>
      </c>
      <c r="E4159" t="inlineStr">
        <is>
          <t>RAGUNDA</t>
        </is>
      </c>
      <c r="G4159" t="n">
        <v>4.9</v>
      </c>
      <c r="H4159" t="n">
        <v>0</v>
      </c>
      <c r="I4159" t="n">
        <v>0</v>
      </c>
      <c r="J4159" t="n">
        <v>0</v>
      </c>
      <c r="K4159" t="n">
        <v>0</v>
      </c>
      <c r="L4159" t="n">
        <v>0</v>
      </c>
      <c r="M4159" t="n">
        <v>0</v>
      </c>
      <c r="N4159" t="n">
        <v>0</v>
      </c>
      <c r="O4159" t="n">
        <v>0</v>
      </c>
      <c r="P4159" t="n">
        <v>0</v>
      </c>
      <c r="Q4159" t="n">
        <v>0</v>
      </c>
      <c r="R4159" s="2" t="inlineStr"/>
    </row>
    <row r="4160" ht="15" customHeight="1">
      <c r="A4160" t="inlineStr">
        <is>
          <t>A 43310-2021</t>
        </is>
      </c>
      <c r="B4160" s="1" t="n">
        <v>44432</v>
      </c>
      <c r="C4160" s="1" t="n">
        <v>45182</v>
      </c>
      <c r="D4160" t="inlineStr">
        <is>
          <t>JÄMTLANDS LÄN</t>
        </is>
      </c>
      <c r="E4160" t="inlineStr">
        <is>
          <t>ÖSTERSUND</t>
        </is>
      </c>
      <c r="F4160" t="inlineStr">
        <is>
          <t>Sveaskog</t>
        </is>
      </c>
      <c r="G4160" t="n">
        <v>2.1</v>
      </c>
      <c r="H4160" t="n">
        <v>0</v>
      </c>
      <c r="I4160" t="n">
        <v>0</v>
      </c>
      <c r="J4160" t="n">
        <v>0</v>
      </c>
      <c r="K4160" t="n">
        <v>0</v>
      </c>
      <c r="L4160" t="n">
        <v>0</v>
      </c>
      <c r="M4160" t="n">
        <v>0</v>
      </c>
      <c r="N4160" t="n">
        <v>0</v>
      </c>
      <c r="O4160" t="n">
        <v>0</v>
      </c>
      <c r="P4160" t="n">
        <v>0</v>
      </c>
      <c r="Q4160" t="n">
        <v>0</v>
      </c>
      <c r="R4160" s="2" t="inlineStr"/>
    </row>
    <row r="4161" ht="15" customHeight="1">
      <c r="A4161" t="inlineStr">
        <is>
          <t>A 43842-2021</t>
        </is>
      </c>
      <c r="B4161" s="1" t="n">
        <v>44433</v>
      </c>
      <c r="C4161" s="1" t="n">
        <v>45182</v>
      </c>
      <c r="D4161" t="inlineStr">
        <is>
          <t>JÄMTLANDS LÄN</t>
        </is>
      </c>
      <c r="E4161" t="inlineStr">
        <is>
          <t>STRÖMSUND</t>
        </is>
      </c>
      <c r="F4161" t="inlineStr">
        <is>
          <t>SCA</t>
        </is>
      </c>
      <c r="G4161" t="n">
        <v>2.3</v>
      </c>
      <c r="H4161" t="n">
        <v>0</v>
      </c>
      <c r="I4161" t="n">
        <v>0</v>
      </c>
      <c r="J4161" t="n">
        <v>0</v>
      </c>
      <c r="K4161" t="n">
        <v>0</v>
      </c>
      <c r="L4161" t="n">
        <v>0</v>
      </c>
      <c r="M4161" t="n">
        <v>0</v>
      </c>
      <c r="N4161" t="n">
        <v>0</v>
      </c>
      <c r="O4161" t="n">
        <v>0</v>
      </c>
      <c r="P4161" t="n">
        <v>0</v>
      </c>
      <c r="Q4161" t="n">
        <v>0</v>
      </c>
      <c r="R4161" s="2" t="inlineStr"/>
    </row>
    <row r="4162" ht="15" customHeight="1">
      <c r="A4162" t="inlineStr">
        <is>
          <t>A 43844-2021</t>
        </is>
      </c>
      <c r="B4162" s="1" t="n">
        <v>44433</v>
      </c>
      <c r="C4162" s="1" t="n">
        <v>45182</v>
      </c>
      <c r="D4162" t="inlineStr">
        <is>
          <t>JÄMTLANDS LÄN</t>
        </is>
      </c>
      <c r="E4162" t="inlineStr">
        <is>
          <t>STRÖMSUND</t>
        </is>
      </c>
      <c r="F4162" t="inlineStr">
        <is>
          <t>SCA</t>
        </is>
      </c>
      <c r="G4162" t="n">
        <v>0.6</v>
      </c>
      <c r="H4162" t="n">
        <v>0</v>
      </c>
      <c r="I4162" t="n">
        <v>0</v>
      </c>
      <c r="J4162" t="n">
        <v>0</v>
      </c>
      <c r="K4162" t="n">
        <v>0</v>
      </c>
      <c r="L4162" t="n">
        <v>0</v>
      </c>
      <c r="M4162" t="n">
        <v>0</v>
      </c>
      <c r="N4162" t="n">
        <v>0</v>
      </c>
      <c r="O4162" t="n">
        <v>0</v>
      </c>
      <c r="P4162" t="n">
        <v>0</v>
      </c>
      <c r="Q4162" t="n">
        <v>0</v>
      </c>
      <c r="R4162" s="2" t="inlineStr"/>
    </row>
    <row r="4163" ht="15" customHeight="1">
      <c r="A4163" t="inlineStr">
        <is>
          <t>A 43831-2021</t>
        </is>
      </c>
      <c r="B4163" s="1" t="n">
        <v>44433</v>
      </c>
      <c r="C4163" s="1" t="n">
        <v>45182</v>
      </c>
      <c r="D4163" t="inlineStr">
        <is>
          <t>JÄMTLANDS LÄN</t>
        </is>
      </c>
      <c r="E4163" t="inlineStr">
        <is>
          <t>BRÄCKE</t>
        </is>
      </c>
      <c r="F4163" t="inlineStr">
        <is>
          <t>SCA</t>
        </is>
      </c>
      <c r="G4163" t="n">
        <v>2.2</v>
      </c>
      <c r="H4163" t="n">
        <v>0</v>
      </c>
      <c r="I4163" t="n">
        <v>0</v>
      </c>
      <c r="J4163" t="n">
        <v>0</v>
      </c>
      <c r="K4163" t="n">
        <v>0</v>
      </c>
      <c r="L4163" t="n">
        <v>0</v>
      </c>
      <c r="M4163" t="n">
        <v>0</v>
      </c>
      <c r="N4163" t="n">
        <v>0</v>
      </c>
      <c r="O4163" t="n">
        <v>0</v>
      </c>
      <c r="P4163" t="n">
        <v>0</v>
      </c>
      <c r="Q4163" t="n">
        <v>0</v>
      </c>
      <c r="R4163" s="2" t="inlineStr"/>
    </row>
    <row r="4164" ht="15" customHeight="1">
      <c r="A4164" t="inlineStr">
        <is>
          <t>A 44013-2021</t>
        </is>
      </c>
      <c r="B4164" s="1" t="n">
        <v>44434</v>
      </c>
      <c r="C4164" s="1" t="n">
        <v>45182</v>
      </c>
      <c r="D4164" t="inlineStr">
        <is>
          <t>JÄMTLANDS LÄN</t>
        </is>
      </c>
      <c r="E4164" t="inlineStr">
        <is>
          <t>ÖSTERSUND</t>
        </is>
      </c>
      <c r="G4164" t="n">
        <v>1.9</v>
      </c>
      <c r="H4164" t="n">
        <v>0</v>
      </c>
      <c r="I4164" t="n">
        <v>0</v>
      </c>
      <c r="J4164" t="n">
        <v>0</v>
      </c>
      <c r="K4164" t="n">
        <v>0</v>
      </c>
      <c r="L4164" t="n">
        <v>0</v>
      </c>
      <c r="M4164" t="n">
        <v>0</v>
      </c>
      <c r="N4164" t="n">
        <v>0</v>
      </c>
      <c r="O4164" t="n">
        <v>0</v>
      </c>
      <c r="P4164" t="n">
        <v>0</v>
      </c>
      <c r="Q4164" t="n">
        <v>0</v>
      </c>
      <c r="R4164" s="2" t="inlineStr"/>
    </row>
    <row r="4165" ht="15" customHeight="1">
      <c r="A4165" t="inlineStr">
        <is>
          <t>A 44088-2021</t>
        </is>
      </c>
      <c r="B4165" s="1" t="n">
        <v>44434</v>
      </c>
      <c r="C4165" s="1" t="n">
        <v>45182</v>
      </c>
      <c r="D4165" t="inlineStr">
        <is>
          <t>JÄMTLANDS LÄN</t>
        </is>
      </c>
      <c r="E4165" t="inlineStr">
        <is>
          <t>BERG</t>
        </is>
      </c>
      <c r="G4165" t="n">
        <v>1.1</v>
      </c>
      <c r="H4165" t="n">
        <v>0</v>
      </c>
      <c r="I4165" t="n">
        <v>0</v>
      </c>
      <c r="J4165" t="n">
        <v>0</v>
      </c>
      <c r="K4165" t="n">
        <v>0</v>
      </c>
      <c r="L4165" t="n">
        <v>0</v>
      </c>
      <c r="M4165" t="n">
        <v>0</v>
      </c>
      <c r="N4165" t="n">
        <v>0</v>
      </c>
      <c r="O4165" t="n">
        <v>0</v>
      </c>
      <c r="P4165" t="n">
        <v>0</v>
      </c>
      <c r="Q4165" t="n">
        <v>0</v>
      </c>
      <c r="R4165" s="2" t="inlineStr"/>
    </row>
    <row r="4166" ht="15" customHeight="1">
      <c r="A4166" t="inlineStr">
        <is>
          <t>A 44243-2021</t>
        </is>
      </c>
      <c r="B4166" s="1" t="n">
        <v>44434</v>
      </c>
      <c r="C4166" s="1" t="n">
        <v>45182</v>
      </c>
      <c r="D4166" t="inlineStr">
        <is>
          <t>JÄMTLANDS LÄN</t>
        </is>
      </c>
      <c r="E4166" t="inlineStr">
        <is>
          <t>BRÄCKE</t>
        </is>
      </c>
      <c r="F4166" t="inlineStr">
        <is>
          <t>SCA</t>
        </is>
      </c>
      <c r="G4166" t="n">
        <v>3.1</v>
      </c>
      <c r="H4166" t="n">
        <v>0</v>
      </c>
      <c r="I4166" t="n">
        <v>0</v>
      </c>
      <c r="J4166" t="n">
        <v>0</v>
      </c>
      <c r="K4166" t="n">
        <v>0</v>
      </c>
      <c r="L4166" t="n">
        <v>0</v>
      </c>
      <c r="M4166" t="n">
        <v>0</v>
      </c>
      <c r="N4166" t="n">
        <v>0</v>
      </c>
      <c r="O4166" t="n">
        <v>0</v>
      </c>
      <c r="P4166" t="n">
        <v>0</v>
      </c>
      <c r="Q4166" t="n">
        <v>0</v>
      </c>
      <c r="R4166" s="2" t="inlineStr"/>
    </row>
    <row r="4167" ht="15" customHeight="1">
      <c r="A4167" t="inlineStr">
        <is>
          <t>A 44267-2021</t>
        </is>
      </c>
      <c r="B4167" s="1" t="n">
        <v>44434</v>
      </c>
      <c r="C4167" s="1" t="n">
        <v>45182</v>
      </c>
      <c r="D4167" t="inlineStr">
        <is>
          <t>JÄMTLANDS LÄN</t>
        </is>
      </c>
      <c r="E4167" t="inlineStr">
        <is>
          <t>ÖSTERSUND</t>
        </is>
      </c>
      <c r="G4167" t="n">
        <v>1.1</v>
      </c>
      <c r="H4167" t="n">
        <v>0</v>
      </c>
      <c r="I4167" t="n">
        <v>0</v>
      </c>
      <c r="J4167" t="n">
        <v>0</v>
      </c>
      <c r="K4167" t="n">
        <v>0</v>
      </c>
      <c r="L4167" t="n">
        <v>0</v>
      </c>
      <c r="M4167" t="n">
        <v>0</v>
      </c>
      <c r="N4167" t="n">
        <v>0</v>
      </c>
      <c r="O4167" t="n">
        <v>0</v>
      </c>
      <c r="P4167" t="n">
        <v>0</v>
      </c>
      <c r="Q4167" t="n">
        <v>0</v>
      </c>
      <c r="R4167" s="2" t="inlineStr"/>
    </row>
    <row r="4168" ht="15" customHeight="1">
      <c r="A4168" t="inlineStr">
        <is>
          <t>A 44051-2021</t>
        </is>
      </c>
      <c r="B4168" s="1" t="n">
        <v>44434</v>
      </c>
      <c r="C4168" s="1" t="n">
        <v>45182</v>
      </c>
      <c r="D4168" t="inlineStr">
        <is>
          <t>JÄMTLANDS LÄN</t>
        </is>
      </c>
      <c r="E4168" t="inlineStr">
        <is>
          <t>ÖSTERSUND</t>
        </is>
      </c>
      <c r="G4168" t="n">
        <v>2.9</v>
      </c>
      <c r="H4168" t="n">
        <v>0</v>
      </c>
      <c r="I4168" t="n">
        <v>0</v>
      </c>
      <c r="J4168" t="n">
        <v>0</v>
      </c>
      <c r="K4168" t="n">
        <v>0</v>
      </c>
      <c r="L4168" t="n">
        <v>0</v>
      </c>
      <c r="M4168" t="n">
        <v>0</v>
      </c>
      <c r="N4168" t="n">
        <v>0</v>
      </c>
      <c r="O4168" t="n">
        <v>0</v>
      </c>
      <c r="P4168" t="n">
        <v>0</v>
      </c>
      <c r="Q4168" t="n">
        <v>0</v>
      </c>
      <c r="R4168" s="2" t="inlineStr"/>
    </row>
    <row r="4169" ht="15" customHeight="1">
      <c r="A4169" t="inlineStr">
        <is>
          <t>A 44104-2021</t>
        </is>
      </c>
      <c r="B4169" s="1" t="n">
        <v>44434</v>
      </c>
      <c r="C4169" s="1" t="n">
        <v>45182</v>
      </c>
      <c r="D4169" t="inlineStr">
        <is>
          <t>JÄMTLANDS LÄN</t>
        </is>
      </c>
      <c r="E4169" t="inlineStr">
        <is>
          <t>STRÖMSUND</t>
        </is>
      </c>
      <c r="G4169" t="n">
        <v>3.1</v>
      </c>
      <c r="H4169" t="n">
        <v>0</v>
      </c>
      <c r="I4169" t="n">
        <v>0</v>
      </c>
      <c r="J4169" t="n">
        <v>0</v>
      </c>
      <c r="K4169" t="n">
        <v>0</v>
      </c>
      <c r="L4169" t="n">
        <v>0</v>
      </c>
      <c r="M4169" t="n">
        <v>0</v>
      </c>
      <c r="N4169" t="n">
        <v>0</v>
      </c>
      <c r="O4169" t="n">
        <v>0</v>
      </c>
      <c r="P4169" t="n">
        <v>0</v>
      </c>
      <c r="Q4169" t="n">
        <v>0</v>
      </c>
      <c r="R4169" s="2" t="inlineStr"/>
    </row>
    <row r="4170" ht="15" customHeight="1">
      <c r="A4170" t="inlineStr">
        <is>
          <t>A 44163-2021</t>
        </is>
      </c>
      <c r="B4170" s="1" t="n">
        <v>44434</v>
      </c>
      <c r="C4170" s="1" t="n">
        <v>45182</v>
      </c>
      <c r="D4170" t="inlineStr">
        <is>
          <t>JÄMTLANDS LÄN</t>
        </is>
      </c>
      <c r="E4170" t="inlineStr">
        <is>
          <t>RAGUNDA</t>
        </is>
      </c>
      <c r="G4170" t="n">
        <v>0.8</v>
      </c>
      <c r="H4170" t="n">
        <v>0</v>
      </c>
      <c r="I4170" t="n">
        <v>0</v>
      </c>
      <c r="J4170" t="n">
        <v>0</v>
      </c>
      <c r="K4170" t="n">
        <v>0</v>
      </c>
      <c r="L4170" t="n">
        <v>0</v>
      </c>
      <c r="M4170" t="n">
        <v>0</v>
      </c>
      <c r="N4170" t="n">
        <v>0</v>
      </c>
      <c r="O4170" t="n">
        <v>0</v>
      </c>
      <c r="P4170" t="n">
        <v>0</v>
      </c>
      <c r="Q4170" t="n">
        <v>0</v>
      </c>
      <c r="R4170" s="2" t="inlineStr"/>
    </row>
    <row r="4171" ht="15" customHeight="1">
      <c r="A4171" t="inlineStr">
        <is>
          <t>A 44229-2021</t>
        </is>
      </c>
      <c r="B4171" s="1" t="n">
        <v>44434</v>
      </c>
      <c r="C4171" s="1" t="n">
        <v>45182</v>
      </c>
      <c r="D4171" t="inlineStr">
        <is>
          <t>JÄMTLANDS LÄN</t>
        </is>
      </c>
      <c r="E4171" t="inlineStr">
        <is>
          <t>STRÖMSUND</t>
        </is>
      </c>
      <c r="F4171" t="inlineStr">
        <is>
          <t>SCA</t>
        </is>
      </c>
      <c r="G4171" t="n">
        <v>1.2</v>
      </c>
      <c r="H4171" t="n">
        <v>0</v>
      </c>
      <c r="I4171" t="n">
        <v>0</v>
      </c>
      <c r="J4171" t="n">
        <v>0</v>
      </c>
      <c r="K4171" t="n">
        <v>0</v>
      </c>
      <c r="L4171" t="n">
        <v>0</v>
      </c>
      <c r="M4171" t="n">
        <v>0</v>
      </c>
      <c r="N4171" t="n">
        <v>0</v>
      </c>
      <c r="O4171" t="n">
        <v>0</v>
      </c>
      <c r="P4171" t="n">
        <v>0</v>
      </c>
      <c r="Q4171" t="n">
        <v>0</v>
      </c>
      <c r="R4171" s="2" t="inlineStr"/>
    </row>
    <row r="4172" ht="15" customHeight="1">
      <c r="A4172" t="inlineStr">
        <is>
          <t>A 44244-2021</t>
        </is>
      </c>
      <c r="B4172" s="1" t="n">
        <v>44434</v>
      </c>
      <c r="C4172" s="1" t="n">
        <v>45182</v>
      </c>
      <c r="D4172" t="inlineStr">
        <is>
          <t>JÄMTLANDS LÄN</t>
        </is>
      </c>
      <c r="E4172" t="inlineStr">
        <is>
          <t>BRÄCKE</t>
        </is>
      </c>
      <c r="F4172" t="inlineStr">
        <is>
          <t>SCA</t>
        </is>
      </c>
      <c r="G4172" t="n">
        <v>4.1</v>
      </c>
      <c r="H4172" t="n">
        <v>0</v>
      </c>
      <c r="I4172" t="n">
        <v>0</v>
      </c>
      <c r="J4172" t="n">
        <v>0</v>
      </c>
      <c r="K4172" t="n">
        <v>0</v>
      </c>
      <c r="L4172" t="n">
        <v>0</v>
      </c>
      <c r="M4172" t="n">
        <v>0</v>
      </c>
      <c r="N4172" t="n">
        <v>0</v>
      </c>
      <c r="O4172" t="n">
        <v>0</v>
      </c>
      <c r="P4172" t="n">
        <v>0</v>
      </c>
      <c r="Q4172" t="n">
        <v>0</v>
      </c>
      <c r="R4172" s="2" t="inlineStr"/>
    </row>
    <row r="4173" ht="15" customHeight="1">
      <c r="A4173" t="inlineStr">
        <is>
          <t>A 44410-2021</t>
        </is>
      </c>
      <c r="B4173" s="1" t="n">
        <v>44435</v>
      </c>
      <c r="C4173" s="1" t="n">
        <v>45182</v>
      </c>
      <c r="D4173" t="inlineStr">
        <is>
          <t>JÄMTLANDS LÄN</t>
        </is>
      </c>
      <c r="E4173" t="inlineStr">
        <is>
          <t>STRÖMSUND</t>
        </is>
      </c>
      <c r="F4173" t="inlineStr">
        <is>
          <t>Holmen skog AB</t>
        </is>
      </c>
      <c r="G4173" t="n">
        <v>0.6</v>
      </c>
      <c r="H4173" t="n">
        <v>0</v>
      </c>
      <c r="I4173" t="n">
        <v>0</v>
      </c>
      <c r="J4173" t="n">
        <v>0</v>
      </c>
      <c r="K4173" t="n">
        <v>0</v>
      </c>
      <c r="L4173" t="n">
        <v>0</v>
      </c>
      <c r="M4173" t="n">
        <v>0</v>
      </c>
      <c r="N4173" t="n">
        <v>0</v>
      </c>
      <c r="O4173" t="n">
        <v>0</v>
      </c>
      <c r="P4173" t="n">
        <v>0</v>
      </c>
      <c r="Q4173" t="n">
        <v>0</v>
      </c>
      <c r="R4173" s="2" t="inlineStr"/>
    </row>
    <row r="4174" ht="15" customHeight="1">
      <c r="A4174" t="inlineStr">
        <is>
          <t>A 44911-2021</t>
        </is>
      </c>
      <c r="B4174" s="1" t="n">
        <v>44435</v>
      </c>
      <c r="C4174" s="1" t="n">
        <v>45182</v>
      </c>
      <c r="D4174" t="inlineStr">
        <is>
          <t>JÄMTLANDS LÄN</t>
        </is>
      </c>
      <c r="E4174" t="inlineStr">
        <is>
          <t>BERG</t>
        </is>
      </c>
      <c r="G4174" t="n">
        <v>1.3</v>
      </c>
      <c r="H4174" t="n">
        <v>0</v>
      </c>
      <c r="I4174" t="n">
        <v>0</v>
      </c>
      <c r="J4174" t="n">
        <v>0</v>
      </c>
      <c r="K4174" t="n">
        <v>0</v>
      </c>
      <c r="L4174" t="n">
        <v>0</v>
      </c>
      <c r="M4174" t="n">
        <v>0</v>
      </c>
      <c r="N4174" t="n">
        <v>0</v>
      </c>
      <c r="O4174" t="n">
        <v>0</v>
      </c>
      <c r="P4174" t="n">
        <v>0</v>
      </c>
      <c r="Q4174" t="n">
        <v>0</v>
      </c>
      <c r="R4174" s="2" t="inlineStr"/>
    </row>
    <row r="4175" ht="15" customHeight="1">
      <c r="A4175" t="inlineStr">
        <is>
          <t>A 44519-2021</t>
        </is>
      </c>
      <c r="B4175" s="1" t="n">
        <v>44435</v>
      </c>
      <c r="C4175" s="1" t="n">
        <v>45182</v>
      </c>
      <c r="D4175" t="inlineStr">
        <is>
          <t>JÄMTLANDS LÄN</t>
        </is>
      </c>
      <c r="E4175" t="inlineStr">
        <is>
          <t>HÄRJEDALEN</t>
        </is>
      </c>
      <c r="F4175" t="inlineStr">
        <is>
          <t>Kyrkan</t>
        </is>
      </c>
      <c r="G4175" t="n">
        <v>6.7</v>
      </c>
      <c r="H4175" t="n">
        <v>0</v>
      </c>
      <c r="I4175" t="n">
        <v>0</v>
      </c>
      <c r="J4175" t="n">
        <v>0</v>
      </c>
      <c r="K4175" t="n">
        <v>0</v>
      </c>
      <c r="L4175" t="n">
        <v>0</v>
      </c>
      <c r="M4175" t="n">
        <v>0</v>
      </c>
      <c r="N4175" t="n">
        <v>0</v>
      </c>
      <c r="O4175" t="n">
        <v>0</v>
      </c>
      <c r="P4175" t="n">
        <v>0</v>
      </c>
      <c r="Q4175" t="n">
        <v>0</v>
      </c>
      <c r="R4175" s="2" t="inlineStr"/>
    </row>
    <row r="4176" ht="15" customHeight="1">
      <c r="A4176" t="inlineStr">
        <is>
          <t>A 44914-2021</t>
        </is>
      </c>
      <c r="B4176" s="1" t="n">
        <v>44438</v>
      </c>
      <c r="C4176" s="1" t="n">
        <v>45182</v>
      </c>
      <c r="D4176" t="inlineStr">
        <is>
          <t>JÄMTLANDS LÄN</t>
        </is>
      </c>
      <c r="E4176" t="inlineStr">
        <is>
          <t>STRÖMSUND</t>
        </is>
      </c>
      <c r="F4176" t="inlineStr">
        <is>
          <t>Holmen skog AB</t>
        </is>
      </c>
      <c r="G4176" t="n">
        <v>0.9</v>
      </c>
      <c r="H4176" t="n">
        <v>0</v>
      </c>
      <c r="I4176" t="n">
        <v>0</v>
      </c>
      <c r="J4176" t="n">
        <v>0</v>
      </c>
      <c r="K4176" t="n">
        <v>0</v>
      </c>
      <c r="L4176" t="n">
        <v>0</v>
      </c>
      <c r="M4176" t="n">
        <v>0</v>
      </c>
      <c r="N4176" t="n">
        <v>0</v>
      </c>
      <c r="O4176" t="n">
        <v>0</v>
      </c>
      <c r="P4176" t="n">
        <v>0</v>
      </c>
      <c r="Q4176" t="n">
        <v>0</v>
      </c>
      <c r="R4176" s="2" t="inlineStr"/>
    </row>
    <row r="4177" ht="15" customHeight="1">
      <c r="A4177" t="inlineStr">
        <is>
          <t>A 44997-2021</t>
        </is>
      </c>
      <c r="B4177" s="1" t="n">
        <v>44438</v>
      </c>
      <c r="C4177" s="1" t="n">
        <v>45182</v>
      </c>
      <c r="D4177" t="inlineStr">
        <is>
          <t>JÄMTLANDS LÄN</t>
        </is>
      </c>
      <c r="E4177" t="inlineStr">
        <is>
          <t>BERG</t>
        </is>
      </c>
      <c r="G4177" t="n">
        <v>3.8</v>
      </c>
      <c r="H4177" t="n">
        <v>0</v>
      </c>
      <c r="I4177" t="n">
        <v>0</v>
      </c>
      <c r="J4177" t="n">
        <v>0</v>
      </c>
      <c r="K4177" t="n">
        <v>0</v>
      </c>
      <c r="L4177" t="n">
        <v>0</v>
      </c>
      <c r="M4177" t="n">
        <v>0</v>
      </c>
      <c r="N4177" t="n">
        <v>0</v>
      </c>
      <c r="O4177" t="n">
        <v>0</v>
      </c>
      <c r="P4177" t="n">
        <v>0</v>
      </c>
      <c r="Q4177" t="n">
        <v>0</v>
      </c>
      <c r="R4177" s="2" t="inlineStr"/>
    </row>
    <row r="4178" ht="15" customHeight="1">
      <c r="A4178" t="inlineStr">
        <is>
          <t>A 45333-2021</t>
        </is>
      </c>
      <c r="B4178" s="1" t="n">
        <v>44439</v>
      </c>
      <c r="C4178" s="1" t="n">
        <v>45182</v>
      </c>
      <c r="D4178" t="inlineStr">
        <is>
          <t>JÄMTLANDS LÄN</t>
        </is>
      </c>
      <c r="E4178" t="inlineStr">
        <is>
          <t>STRÖMSUND</t>
        </is>
      </c>
      <c r="G4178" t="n">
        <v>2.8</v>
      </c>
      <c r="H4178" t="n">
        <v>0</v>
      </c>
      <c r="I4178" t="n">
        <v>0</v>
      </c>
      <c r="J4178" t="n">
        <v>0</v>
      </c>
      <c r="K4178" t="n">
        <v>0</v>
      </c>
      <c r="L4178" t="n">
        <v>0</v>
      </c>
      <c r="M4178" t="n">
        <v>0</v>
      </c>
      <c r="N4178" t="n">
        <v>0</v>
      </c>
      <c r="O4178" t="n">
        <v>0</v>
      </c>
      <c r="P4178" t="n">
        <v>0</v>
      </c>
      <c r="Q4178" t="n">
        <v>0</v>
      </c>
      <c r="R4178" s="2" t="inlineStr"/>
    </row>
    <row r="4179" ht="15" customHeight="1">
      <c r="A4179" t="inlineStr">
        <is>
          <t>A 45409-2021</t>
        </is>
      </c>
      <c r="B4179" s="1" t="n">
        <v>44440</v>
      </c>
      <c r="C4179" s="1" t="n">
        <v>45182</v>
      </c>
      <c r="D4179" t="inlineStr">
        <is>
          <t>JÄMTLANDS LÄN</t>
        </is>
      </c>
      <c r="E4179" t="inlineStr">
        <is>
          <t>HÄRJEDALEN</t>
        </is>
      </c>
      <c r="G4179" t="n">
        <v>18.9</v>
      </c>
      <c r="H4179" t="n">
        <v>0</v>
      </c>
      <c r="I4179" t="n">
        <v>0</v>
      </c>
      <c r="J4179" t="n">
        <v>0</v>
      </c>
      <c r="K4179" t="n">
        <v>0</v>
      </c>
      <c r="L4179" t="n">
        <v>0</v>
      </c>
      <c r="M4179" t="n">
        <v>0</v>
      </c>
      <c r="N4179" t="n">
        <v>0</v>
      </c>
      <c r="O4179" t="n">
        <v>0</v>
      </c>
      <c r="P4179" t="n">
        <v>0</v>
      </c>
      <c r="Q4179" t="n">
        <v>0</v>
      </c>
      <c r="R4179" s="2" t="inlineStr"/>
    </row>
    <row r="4180" ht="15" customHeight="1">
      <c r="A4180" t="inlineStr">
        <is>
          <t>A 45640-2021</t>
        </is>
      </c>
      <c r="B4180" s="1" t="n">
        <v>44440</v>
      </c>
      <c r="C4180" s="1" t="n">
        <v>45182</v>
      </c>
      <c r="D4180" t="inlineStr">
        <is>
          <t>JÄMTLANDS LÄN</t>
        </is>
      </c>
      <c r="E4180" t="inlineStr">
        <is>
          <t>STRÖMSUND</t>
        </is>
      </c>
      <c r="F4180" t="inlineStr">
        <is>
          <t>SCA</t>
        </is>
      </c>
      <c r="G4180" t="n">
        <v>2.6</v>
      </c>
      <c r="H4180" t="n">
        <v>0</v>
      </c>
      <c r="I4180" t="n">
        <v>0</v>
      </c>
      <c r="J4180" t="n">
        <v>0</v>
      </c>
      <c r="K4180" t="n">
        <v>0</v>
      </c>
      <c r="L4180" t="n">
        <v>0</v>
      </c>
      <c r="M4180" t="n">
        <v>0</v>
      </c>
      <c r="N4180" t="n">
        <v>0</v>
      </c>
      <c r="O4180" t="n">
        <v>0</v>
      </c>
      <c r="P4180" t="n">
        <v>0</v>
      </c>
      <c r="Q4180" t="n">
        <v>0</v>
      </c>
      <c r="R4180" s="2" t="inlineStr"/>
    </row>
    <row r="4181" ht="15" customHeight="1">
      <c r="A4181" t="inlineStr">
        <is>
          <t>A 45365-2021</t>
        </is>
      </c>
      <c r="B4181" s="1" t="n">
        <v>44440</v>
      </c>
      <c r="C4181" s="1" t="n">
        <v>45182</v>
      </c>
      <c r="D4181" t="inlineStr">
        <is>
          <t>JÄMTLANDS LÄN</t>
        </is>
      </c>
      <c r="E4181" t="inlineStr">
        <is>
          <t>HÄRJEDALEN</t>
        </is>
      </c>
      <c r="F4181" t="inlineStr">
        <is>
          <t>Sveaskog</t>
        </is>
      </c>
      <c r="G4181" t="n">
        <v>4.8</v>
      </c>
      <c r="H4181" t="n">
        <v>0</v>
      </c>
      <c r="I4181" t="n">
        <v>0</v>
      </c>
      <c r="J4181" t="n">
        <v>0</v>
      </c>
      <c r="K4181" t="n">
        <v>0</v>
      </c>
      <c r="L4181" t="n">
        <v>0</v>
      </c>
      <c r="M4181" t="n">
        <v>0</v>
      </c>
      <c r="N4181" t="n">
        <v>0</v>
      </c>
      <c r="O4181" t="n">
        <v>0</v>
      </c>
      <c r="P4181" t="n">
        <v>0</v>
      </c>
      <c r="Q4181" t="n">
        <v>0</v>
      </c>
      <c r="R4181" s="2" t="inlineStr"/>
    </row>
    <row r="4182" ht="15" customHeight="1">
      <c r="A4182" t="inlineStr">
        <is>
          <t>A 45557-2021</t>
        </is>
      </c>
      <c r="B4182" s="1" t="n">
        <v>44440</v>
      </c>
      <c r="C4182" s="1" t="n">
        <v>45182</v>
      </c>
      <c r="D4182" t="inlineStr">
        <is>
          <t>JÄMTLANDS LÄN</t>
        </is>
      </c>
      <c r="E4182" t="inlineStr">
        <is>
          <t>HÄRJEDALEN</t>
        </is>
      </c>
      <c r="G4182" t="n">
        <v>11.4</v>
      </c>
      <c r="H4182" t="n">
        <v>0</v>
      </c>
      <c r="I4182" t="n">
        <v>0</v>
      </c>
      <c r="J4182" t="n">
        <v>0</v>
      </c>
      <c r="K4182" t="n">
        <v>0</v>
      </c>
      <c r="L4182" t="n">
        <v>0</v>
      </c>
      <c r="M4182" t="n">
        <v>0</v>
      </c>
      <c r="N4182" t="n">
        <v>0</v>
      </c>
      <c r="O4182" t="n">
        <v>0</v>
      </c>
      <c r="P4182" t="n">
        <v>0</v>
      </c>
      <c r="Q4182" t="n">
        <v>0</v>
      </c>
      <c r="R4182" s="2" t="inlineStr"/>
    </row>
    <row r="4183" ht="15" customHeight="1">
      <c r="A4183" t="inlineStr">
        <is>
          <t>A 45630-2021</t>
        </is>
      </c>
      <c r="B4183" s="1" t="n">
        <v>44440</v>
      </c>
      <c r="C4183" s="1" t="n">
        <v>45182</v>
      </c>
      <c r="D4183" t="inlineStr">
        <is>
          <t>JÄMTLANDS LÄN</t>
        </is>
      </c>
      <c r="E4183" t="inlineStr">
        <is>
          <t>STRÖMSUND</t>
        </is>
      </c>
      <c r="F4183" t="inlineStr">
        <is>
          <t>SCA</t>
        </is>
      </c>
      <c r="G4183" t="n">
        <v>1.6</v>
      </c>
      <c r="H4183" t="n">
        <v>0</v>
      </c>
      <c r="I4183" t="n">
        <v>0</v>
      </c>
      <c r="J4183" t="n">
        <v>0</v>
      </c>
      <c r="K4183" t="n">
        <v>0</v>
      </c>
      <c r="L4183" t="n">
        <v>0</v>
      </c>
      <c r="M4183" t="n">
        <v>0</v>
      </c>
      <c r="N4183" t="n">
        <v>0</v>
      </c>
      <c r="O4183" t="n">
        <v>0</v>
      </c>
      <c r="P4183" t="n">
        <v>0</v>
      </c>
      <c r="Q4183" t="n">
        <v>0</v>
      </c>
      <c r="R4183" s="2" t="inlineStr"/>
    </row>
    <row r="4184" ht="15" customHeight="1">
      <c r="A4184" t="inlineStr">
        <is>
          <t>A 45639-2021</t>
        </is>
      </c>
      <c r="B4184" s="1" t="n">
        <v>44440</v>
      </c>
      <c r="C4184" s="1" t="n">
        <v>45182</v>
      </c>
      <c r="D4184" t="inlineStr">
        <is>
          <t>JÄMTLANDS LÄN</t>
        </is>
      </c>
      <c r="E4184" t="inlineStr">
        <is>
          <t>STRÖMSUND</t>
        </is>
      </c>
      <c r="F4184" t="inlineStr">
        <is>
          <t>SCA</t>
        </is>
      </c>
      <c r="G4184" t="n">
        <v>2.1</v>
      </c>
      <c r="H4184" t="n">
        <v>0</v>
      </c>
      <c r="I4184" t="n">
        <v>0</v>
      </c>
      <c r="J4184" t="n">
        <v>0</v>
      </c>
      <c r="K4184" t="n">
        <v>0</v>
      </c>
      <c r="L4184" t="n">
        <v>0</v>
      </c>
      <c r="M4184" t="n">
        <v>0</v>
      </c>
      <c r="N4184" t="n">
        <v>0</v>
      </c>
      <c r="O4184" t="n">
        <v>0</v>
      </c>
      <c r="P4184" t="n">
        <v>0</v>
      </c>
      <c r="Q4184" t="n">
        <v>0</v>
      </c>
      <c r="R4184" s="2" t="inlineStr"/>
    </row>
    <row r="4185" ht="15" customHeight="1">
      <c r="A4185" t="inlineStr">
        <is>
          <t>A 45363-2021</t>
        </is>
      </c>
      <c r="B4185" s="1" t="n">
        <v>44440</v>
      </c>
      <c r="C4185" s="1" t="n">
        <v>45182</v>
      </c>
      <c r="D4185" t="inlineStr">
        <is>
          <t>JÄMTLANDS LÄN</t>
        </is>
      </c>
      <c r="E4185" t="inlineStr">
        <is>
          <t>HÄRJEDALEN</t>
        </is>
      </c>
      <c r="F4185" t="inlineStr">
        <is>
          <t>Sveaskog</t>
        </is>
      </c>
      <c r="G4185" t="n">
        <v>1.5</v>
      </c>
      <c r="H4185" t="n">
        <v>0</v>
      </c>
      <c r="I4185" t="n">
        <v>0</v>
      </c>
      <c r="J4185" t="n">
        <v>0</v>
      </c>
      <c r="K4185" t="n">
        <v>0</v>
      </c>
      <c r="L4185" t="n">
        <v>0</v>
      </c>
      <c r="M4185" t="n">
        <v>0</v>
      </c>
      <c r="N4185" t="n">
        <v>0</v>
      </c>
      <c r="O4185" t="n">
        <v>0</v>
      </c>
      <c r="P4185" t="n">
        <v>0</v>
      </c>
      <c r="Q4185" t="n">
        <v>0</v>
      </c>
      <c r="R4185" s="2" t="inlineStr"/>
    </row>
    <row r="4186" ht="15" customHeight="1">
      <c r="A4186" t="inlineStr">
        <is>
          <t>A 45638-2021</t>
        </is>
      </c>
      <c r="B4186" s="1" t="n">
        <v>44440</v>
      </c>
      <c r="C4186" s="1" t="n">
        <v>45182</v>
      </c>
      <c r="D4186" t="inlineStr">
        <is>
          <t>JÄMTLANDS LÄN</t>
        </is>
      </c>
      <c r="E4186" t="inlineStr">
        <is>
          <t>STRÖMSUND</t>
        </is>
      </c>
      <c r="F4186" t="inlineStr">
        <is>
          <t>SCA</t>
        </is>
      </c>
      <c r="G4186" t="n">
        <v>2.5</v>
      </c>
      <c r="H4186" t="n">
        <v>0</v>
      </c>
      <c r="I4186" t="n">
        <v>0</v>
      </c>
      <c r="J4186" t="n">
        <v>0</v>
      </c>
      <c r="K4186" t="n">
        <v>0</v>
      </c>
      <c r="L4186" t="n">
        <v>0</v>
      </c>
      <c r="M4186" t="n">
        <v>0</v>
      </c>
      <c r="N4186" t="n">
        <v>0</v>
      </c>
      <c r="O4186" t="n">
        <v>0</v>
      </c>
      <c r="P4186" t="n">
        <v>0</v>
      </c>
      <c r="Q4186" t="n">
        <v>0</v>
      </c>
      <c r="R4186" s="2" t="inlineStr"/>
    </row>
    <row r="4187" ht="15" customHeight="1">
      <c r="A4187" t="inlineStr">
        <is>
          <t>A 45635-2021</t>
        </is>
      </c>
      <c r="B4187" s="1" t="n">
        <v>44440</v>
      </c>
      <c r="C4187" s="1" t="n">
        <v>45182</v>
      </c>
      <c r="D4187" t="inlineStr">
        <is>
          <t>JÄMTLANDS LÄN</t>
        </is>
      </c>
      <c r="E4187" t="inlineStr">
        <is>
          <t>STRÖMSUND</t>
        </is>
      </c>
      <c r="F4187" t="inlineStr">
        <is>
          <t>SCA</t>
        </is>
      </c>
      <c r="G4187" t="n">
        <v>2.9</v>
      </c>
      <c r="H4187" t="n">
        <v>0</v>
      </c>
      <c r="I4187" t="n">
        <v>0</v>
      </c>
      <c r="J4187" t="n">
        <v>0</v>
      </c>
      <c r="K4187" t="n">
        <v>0</v>
      </c>
      <c r="L4187" t="n">
        <v>0</v>
      </c>
      <c r="M4187" t="n">
        <v>0</v>
      </c>
      <c r="N4187" t="n">
        <v>0</v>
      </c>
      <c r="O4187" t="n">
        <v>0</v>
      </c>
      <c r="P4187" t="n">
        <v>0</v>
      </c>
      <c r="Q4187" t="n">
        <v>0</v>
      </c>
      <c r="R4187" s="2" t="inlineStr"/>
    </row>
    <row r="4188" ht="15" customHeight="1">
      <c r="A4188" t="inlineStr">
        <is>
          <t>A 45641-2021</t>
        </is>
      </c>
      <c r="B4188" s="1" t="n">
        <v>44440</v>
      </c>
      <c r="C4188" s="1" t="n">
        <v>45182</v>
      </c>
      <c r="D4188" t="inlineStr">
        <is>
          <t>JÄMTLANDS LÄN</t>
        </is>
      </c>
      <c r="E4188" t="inlineStr">
        <is>
          <t>STRÖMSUND</t>
        </is>
      </c>
      <c r="F4188" t="inlineStr">
        <is>
          <t>SCA</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46139-2021</t>
        </is>
      </c>
      <c r="B4189" s="1" t="n">
        <v>44441</v>
      </c>
      <c r="C4189" s="1" t="n">
        <v>45182</v>
      </c>
      <c r="D4189" t="inlineStr">
        <is>
          <t>JÄMTLANDS LÄN</t>
        </is>
      </c>
      <c r="E4189" t="inlineStr">
        <is>
          <t>ÖSTERSUND</t>
        </is>
      </c>
      <c r="G4189" t="n">
        <v>12.8</v>
      </c>
      <c r="H4189" t="n">
        <v>0</v>
      </c>
      <c r="I4189" t="n">
        <v>0</v>
      </c>
      <c r="J4189" t="n">
        <v>0</v>
      </c>
      <c r="K4189" t="n">
        <v>0</v>
      </c>
      <c r="L4189" t="n">
        <v>0</v>
      </c>
      <c r="M4189" t="n">
        <v>0</v>
      </c>
      <c r="N4189" t="n">
        <v>0</v>
      </c>
      <c r="O4189" t="n">
        <v>0</v>
      </c>
      <c r="P4189" t="n">
        <v>0</v>
      </c>
      <c r="Q4189" t="n">
        <v>0</v>
      </c>
      <c r="R4189" s="2" t="inlineStr"/>
    </row>
    <row r="4190" ht="15" customHeight="1">
      <c r="A4190" t="inlineStr">
        <is>
          <t>A 46100-2021</t>
        </is>
      </c>
      <c r="B4190" s="1" t="n">
        <v>44441</v>
      </c>
      <c r="C4190" s="1" t="n">
        <v>45182</v>
      </c>
      <c r="D4190" t="inlineStr">
        <is>
          <t>JÄMTLANDS LÄN</t>
        </is>
      </c>
      <c r="E4190" t="inlineStr">
        <is>
          <t>BERG</t>
        </is>
      </c>
      <c r="G4190" t="n">
        <v>7.7</v>
      </c>
      <c r="H4190" t="n">
        <v>0</v>
      </c>
      <c r="I4190" t="n">
        <v>0</v>
      </c>
      <c r="J4190" t="n">
        <v>0</v>
      </c>
      <c r="K4190" t="n">
        <v>0</v>
      </c>
      <c r="L4190" t="n">
        <v>0</v>
      </c>
      <c r="M4190" t="n">
        <v>0</v>
      </c>
      <c r="N4190" t="n">
        <v>0</v>
      </c>
      <c r="O4190" t="n">
        <v>0</v>
      </c>
      <c r="P4190" t="n">
        <v>0</v>
      </c>
      <c r="Q4190" t="n">
        <v>0</v>
      </c>
      <c r="R4190" s="2" t="inlineStr"/>
    </row>
    <row r="4191" ht="15" customHeight="1">
      <c r="A4191" t="inlineStr">
        <is>
          <t>A 46228-2021</t>
        </is>
      </c>
      <c r="B4191" s="1" t="n">
        <v>44441</v>
      </c>
      <c r="C4191" s="1" t="n">
        <v>45182</v>
      </c>
      <c r="D4191" t="inlineStr">
        <is>
          <t>JÄMTLANDS LÄN</t>
        </is>
      </c>
      <c r="E4191" t="inlineStr">
        <is>
          <t>RAGUNDA</t>
        </is>
      </c>
      <c r="G4191" t="n">
        <v>0.8</v>
      </c>
      <c r="H4191" t="n">
        <v>0</v>
      </c>
      <c r="I4191" t="n">
        <v>0</v>
      </c>
      <c r="J4191" t="n">
        <v>0</v>
      </c>
      <c r="K4191" t="n">
        <v>0</v>
      </c>
      <c r="L4191" t="n">
        <v>0</v>
      </c>
      <c r="M4191" t="n">
        <v>0</v>
      </c>
      <c r="N4191" t="n">
        <v>0</v>
      </c>
      <c r="O4191" t="n">
        <v>0</v>
      </c>
      <c r="P4191" t="n">
        <v>0</v>
      </c>
      <c r="Q4191" t="n">
        <v>0</v>
      </c>
      <c r="R4191" s="2" t="inlineStr"/>
    </row>
    <row r="4192" ht="15" customHeight="1">
      <c r="A4192" t="inlineStr">
        <is>
          <t>A 45717-2021</t>
        </is>
      </c>
      <c r="B4192" s="1" t="n">
        <v>44441</v>
      </c>
      <c r="C4192" s="1" t="n">
        <v>45182</v>
      </c>
      <c r="D4192" t="inlineStr">
        <is>
          <t>JÄMTLANDS LÄN</t>
        </is>
      </c>
      <c r="E4192" t="inlineStr">
        <is>
          <t>HÄRJEDALEN</t>
        </is>
      </c>
      <c r="G4192" t="n">
        <v>1</v>
      </c>
      <c r="H4192" t="n">
        <v>0</v>
      </c>
      <c r="I4192" t="n">
        <v>0</v>
      </c>
      <c r="J4192" t="n">
        <v>0</v>
      </c>
      <c r="K4192" t="n">
        <v>0</v>
      </c>
      <c r="L4192" t="n">
        <v>0</v>
      </c>
      <c r="M4192" t="n">
        <v>0</v>
      </c>
      <c r="N4192" t="n">
        <v>0</v>
      </c>
      <c r="O4192" t="n">
        <v>0</v>
      </c>
      <c r="P4192" t="n">
        <v>0</v>
      </c>
      <c r="Q4192" t="n">
        <v>0</v>
      </c>
      <c r="R4192" s="2" t="inlineStr"/>
    </row>
    <row r="4193" ht="15" customHeight="1">
      <c r="A4193" t="inlineStr">
        <is>
          <t>A 46044-2021</t>
        </is>
      </c>
      <c r="B4193" s="1" t="n">
        <v>44441</v>
      </c>
      <c r="C4193" s="1" t="n">
        <v>45182</v>
      </c>
      <c r="D4193" t="inlineStr">
        <is>
          <t>JÄMTLANDS LÄN</t>
        </is>
      </c>
      <c r="E4193" t="inlineStr">
        <is>
          <t>STRÖMSUND</t>
        </is>
      </c>
      <c r="F4193" t="inlineStr">
        <is>
          <t>SCA</t>
        </is>
      </c>
      <c r="G4193" t="n">
        <v>4.2</v>
      </c>
      <c r="H4193" t="n">
        <v>0</v>
      </c>
      <c r="I4193" t="n">
        <v>0</v>
      </c>
      <c r="J4193" t="n">
        <v>0</v>
      </c>
      <c r="K4193" t="n">
        <v>0</v>
      </c>
      <c r="L4193" t="n">
        <v>0</v>
      </c>
      <c r="M4193" t="n">
        <v>0</v>
      </c>
      <c r="N4193" t="n">
        <v>0</v>
      </c>
      <c r="O4193" t="n">
        <v>0</v>
      </c>
      <c r="P4193" t="n">
        <v>0</v>
      </c>
      <c r="Q4193" t="n">
        <v>0</v>
      </c>
      <c r="R4193" s="2" t="inlineStr"/>
    </row>
    <row r="4194" ht="15" customHeight="1">
      <c r="A4194" t="inlineStr">
        <is>
          <t>A 46111-2021</t>
        </is>
      </c>
      <c r="B4194" s="1" t="n">
        <v>44441</v>
      </c>
      <c r="C4194" s="1" t="n">
        <v>45182</v>
      </c>
      <c r="D4194" t="inlineStr">
        <is>
          <t>JÄMTLANDS LÄN</t>
        </is>
      </c>
      <c r="E4194" t="inlineStr">
        <is>
          <t>ÖSTERSUND</t>
        </is>
      </c>
      <c r="G4194" t="n">
        <v>4.6</v>
      </c>
      <c r="H4194" t="n">
        <v>0</v>
      </c>
      <c r="I4194" t="n">
        <v>0</v>
      </c>
      <c r="J4194" t="n">
        <v>0</v>
      </c>
      <c r="K4194" t="n">
        <v>0</v>
      </c>
      <c r="L4194" t="n">
        <v>0</v>
      </c>
      <c r="M4194" t="n">
        <v>0</v>
      </c>
      <c r="N4194" t="n">
        <v>0</v>
      </c>
      <c r="O4194" t="n">
        <v>0</v>
      </c>
      <c r="P4194" t="n">
        <v>0</v>
      </c>
      <c r="Q4194" t="n">
        <v>0</v>
      </c>
      <c r="R4194" s="2" t="inlineStr"/>
    </row>
    <row r="4195" ht="15" customHeight="1">
      <c r="A4195" t="inlineStr">
        <is>
          <t>A 45744-2021</t>
        </is>
      </c>
      <c r="B4195" s="1" t="n">
        <v>44441</v>
      </c>
      <c r="C4195" s="1" t="n">
        <v>45182</v>
      </c>
      <c r="D4195" t="inlineStr">
        <is>
          <t>JÄMTLANDS LÄN</t>
        </is>
      </c>
      <c r="E4195" t="inlineStr">
        <is>
          <t>HÄRJEDALEN</t>
        </is>
      </c>
      <c r="F4195" t="inlineStr">
        <is>
          <t>Holmen skog AB</t>
        </is>
      </c>
      <c r="G4195" t="n">
        <v>6.9</v>
      </c>
      <c r="H4195" t="n">
        <v>0</v>
      </c>
      <c r="I4195" t="n">
        <v>0</v>
      </c>
      <c r="J4195" t="n">
        <v>0</v>
      </c>
      <c r="K4195" t="n">
        <v>0</v>
      </c>
      <c r="L4195" t="n">
        <v>0</v>
      </c>
      <c r="M4195" t="n">
        <v>0</v>
      </c>
      <c r="N4195" t="n">
        <v>0</v>
      </c>
      <c r="O4195" t="n">
        <v>0</v>
      </c>
      <c r="P4195" t="n">
        <v>0</v>
      </c>
      <c r="Q4195" t="n">
        <v>0</v>
      </c>
      <c r="R4195" s="2" t="inlineStr"/>
    </row>
    <row r="4196" ht="15" customHeight="1">
      <c r="A4196" t="inlineStr">
        <is>
          <t>A 45870-2021</t>
        </is>
      </c>
      <c r="B4196" s="1" t="n">
        <v>44441</v>
      </c>
      <c r="C4196" s="1" t="n">
        <v>45182</v>
      </c>
      <c r="D4196" t="inlineStr">
        <is>
          <t>JÄMTLANDS LÄN</t>
        </is>
      </c>
      <c r="E4196" t="inlineStr">
        <is>
          <t>STRÖMSUND</t>
        </is>
      </c>
      <c r="F4196" t="inlineStr">
        <is>
          <t>Holmen skog AB</t>
        </is>
      </c>
      <c r="G4196" t="n">
        <v>1.6</v>
      </c>
      <c r="H4196" t="n">
        <v>0</v>
      </c>
      <c r="I4196" t="n">
        <v>0</v>
      </c>
      <c r="J4196" t="n">
        <v>0</v>
      </c>
      <c r="K4196" t="n">
        <v>0</v>
      </c>
      <c r="L4196" t="n">
        <v>0</v>
      </c>
      <c r="M4196" t="n">
        <v>0</v>
      </c>
      <c r="N4196" t="n">
        <v>0</v>
      </c>
      <c r="O4196" t="n">
        <v>0</v>
      </c>
      <c r="P4196" t="n">
        <v>0</v>
      </c>
      <c r="Q4196" t="n">
        <v>0</v>
      </c>
      <c r="R4196" s="2" t="inlineStr"/>
    </row>
    <row r="4197" ht="15" customHeight="1">
      <c r="A4197" t="inlineStr">
        <is>
          <t>A 46115-2021</t>
        </is>
      </c>
      <c r="B4197" s="1" t="n">
        <v>44441</v>
      </c>
      <c r="C4197" s="1" t="n">
        <v>45182</v>
      </c>
      <c r="D4197" t="inlineStr">
        <is>
          <t>JÄMTLANDS LÄN</t>
        </is>
      </c>
      <c r="E4197" t="inlineStr">
        <is>
          <t>BERG</t>
        </is>
      </c>
      <c r="G4197" t="n">
        <v>15.1</v>
      </c>
      <c r="H4197" t="n">
        <v>0</v>
      </c>
      <c r="I4197" t="n">
        <v>0</v>
      </c>
      <c r="J4197" t="n">
        <v>0</v>
      </c>
      <c r="K4197" t="n">
        <v>0</v>
      </c>
      <c r="L4197" t="n">
        <v>0</v>
      </c>
      <c r="M4197" t="n">
        <v>0</v>
      </c>
      <c r="N4197" t="n">
        <v>0</v>
      </c>
      <c r="O4197" t="n">
        <v>0</v>
      </c>
      <c r="P4197" t="n">
        <v>0</v>
      </c>
      <c r="Q4197" t="n">
        <v>0</v>
      </c>
      <c r="R4197" s="2" t="inlineStr"/>
    </row>
    <row r="4198" ht="15" customHeight="1">
      <c r="A4198" t="inlineStr">
        <is>
          <t>A 46352-2021</t>
        </is>
      </c>
      <c r="B4198" s="1" t="n">
        <v>44442</v>
      </c>
      <c r="C4198" s="1" t="n">
        <v>45182</v>
      </c>
      <c r="D4198" t="inlineStr">
        <is>
          <t>JÄMTLANDS LÄN</t>
        </is>
      </c>
      <c r="E4198" t="inlineStr">
        <is>
          <t>HÄRJEDALEN</t>
        </is>
      </c>
      <c r="G4198" t="n">
        <v>4.4</v>
      </c>
      <c r="H4198" t="n">
        <v>0</v>
      </c>
      <c r="I4198" t="n">
        <v>0</v>
      </c>
      <c r="J4198" t="n">
        <v>0</v>
      </c>
      <c r="K4198" t="n">
        <v>0</v>
      </c>
      <c r="L4198" t="n">
        <v>0</v>
      </c>
      <c r="M4198" t="n">
        <v>0</v>
      </c>
      <c r="N4198" t="n">
        <v>0</v>
      </c>
      <c r="O4198" t="n">
        <v>0</v>
      </c>
      <c r="P4198" t="n">
        <v>0</v>
      </c>
      <c r="Q4198" t="n">
        <v>0</v>
      </c>
      <c r="R4198" s="2" t="inlineStr"/>
    </row>
    <row r="4199" ht="15" customHeight="1">
      <c r="A4199" t="inlineStr">
        <is>
          <t>A 46401-2021</t>
        </is>
      </c>
      <c r="B4199" s="1" t="n">
        <v>44443</v>
      </c>
      <c r="C4199" s="1" t="n">
        <v>45182</v>
      </c>
      <c r="D4199" t="inlineStr">
        <is>
          <t>JÄMTLANDS LÄN</t>
        </is>
      </c>
      <c r="E4199" t="inlineStr">
        <is>
          <t>RAGUNDA</t>
        </is>
      </c>
      <c r="G4199" t="n">
        <v>7</v>
      </c>
      <c r="H4199" t="n">
        <v>0</v>
      </c>
      <c r="I4199" t="n">
        <v>0</v>
      </c>
      <c r="J4199" t="n">
        <v>0</v>
      </c>
      <c r="K4199" t="n">
        <v>0</v>
      </c>
      <c r="L4199" t="n">
        <v>0</v>
      </c>
      <c r="M4199" t="n">
        <v>0</v>
      </c>
      <c r="N4199" t="n">
        <v>0</v>
      </c>
      <c r="O4199" t="n">
        <v>0</v>
      </c>
      <c r="P4199" t="n">
        <v>0</v>
      </c>
      <c r="Q4199" t="n">
        <v>0</v>
      </c>
      <c r="R4199" s="2" t="inlineStr"/>
    </row>
    <row r="4200" ht="15" customHeight="1">
      <c r="A4200" t="inlineStr">
        <is>
          <t>A 46793-2021</t>
        </is>
      </c>
      <c r="B4200" s="1" t="n">
        <v>44445</v>
      </c>
      <c r="C4200" s="1" t="n">
        <v>45182</v>
      </c>
      <c r="D4200" t="inlineStr">
        <is>
          <t>JÄMTLANDS LÄN</t>
        </is>
      </c>
      <c r="E4200" t="inlineStr">
        <is>
          <t>BRÄCKE</t>
        </is>
      </c>
      <c r="F4200" t="inlineStr">
        <is>
          <t>SCA</t>
        </is>
      </c>
      <c r="G4200" t="n">
        <v>2.4</v>
      </c>
      <c r="H4200" t="n">
        <v>0</v>
      </c>
      <c r="I4200" t="n">
        <v>0</v>
      </c>
      <c r="J4200" t="n">
        <v>0</v>
      </c>
      <c r="K4200" t="n">
        <v>0</v>
      </c>
      <c r="L4200" t="n">
        <v>0</v>
      </c>
      <c r="M4200" t="n">
        <v>0</v>
      </c>
      <c r="N4200" t="n">
        <v>0</v>
      </c>
      <c r="O4200" t="n">
        <v>0</v>
      </c>
      <c r="P4200" t="n">
        <v>0</v>
      </c>
      <c r="Q4200" t="n">
        <v>0</v>
      </c>
      <c r="R4200" s="2" t="inlineStr"/>
    </row>
    <row r="4201" ht="15" customHeight="1">
      <c r="A4201" t="inlineStr">
        <is>
          <t>A 46515-2021</t>
        </is>
      </c>
      <c r="B4201" s="1" t="n">
        <v>44445</v>
      </c>
      <c r="C4201" s="1" t="n">
        <v>45182</v>
      </c>
      <c r="D4201" t="inlineStr">
        <is>
          <t>JÄMTLANDS LÄN</t>
        </is>
      </c>
      <c r="E4201" t="inlineStr">
        <is>
          <t>BERG</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46792-2021</t>
        </is>
      </c>
      <c r="B4202" s="1" t="n">
        <v>44445</v>
      </c>
      <c r="C4202" s="1" t="n">
        <v>45182</v>
      </c>
      <c r="D4202" t="inlineStr">
        <is>
          <t>JÄMTLANDS LÄN</t>
        </is>
      </c>
      <c r="E4202" t="inlineStr">
        <is>
          <t>BRÄCKE</t>
        </is>
      </c>
      <c r="F4202" t="inlineStr">
        <is>
          <t>SCA</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46625-2021</t>
        </is>
      </c>
      <c r="B4203" s="1" t="n">
        <v>44445</v>
      </c>
      <c r="C4203" s="1" t="n">
        <v>45182</v>
      </c>
      <c r="D4203" t="inlineStr">
        <is>
          <t>JÄMTLANDS LÄN</t>
        </is>
      </c>
      <c r="E4203" t="inlineStr">
        <is>
          <t>KROKOM</t>
        </is>
      </c>
      <c r="G4203" t="n">
        <v>1.2</v>
      </c>
      <c r="H4203" t="n">
        <v>0</v>
      </c>
      <c r="I4203" t="n">
        <v>0</v>
      </c>
      <c r="J4203" t="n">
        <v>0</v>
      </c>
      <c r="K4203" t="n">
        <v>0</v>
      </c>
      <c r="L4203" t="n">
        <v>0</v>
      </c>
      <c r="M4203" t="n">
        <v>0</v>
      </c>
      <c r="N4203" t="n">
        <v>0</v>
      </c>
      <c r="O4203" t="n">
        <v>0</v>
      </c>
      <c r="P4203" t="n">
        <v>0</v>
      </c>
      <c r="Q4203" t="n">
        <v>0</v>
      </c>
      <c r="R4203" s="2" t="inlineStr"/>
    </row>
    <row r="4204" ht="15" customHeight="1">
      <c r="A4204" t="inlineStr">
        <is>
          <t>A 46853-2021</t>
        </is>
      </c>
      <c r="B4204" s="1" t="n">
        <v>44446</v>
      </c>
      <c r="C4204" s="1" t="n">
        <v>45182</v>
      </c>
      <c r="D4204" t="inlineStr">
        <is>
          <t>JÄMTLANDS LÄN</t>
        </is>
      </c>
      <c r="E4204" t="inlineStr">
        <is>
          <t>BERG</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46937-2021</t>
        </is>
      </c>
      <c r="B4205" s="1" t="n">
        <v>44446</v>
      </c>
      <c r="C4205" s="1" t="n">
        <v>45182</v>
      </c>
      <c r="D4205" t="inlineStr">
        <is>
          <t>JÄMTLANDS LÄN</t>
        </is>
      </c>
      <c r="E4205" t="inlineStr">
        <is>
          <t>BERG</t>
        </is>
      </c>
      <c r="G4205" t="n">
        <v>3</v>
      </c>
      <c r="H4205" t="n">
        <v>0</v>
      </c>
      <c r="I4205" t="n">
        <v>0</v>
      </c>
      <c r="J4205" t="n">
        <v>0</v>
      </c>
      <c r="K4205" t="n">
        <v>0</v>
      </c>
      <c r="L4205" t="n">
        <v>0</v>
      </c>
      <c r="M4205" t="n">
        <v>0</v>
      </c>
      <c r="N4205" t="n">
        <v>0</v>
      </c>
      <c r="O4205" t="n">
        <v>0</v>
      </c>
      <c r="P4205" t="n">
        <v>0</v>
      </c>
      <c r="Q4205" t="n">
        <v>0</v>
      </c>
      <c r="R4205" s="2" t="inlineStr"/>
    </row>
    <row r="4206" ht="15" customHeight="1">
      <c r="A4206" t="inlineStr">
        <is>
          <t>A 46952-2021</t>
        </is>
      </c>
      <c r="B4206" s="1" t="n">
        <v>44446</v>
      </c>
      <c r="C4206" s="1" t="n">
        <v>45182</v>
      </c>
      <c r="D4206" t="inlineStr">
        <is>
          <t>JÄMTLANDS LÄN</t>
        </is>
      </c>
      <c r="E4206" t="inlineStr">
        <is>
          <t>BRÄCKE</t>
        </is>
      </c>
      <c r="G4206" t="n">
        <v>2.1</v>
      </c>
      <c r="H4206" t="n">
        <v>0</v>
      </c>
      <c r="I4206" t="n">
        <v>0</v>
      </c>
      <c r="J4206" t="n">
        <v>0</v>
      </c>
      <c r="K4206" t="n">
        <v>0</v>
      </c>
      <c r="L4206" t="n">
        <v>0</v>
      </c>
      <c r="M4206" t="n">
        <v>0</v>
      </c>
      <c r="N4206" t="n">
        <v>0</v>
      </c>
      <c r="O4206" t="n">
        <v>0</v>
      </c>
      <c r="P4206" t="n">
        <v>0</v>
      </c>
      <c r="Q4206" t="n">
        <v>0</v>
      </c>
      <c r="R4206" s="2" t="inlineStr"/>
    </row>
    <row r="4207" ht="15" customHeight="1">
      <c r="A4207" t="inlineStr">
        <is>
          <t>A 46969-2021</t>
        </is>
      </c>
      <c r="B4207" s="1" t="n">
        <v>44446</v>
      </c>
      <c r="C4207" s="1" t="n">
        <v>45182</v>
      </c>
      <c r="D4207" t="inlineStr">
        <is>
          <t>JÄMTLANDS LÄN</t>
        </is>
      </c>
      <c r="E4207" t="inlineStr">
        <is>
          <t>STRÖMSUND</t>
        </is>
      </c>
      <c r="G4207" t="n">
        <v>7.4</v>
      </c>
      <c r="H4207" t="n">
        <v>0</v>
      </c>
      <c r="I4207" t="n">
        <v>0</v>
      </c>
      <c r="J4207" t="n">
        <v>0</v>
      </c>
      <c r="K4207" t="n">
        <v>0</v>
      </c>
      <c r="L4207" t="n">
        <v>0</v>
      </c>
      <c r="M4207" t="n">
        <v>0</v>
      </c>
      <c r="N4207" t="n">
        <v>0</v>
      </c>
      <c r="O4207" t="n">
        <v>0</v>
      </c>
      <c r="P4207" t="n">
        <v>0</v>
      </c>
      <c r="Q4207" t="n">
        <v>0</v>
      </c>
      <c r="R4207" s="2" t="inlineStr"/>
    </row>
    <row r="4208" ht="15" customHeight="1">
      <c r="A4208" t="inlineStr">
        <is>
          <t>A 47261-2021</t>
        </is>
      </c>
      <c r="B4208" s="1" t="n">
        <v>44447</v>
      </c>
      <c r="C4208" s="1" t="n">
        <v>45182</v>
      </c>
      <c r="D4208" t="inlineStr">
        <is>
          <t>JÄMTLANDS LÄN</t>
        </is>
      </c>
      <c r="E4208" t="inlineStr">
        <is>
          <t>STRÖMSUND</t>
        </is>
      </c>
      <c r="G4208" t="n">
        <v>2.2</v>
      </c>
      <c r="H4208" t="n">
        <v>0</v>
      </c>
      <c r="I4208" t="n">
        <v>0</v>
      </c>
      <c r="J4208" t="n">
        <v>0</v>
      </c>
      <c r="K4208" t="n">
        <v>0</v>
      </c>
      <c r="L4208" t="n">
        <v>0</v>
      </c>
      <c r="M4208" t="n">
        <v>0</v>
      </c>
      <c r="N4208" t="n">
        <v>0</v>
      </c>
      <c r="O4208" t="n">
        <v>0</v>
      </c>
      <c r="P4208" t="n">
        <v>0</v>
      </c>
      <c r="Q4208" t="n">
        <v>0</v>
      </c>
      <c r="R4208" s="2" t="inlineStr"/>
    </row>
    <row r="4209" ht="15" customHeight="1">
      <c r="A4209" t="inlineStr">
        <is>
          <t>A 47289-2021</t>
        </is>
      </c>
      <c r="B4209" s="1" t="n">
        <v>44447</v>
      </c>
      <c r="C4209" s="1" t="n">
        <v>45182</v>
      </c>
      <c r="D4209" t="inlineStr">
        <is>
          <t>JÄMTLANDS LÄN</t>
        </is>
      </c>
      <c r="E4209" t="inlineStr">
        <is>
          <t>HÄRJEDALEN</t>
        </is>
      </c>
      <c r="F4209" t="inlineStr">
        <is>
          <t>Holmen skog AB</t>
        </is>
      </c>
      <c r="G4209" t="n">
        <v>31.7</v>
      </c>
      <c r="H4209" t="n">
        <v>0</v>
      </c>
      <c r="I4209" t="n">
        <v>0</v>
      </c>
      <c r="J4209" t="n">
        <v>0</v>
      </c>
      <c r="K4209" t="n">
        <v>0</v>
      </c>
      <c r="L4209" t="n">
        <v>0</v>
      </c>
      <c r="M4209" t="n">
        <v>0</v>
      </c>
      <c r="N4209" t="n">
        <v>0</v>
      </c>
      <c r="O4209" t="n">
        <v>0</v>
      </c>
      <c r="P4209" t="n">
        <v>0</v>
      </c>
      <c r="Q4209" t="n">
        <v>0</v>
      </c>
      <c r="R4209" s="2" t="inlineStr"/>
    </row>
    <row r="4210" ht="15" customHeight="1">
      <c r="A4210" t="inlineStr">
        <is>
          <t>A 47607-2021</t>
        </is>
      </c>
      <c r="B4210" s="1" t="n">
        <v>44447</v>
      </c>
      <c r="C4210" s="1" t="n">
        <v>45182</v>
      </c>
      <c r="D4210" t="inlineStr">
        <is>
          <t>JÄMTLANDS LÄN</t>
        </is>
      </c>
      <c r="E4210" t="inlineStr">
        <is>
          <t>STRÖMSUND</t>
        </is>
      </c>
      <c r="G4210" t="n">
        <v>2.8</v>
      </c>
      <c r="H4210" t="n">
        <v>0</v>
      </c>
      <c r="I4210" t="n">
        <v>0</v>
      </c>
      <c r="J4210" t="n">
        <v>0</v>
      </c>
      <c r="K4210" t="n">
        <v>0</v>
      </c>
      <c r="L4210" t="n">
        <v>0</v>
      </c>
      <c r="M4210" t="n">
        <v>0</v>
      </c>
      <c r="N4210" t="n">
        <v>0</v>
      </c>
      <c r="O4210" t="n">
        <v>0</v>
      </c>
      <c r="P4210" t="n">
        <v>0</v>
      </c>
      <c r="Q4210" t="n">
        <v>0</v>
      </c>
      <c r="R4210" s="2" t="inlineStr"/>
    </row>
    <row r="4211" ht="15" customHeight="1">
      <c r="A4211" t="inlineStr">
        <is>
          <t>A 47559-2021</t>
        </is>
      </c>
      <c r="B4211" s="1" t="n">
        <v>44447</v>
      </c>
      <c r="C4211" s="1" t="n">
        <v>45182</v>
      </c>
      <c r="D4211" t="inlineStr">
        <is>
          <t>JÄMTLANDS LÄN</t>
        </is>
      </c>
      <c r="E4211" t="inlineStr">
        <is>
          <t>BRÄCKE</t>
        </is>
      </c>
      <c r="F4211" t="inlineStr">
        <is>
          <t>SCA</t>
        </is>
      </c>
      <c r="G4211" t="n">
        <v>0.9</v>
      </c>
      <c r="H4211" t="n">
        <v>0</v>
      </c>
      <c r="I4211" t="n">
        <v>0</v>
      </c>
      <c r="J4211" t="n">
        <v>0</v>
      </c>
      <c r="K4211" t="n">
        <v>0</v>
      </c>
      <c r="L4211" t="n">
        <v>0</v>
      </c>
      <c r="M4211" t="n">
        <v>0</v>
      </c>
      <c r="N4211" t="n">
        <v>0</v>
      </c>
      <c r="O4211" t="n">
        <v>0</v>
      </c>
      <c r="P4211" t="n">
        <v>0</v>
      </c>
      <c r="Q4211" t="n">
        <v>0</v>
      </c>
      <c r="R4211" s="2" t="inlineStr"/>
    </row>
    <row r="4212" ht="15" customHeight="1">
      <c r="A4212" t="inlineStr">
        <is>
          <t>A 44374-2021</t>
        </is>
      </c>
      <c r="B4212" s="1" t="n">
        <v>44447</v>
      </c>
      <c r="C4212" s="1" t="n">
        <v>45182</v>
      </c>
      <c r="D4212" t="inlineStr">
        <is>
          <t>JÄMTLANDS LÄN</t>
        </is>
      </c>
      <c r="E4212" t="inlineStr">
        <is>
          <t>KROKOM</t>
        </is>
      </c>
      <c r="G4212" t="n">
        <v>7.8</v>
      </c>
      <c r="H4212" t="n">
        <v>0</v>
      </c>
      <c r="I4212" t="n">
        <v>0</v>
      </c>
      <c r="J4212" t="n">
        <v>0</v>
      </c>
      <c r="K4212" t="n">
        <v>0</v>
      </c>
      <c r="L4212" t="n">
        <v>0</v>
      </c>
      <c r="M4212" t="n">
        <v>0</v>
      </c>
      <c r="N4212" t="n">
        <v>0</v>
      </c>
      <c r="O4212" t="n">
        <v>0</v>
      </c>
      <c r="P4212" t="n">
        <v>0</v>
      </c>
      <c r="Q4212" t="n">
        <v>0</v>
      </c>
      <c r="R4212" s="2" t="inlineStr"/>
    </row>
    <row r="4213" ht="15" customHeight="1">
      <c r="A4213" t="inlineStr">
        <is>
          <t>A 47693-2021</t>
        </is>
      </c>
      <c r="B4213" s="1" t="n">
        <v>44448</v>
      </c>
      <c r="C4213" s="1" t="n">
        <v>45182</v>
      </c>
      <c r="D4213" t="inlineStr">
        <is>
          <t>JÄMTLANDS LÄN</t>
        </is>
      </c>
      <c r="E4213" t="inlineStr">
        <is>
          <t>ÖSTERSUND</t>
        </is>
      </c>
      <c r="G4213" t="n">
        <v>5.6</v>
      </c>
      <c r="H4213" t="n">
        <v>0</v>
      </c>
      <c r="I4213" t="n">
        <v>0</v>
      </c>
      <c r="J4213" t="n">
        <v>0</v>
      </c>
      <c r="K4213" t="n">
        <v>0</v>
      </c>
      <c r="L4213" t="n">
        <v>0</v>
      </c>
      <c r="M4213" t="n">
        <v>0</v>
      </c>
      <c r="N4213" t="n">
        <v>0</v>
      </c>
      <c r="O4213" t="n">
        <v>0</v>
      </c>
      <c r="P4213" t="n">
        <v>0</v>
      </c>
      <c r="Q4213" t="n">
        <v>0</v>
      </c>
      <c r="R4213" s="2" t="inlineStr"/>
    </row>
    <row r="4214" ht="15" customHeight="1">
      <c r="A4214" t="inlineStr">
        <is>
          <t>A 47936-2021</t>
        </is>
      </c>
      <c r="B4214" s="1" t="n">
        <v>44448</v>
      </c>
      <c r="C4214" s="1" t="n">
        <v>45182</v>
      </c>
      <c r="D4214" t="inlineStr">
        <is>
          <t>JÄMTLANDS LÄN</t>
        </is>
      </c>
      <c r="E4214" t="inlineStr">
        <is>
          <t>STRÖMSUND</t>
        </is>
      </c>
      <c r="F4214" t="inlineStr">
        <is>
          <t>SCA</t>
        </is>
      </c>
      <c r="G4214" t="n">
        <v>1.6</v>
      </c>
      <c r="H4214" t="n">
        <v>0</v>
      </c>
      <c r="I4214" t="n">
        <v>0</v>
      </c>
      <c r="J4214" t="n">
        <v>0</v>
      </c>
      <c r="K4214" t="n">
        <v>0</v>
      </c>
      <c r="L4214" t="n">
        <v>0</v>
      </c>
      <c r="M4214" t="n">
        <v>0</v>
      </c>
      <c r="N4214" t="n">
        <v>0</v>
      </c>
      <c r="O4214" t="n">
        <v>0</v>
      </c>
      <c r="P4214" t="n">
        <v>0</v>
      </c>
      <c r="Q4214" t="n">
        <v>0</v>
      </c>
      <c r="R4214" s="2" t="inlineStr"/>
    </row>
    <row r="4215" ht="15" customHeight="1">
      <c r="A4215" t="inlineStr">
        <is>
          <t>A 47996-2021</t>
        </is>
      </c>
      <c r="B4215" s="1" t="n">
        <v>44448</v>
      </c>
      <c r="C4215" s="1" t="n">
        <v>45182</v>
      </c>
      <c r="D4215" t="inlineStr">
        <is>
          <t>JÄMTLANDS LÄN</t>
        </is>
      </c>
      <c r="E4215" t="inlineStr">
        <is>
          <t>RAGUNDA</t>
        </is>
      </c>
      <c r="G4215" t="n">
        <v>1.3</v>
      </c>
      <c r="H4215" t="n">
        <v>0</v>
      </c>
      <c r="I4215" t="n">
        <v>0</v>
      </c>
      <c r="J4215" t="n">
        <v>0</v>
      </c>
      <c r="K4215" t="n">
        <v>0</v>
      </c>
      <c r="L4215" t="n">
        <v>0</v>
      </c>
      <c r="M4215" t="n">
        <v>0</v>
      </c>
      <c r="N4215" t="n">
        <v>0</v>
      </c>
      <c r="O4215" t="n">
        <v>0</v>
      </c>
      <c r="P4215" t="n">
        <v>0</v>
      </c>
      <c r="Q4215" t="n">
        <v>0</v>
      </c>
      <c r="R4215" s="2" t="inlineStr"/>
    </row>
    <row r="4216" ht="15" customHeight="1">
      <c r="A4216" t="inlineStr">
        <is>
          <t>A 47847-2021</t>
        </is>
      </c>
      <c r="B4216" s="1" t="n">
        <v>44448</v>
      </c>
      <c r="C4216" s="1" t="n">
        <v>45182</v>
      </c>
      <c r="D4216" t="inlineStr">
        <is>
          <t>JÄMTLANDS LÄN</t>
        </is>
      </c>
      <c r="E4216" t="inlineStr">
        <is>
          <t>STRÖMSUND</t>
        </is>
      </c>
      <c r="F4216" t="inlineStr">
        <is>
          <t>Holmen skog AB</t>
        </is>
      </c>
      <c r="G4216" t="n">
        <v>3.5</v>
      </c>
      <c r="H4216" t="n">
        <v>0</v>
      </c>
      <c r="I4216" t="n">
        <v>0</v>
      </c>
      <c r="J4216" t="n">
        <v>0</v>
      </c>
      <c r="K4216" t="n">
        <v>0</v>
      </c>
      <c r="L4216" t="n">
        <v>0</v>
      </c>
      <c r="M4216" t="n">
        <v>0</v>
      </c>
      <c r="N4216" t="n">
        <v>0</v>
      </c>
      <c r="O4216" t="n">
        <v>0</v>
      </c>
      <c r="P4216" t="n">
        <v>0</v>
      </c>
      <c r="Q4216" t="n">
        <v>0</v>
      </c>
      <c r="R4216" s="2" t="inlineStr"/>
    </row>
    <row r="4217" ht="15" customHeight="1">
      <c r="A4217" t="inlineStr">
        <is>
          <t>A 47943-2021</t>
        </is>
      </c>
      <c r="B4217" s="1" t="n">
        <v>44448</v>
      </c>
      <c r="C4217" s="1" t="n">
        <v>45182</v>
      </c>
      <c r="D4217" t="inlineStr">
        <is>
          <t>JÄMTLANDS LÄN</t>
        </is>
      </c>
      <c r="E4217" t="inlineStr">
        <is>
          <t>STRÖMSUND</t>
        </is>
      </c>
      <c r="F4217" t="inlineStr">
        <is>
          <t>SCA</t>
        </is>
      </c>
      <c r="G4217" t="n">
        <v>4.4</v>
      </c>
      <c r="H4217" t="n">
        <v>0</v>
      </c>
      <c r="I4217" t="n">
        <v>0</v>
      </c>
      <c r="J4217" t="n">
        <v>0</v>
      </c>
      <c r="K4217" t="n">
        <v>0</v>
      </c>
      <c r="L4217" t="n">
        <v>0</v>
      </c>
      <c r="M4217" t="n">
        <v>0</v>
      </c>
      <c r="N4217" t="n">
        <v>0</v>
      </c>
      <c r="O4217" t="n">
        <v>0</v>
      </c>
      <c r="P4217" t="n">
        <v>0</v>
      </c>
      <c r="Q4217" t="n">
        <v>0</v>
      </c>
      <c r="R4217" s="2" t="inlineStr"/>
    </row>
    <row r="4218" ht="15" customHeight="1">
      <c r="A4218" t="inlineStr">
        <is>
          <t>A 47934-2021</t>
        </is>
      </c>
      <c r="B4218" s="1" t="n">
        <v>44448</v>
      </c>
      <c r="C4218" s="1" t="n">
        <v>45182</v>
      </c>
      <c r="D4218" t="inlineStr">
        <is>
          <t>JÄMTLANDS LÄN</t>
        </is>
      </c>
      <c r="E4218" t="inlineStr">
        <is>
          <t>STRÖMSUND</t>
        </is>
      </c>
      <c r="F4218" t="inlineStr">
        <is>
          <t>SCA</t>
        </is>
      </c>
      <c r="G4218" t="n">
        <v>6.4</v>
      </c>
      <c r="H4218" t="n">
        <v>0</v>
      </c>
      <c r="I4218" t="n">
        <v>0</v>
      </c>
      <c r="J4218" t="n">
        <v>0</v>
      </c>
      <c r="K4218" t="n">
        <v>0</v>
      </c>
      <c r="L4218" t="n">
        <v>0</v>
      </c>
      <c r="M4218" t="n">
        <v>0</v>
      </c>
      <c r="N4218" t="n">
        <v>0</v>
      </c>
      <c r="O4218" t="n">
        <v>0</v>
      </c>
      <c r="P4218" t="n">
        <v>0</v>
      </c>
      <c r="Q4218" t="n">
        <v>0</v>
      </c>
      <c r="R4218" s="2" t="inlineStr"/>
    </row>
    <row r="4219" ht="15" customHeight="1">
      <c r="A4219" t="inlineStr">
        <is>
          <t>A 47983-2021</t>
        </is>
      </c>
      <c r="B4219" s="1" t="n">
        <v>44448</v>
      </c>
      <c r="C4219" s="1" t="n">
        <v>45182</v>
      </c>
      <c r="D4219" t="inlineStr">
        <is>
          <t>JÄMTLANDS LÄN</t>
        </is>
      </c>
      <c r="E4219" t="inlineStr">
        <is>
          <t>BRÄCKE</t>
        </is>
      </c>
      <c r="G4219" t="n">
        <v>1</v>
      </c>
      <c r="H4219" t="n">
        <v>0</v>
      </c>
      <c r="I4219" t="n">
        <v>0</v>
      </c>
      <c r="J4219" t="n">
        <v>0</v>
      </c>
      <c r="K4219" t="n">
        <v>0</v>
      </c>
      <c r="L4219" t="n">
        <v>0</v>
      </c>
      <c r="M4219" t="n">
        <v>0</v>
      </c>
      <c r="N4219" t="n">
        <v>0</v>
      </c>
      <c r="O4219" t="n">
        <v>0</v>
      </c>
      <c r="P4219" t="n">
        <v>0</v>
      </c>
      <c r="Q4219" t="n">
        <v>0</v>
      </c>
      <c r="R4219" s="2" t="inlineStr"/>
    </row>
    <row r="4220" ht="15" customHeight="1">
      <c r="A4220" t="inlineStr">
        <is>
          <t>A 48132-2021</t>
        </is>
      </c>
      <c r="B4220" s="1" t="n">
        <v>44449</v>
      </c>
      <c r="C4220" s="1" t="n">
        <v>45182</v>
      </c>
      <c r="D4220" t="inlineStr">
        <is>
          <t>JÄMTLANDS LÄN</t>
        </is>
      </c>
      <c r="E4220" t="inlineStr">
        <is>
          <t>HÄRJEDALEN</t>
        </is>
      </c>
      <c r="F4220" t="inlineStr">
        <is>
          <t>Holmen skog AB</t>
        </is>
      </c>
      <c r="G4220" t="n">
        <v>3.8</v>
      </c>
      <c r="H4220" t="n">
        <v>0</v>
      </c>
      <c r="I4220" t="n">
        <v>0</v>
      </c>
      <c r="J4220" t="n">
        <v>0</v>
      </c>
      <c r="K4220" t="n">
        <v>0</v>
      </c>
      <c r="L4220" t="n">
        <v>0</v>
      </c>
      <c r="M4220" t="n">
        <v>0</v>
      </c>
      <c r="N4220" t="n">
        <v>0</v>
      </c>
      <c r="O4220" t="n">
        <v>0</v>
      </c>
      <c r="P4220" t="n">
        <v>0</v>
      </c>
      <c r="Q4220" t="n">
        <v>0</v>
      </c>
      <c r="R4220" s="2" t="inlineStr"/>
    </row>
    <row r="4221" ht="15" customHeight="1">
      <c r="A4221" t="inlineStr">
        <is>
          <t>A 48440-2021</t>
        </is>
      </c>
      <c r="B4221" s="1" t="n">
        <v>44449</v>
      </c>
      <c r="C4221" s="1" t="n">
        <v>45182</v>
      </c>
      <c r="D4221" t="inlineStr">
        <is>
          <t>JÄMTLANDS LÄN</t>
        </is>
      </c>
      <c r="E4221" t="inlineStr">
        <is>
          <t>KROKOM</t>
        </is>
      </c>
      <c r="G4221" t="n">
        <v>8.6</v>
      </c>
      <c r="H4221" t="n">
        <v>0</v>
      </c>
      <c r="I4221" t="n">
        <v>0</v>
      </c>
      <c r="J4221" t="n">
        <v>0</v>
      </c>
      <c r="K4221" t="n">
        <v>0</v>
      </c>
      <c r="L4221" t="n">
        <v>0</v>
      </c>
      <c r="M4221" t="n">
        <v>0</v>
      </c>
      <c r="N4221" t="n">
        <v>0</v>
      </c>
      <c r="O4221" t="n">
        <v>0</v>
      </c>
      <c r="P4221" t="n">
        <v>0</v>
      </c>
      <c r="Q4221" t="n">
        <v>0</v>
      </c>
      <c r="R4221" s="2" t="inlineStr"/>
    </row>
    <row r="4222" ht="15" customHeight="1">
      <c r="A4222" t="inlineStr">
        <is>
          <t>A 48065-2021</t>
        </is>
      </c>
      <c r="B4222" s="1" t="n">
        <v>44449</v>
      </c>
      <c r="C4222" s="1" t="n">
        <v>45182</v>
      </c>
      <c r="D4222" t="inlineStr">
        <is>
          <t>JÄMTLANDS LÄN</t>
        </is>
      </c>
      <c r="E4222" t="inlineStr">
        <is>
          <t>HÄRJEDALEN</t>
        </is>
      </c>
      <c r="G4222" t="n">
        <v>24.8</v>
      </c>
      <c r="H4222" t="n">
        <v>0</v>
      </c>
      <c r="I4222" t="n">
        <v>0</v>
      </c>
      <c r="J4222" t="n">
        <v>0</v>
      </c>
      <c r="K4222" t="n">
        <v>0</v>
      </c>
      <c r="L4222" t="n">
        <v>0</v>
      </c>
      <c r="M4222" t="n">
        <v>0</v>
      </c>
      <c r="N4222" t="n">
        <v>0</v>
      </c>
      <c r="O4222" t="n">
        <v>0</v>
      </c>
      <c r="P4222" t="n">
        <v>0</v>
      </c>
      <c r="Q4222" t="n">
        <v>0</v>
      </c>
      <c r="R4222" s="2" t="inlineStr"/>
    </row>
    <row r="4223" ht="15" customHeight="1">
      <c r="A4223" t="inlineStr">
        <is>
          <t>A 48079-2021</t>
        </is>
      </c>
      <c r="B4223" s="1" t="n">
        <v>44449</v>
      </c>
      <c r="C4223" s="1" t="n">
        <v>45182</v>
      </c>
      <c r="D4223" t="inlineStr">
        <is>
          <t>JÄMTLANDS LÄN</t>
        </is>
      </c>
      <c r="E4223" t="inlineStr">
        <is>
          <t>HÄRJEDALEN</t>
        </is>
      </c>
      <c r="G4223" t="n">
        <v>12.5</v>
      </c>
      <c r="H4223" t="n">
        <v>0</v>
      </c>
      <c r="I4223" t="n">
        <v>0</v>
      </c>
      <c r="J4223" t="n">
        <v>0</v>
      </c>
      <c r="K4223" t="n">
        <v>0</v>
      </c>
      <c r="L4223" t="n">
        <v>0</v>
      </c>
      <c r="M4223" t="n">
        <v>0</v>
      </c>
      <c r="N4223" t="n">
        <v>0</v>
      </c>
      <c r="O4223" t="n">
        <v>0</v>
      </c>
      <c r="P4223" t="n">
        <v>0</v>
      </c>
      <c r="Q4223" t="n">
        <v>0</v>
      </c>
      <c r="R4223" s="2" t="inlineStr"/>
    </row>
    <row r="4224" ht="15" customHeight="1">
      <c r="A4224" t="inlineStr">
        <is>
          <t>A 48508-2021</t>
        </is>
      </c>
      <c r="B4224" s="1" t="n">
        <v>44451</v>
      </c>
      <c r="C4224" s="1" t="n">
        <v>45182</v>
      </c>
      <c r="D4224" t="inlineStr">
        <is>
          <t>JÄMTLANDS LÄN</t>
        </is>
      </c>
      <c r="E4224" t="inlineStr">
        <is>
          <t>STRÖMSUND</t>
        </is>
      </c>
      <c r="G4224" t="n">
        <v>11.1</v>
      </c>
      <c r="H4224" t="n">
        <v>0</v>
      </c>
      <c r="I4224" t="n">
        <v>0</v>
      </c>
      <c r="J4224" t="n">
        <v>0</v>
      </c>
      <c r="K4224" t="n">
        <v>0</v>
      </c>
      <c r="L4224" t="n">
        <v>0</v>
      </c>
      <c r="M4224" t="n">
        <v>0</v>
      </c>
      <c r="N4224" t="n">
        <v>0</v>
      </c>
      <c r="O4224" t="n">
        <v>0</v>
      </c>
      <c r="P4224" t="n">
        <v>0</v>
      </c>
      <c r="Q4224" t="n">
        <v>0</v>
      </c>
      <c r="R4224" s="2" t="inlineStr"/>
    </row>
    <row r="4225" ht="15" customHeight="1">
      <c r="A4225" t="inlineStr">
        <is>
          <t>A 48586-2021</t>
        </is>
      </c>
      <c r="B4225" s="1" t="n">
        <v>44452</v>
      </c>
      <c r="C4225" s="1" t="n">
        <v>45182</v>
      </c>
      <c r="D4225" t="inlineStr">
        <is>
          <t>JÄMTLANDS LÄN</t>
        </is>
      </c>
      <c r="E4225" t="inlineStr">
        <is>
          <t>HÄRJEDALEN</t>
        </is>
      </c>
      <c r="F4225" t="inlineStr">
        <is>
          <t>Holmen skog AB</t>
        </is>
      </c>
      <c r="G4225" t="n">
        <v>5.2</v>
      </c>
      <c r="H4225" t="n">
        <v>0</v>
      </c>
      <c r="I4225" t="n">
        <v>0</v>
      </c>
      <c r="J4225" t="n">
        <v>0</v>
      </c>
      <c r="K4225" t="n">
        <v>0</v>
      </c>
      <c r="L4225" t="n">
        <v>0</v>
      </c>
      <c r="M4225" t="n">
        <v>0</v>
      </c>
      <c r="N4225" t="n">
        <v>0</v>
      </c>
      <c r="O4225" t="n">
        <v>0</v>
      </c>
      <c r="P4225" t="n">
        <v>0</v>
      </c>
      <c r="Q4225" t="n">
        <v>0</v>
      </c>
      <c r="R4225" s="2" t="inlineStr"/>
    </row>
    <row r="4226" ht="15" customHeight="1">
      <c r="A4226" t="inlineStr">
        <is>
          <t>A 48681-2021</t>
        </is>
      </c>
      <c r="B4226" s="1" t="n">
        <v>44452</v>
      </c>
      <c r="C4226" s="1" t="n">
        <v>45182</v>
      </c>
      <c r="D4226" t="inlineStr">
        <is>
          <t>JÄMTLANDS LÄN</t>
        </is>
      </c>
      <c r="E4226" t="inlineStr">
        <is>
          <t>HÄRJEDALEN</t>
        </is>
      </c>
      <c r="F4226" t="inlineStr">
        <is>
          <t>Holmen skog AB</t>
        </is>
      </c>
      <c r="G4226" t="n">
        <v>3.7</v>
      </c>
      <c r="H4226" t="n">
        <v>0</v>
      </c>
      <c r="I4226" t="n">
        <v>0</v>
      </c>
      <c r="J4226" t="n">
        <v>0</v>
      </c>
      <c r="K4226" t="n">
        <v>0</v>
      </c>
      <c r="L4226" t="n">
        <v>0</v>
      </c>
      <c r="M4226" t="n">
        <v>0</v>
      </c>
      <c r="N4226" t="n">
        <v>0</v>
      </c>
      <c r="O4226" t="n">
        <v>0</v>
      </c>
      <c r="P4226" t="n">
        <v>0</v>
      </c>
      <c r="Q4226" t="n">
        <v>0</v>
      </c>
      <c r="R4226" s="2" t="inlineStr"/>
    </row>
    <row r="4227" ht="15" customHeight="1">
      <c r="A4227" t="inlineStr">
        <is>
          <t>A 48842-2021</t>
        </is>
      </c>
      <c r="B4227" s="1" t="n">
        <v>44452</v>
      </c>
      <c r="C4227" s="1" t="n">
        <v>45182</v>
      </c>
      <c r="D4227" t="inlineStr">
        <is>
          <t>JÄMTLANDS LÄN</t>
        </is>
      </c>
      <c r="E4227" t="inlineStr">
        <is>
          <t>KROKOM</t>
        </is>
      </c>
      <c r="G4227" t="n">
        <v>3.1</v>
      </c>
      <c r="H4227" t="n">
        <v>0</v>
      </c>
      <c r="I4227" t="n">
        <v>0</v>
      </c>
      <c r="J4227" t="n">
        <v>0</v>
      </c>
      <c r="K4227" t="n">
        <v>0</v>
      </c>
      <c r="L4227" t="n">
        <v>0</v>
      </c>
      <c r="M4227" t="n">
        <v>0</v>
      </c>
      <c r="N4227" t="n">
        <v>0</v>
      </c>
      <c r="O4227" t="n">
        <v>0</v>
      </c>
      <c r="P4227" t="n">
        <v>0</v>
      </c>
      <c r="Q4227" t="n">
        <v>0</v>
      </c>
      <c r="R4227" s="2" t="inlineStr"/>
    </row>
    <row r="4228" ht="15" customHeight="1">
      <c r="A4228" t="inlineStr">
        <is>
          <t>A 48444-2021</t>
        </is>
      </c>
      <c r="B4228" s="1" t="n">
        <v>44452</v>
      </c>
      <c r="C4228" s="1" t="n">
        <v>45182</v>
      </c>
      <c r="D4228" t="inlineStr">
        <is>
          <t>JÄMTLANDS LÄN</t>
        </is>
      </c>
      <c r="E4228" t="inlineStr">
        <is>
          <t>HÄRJEDALEN</t>
        </is>
      </c>
      <c r="F4228" t="inlineStr">
        <is>
          <t>Holmen skog AB</t>
        </is>
      </c>
      <c r="G4228" t="n">
        <v>7.4</v>
      </c>
      <c r="H4228" t="n">
        <v>0</v>
      </c>
      <c r="I4228" t="n">
        <v>0</v>
      </c>
      <c r="J4228" t="n">
        <v>0</v>
      </c>
      <c r="K4228" t="n">
        <v>0</v>
      </c>
      <c r="L4228" t="n">
        <v>0</v>
      </c>
      <c r="M4228" t="n">
        <v>0</v>
      </c>
      <c r="N4228" t="n">
        <v>0</v>
      </c>
      <c r="O4228" t="n">
        <v>0</v>
      </c>
      <c r="P4228" t="n">
        <v>0</v>
      </c>
      <c r="Q4228" t="n">
        <v>0</v>
      </c>
      <c r="R4228" s="2" t="inlineStr"/>
    </row>
    <row r="4229" ht="15" customHeight="1">
      <c r="A4229" t="inlineStr">
        <is>
          <t>A 48769-2021</t>
        </is>
      </c>
      <c r="B4229" s="1" t="n">
        <v>44452</v>
      </c>
      <c r="C4229" s="1" t="n">
        <v>45182</v>
      </c>
      <c r="D4229" t="inlineStr">
        <is>
          <t>JÄMTLANDS LÄN</t>
        </is>
      </c>
      <c r="E4229" t="inlineStr">
        <is>
          <t>HÄRJEDALEN</t>
        </is>
      </c>
      <c r="F4229" t="inlineStr">
        <is>
          <t>Holmen skog AB</t>
        </is>
      </c>
      <c r="G4229" t="n">
        <v>2.3</v>
      </c>
      <c r="H4229" t="n">
        <v>0</v>
      </c>
      <c r="I4229" t="n">
        <v>0</v>
      </c>
      <c r="J4229" t="n">
        <v>0</v>
      </c>
      <c r="K4229" t="n">
        <v>0</v>
      </c>
      <c r="L4229" t="n">
        <v>0</v>
      </c>
      <c r="M4229" t="n">
        <v>0</v>
      </c>
      <c r="N4229" t="n">
        <v>0</v>
      </c>
      <c r="O4229" t="n">
        <v>0</v>
      </c>
      <c r="P4229" t="n">
        <v>0</v>
      </c>
      <c r="Q4229" t="n">
        <v>0</v>
      </c>
      <c r="R4229" s="2" t="inlineStr"/>
    </row>
    <row r="4230" ht="15" customHeight="1">
      <c r="A4230" t="inlineStr">
        <is>
          <t>A 48832-2021</t>
        </is>
      </c>
      <c r="B4230" s="1" t="n">
        <v>44452</v>
      </c>
      <c r="C4230" s="1" t="n">
        <v>45182</v>
      </c>
      <c r="D4230" t="inlineStr">
        <is>
          <t>JÄMTLANDS LÄN</t>
        </is>
      </c>
      <c r="E4230" t="inlineStr">
        <is>
          <t>RAGUNDA</t>
        </is>
      </c>
      <c r="G4230" t="n">
        <v>1.7</v>
      </c>
      <c r="H4230" t="n">
        <v>0</v>
      </c>
      <c r="I4230" t="n">
        <v>0</v>
      </c>
      <c r="J4230" t="n">
        <v>0</v>
      </c>
      <c r="K4230" t="n">
        <v>0</v>
      </c>
      <c r="L4230" t="n">
        <v>0</v>
      </c>
      <c r="M4230" t="n">
        <v>0</v>
      </c>
      <c r="N4230" t="n">
        <v>0</v>
      </c>
      <c r="O4230" t="n">
        <v>0</v>
      </c>
      <c r="P4230" t="n">
        <v>0</v>
      </c>
      <c r="Q4230" t="n">
        <v>0</v>
      </c>
      <c r="R4230" s="2" t="inlineStr"/>
    </row>
    <row r="4231" ht="15" customHeight="1">
      <c r="A4231" t="inlineStr">
        <is>
          <t>A 49202-2021</t>
        </is>
      </c>
      <c r="B4231" s="1" t="n">
        <v>44453</v>
      </c>
      <c r="C4231" s="1" t="n">
        <v>45182</v>
      </c>
      <c r="D4231" t="inlineStr">
        <is>
          <t>JÄMTLANDS LÄN</t>
        </is>
      </c>
      <c r="E4231" t="inlineStr">
        <is>
          <t>RAGUNDA</t>
        </is>
      </c>
      <c r="G4231" t="n">
        <v>23.4</v>
      </c>
      <c r="H4231" t="n">
        <v>0</v>
      </c>
      <c r="I4231" t="n">
        <v>0</v>
      </c>
      <c r="J4231" t="n">
        <v>0</v>
      </c>
      <c r="K4231" t="n">
        <v>0</v>
      </c>
      <c r="L4231" t="n">
        <v>0</v>
      </c>
      <c r="M4231" t="n">
        <v>0</v>
      </c>
      <c r="N4231" t="n">
        <v>0</v>
      </c>
      <c r="O4231" t="n">
        <v>0</v>
      </c>
      <c r="P4231" t="n">
        <v>0</v>
      </c>
      <c r="Q4231" t="n">
        <v>0</v>
      </c>
      <c r="R4231" s="2" t="inlineStr"/>
    </row>
    <row r="4232" ht="15" customHeight="1">
      <c r="A4232" t="inlineStr">
        <is>
          <t>A 48947-2021</t>
        </is>
      </c>
      <c r="B4232" s="1" t="n">
        <v>44453</v>
      </c>
      <c r="C4232" s="1" t="n">
        <v>45182</v>
      </c>
      <c r="D4232" t="inlineStr">
        <is>
          <t>JÄMTLANDS LÄN</t>
        </is>
      </c>
      <c r="E4232" t="inlineStr">
        <is>
          <t>ÖSTERSUND</t>
        </is>
      </c>
      <c r="G4232" t="n">
        <v>22.3</v>
      </c>
      <c r="H4232" t="n">
        <v>0</v>
      </c>
      <c r="I4232" t="n">
        <v>0</v>
      </c>
      <c r="J4232" t="n">
        <v>0</v>
      </c>
      <c r="K4232" t="n">
        <v>0</v>
      </c>
      <c r="L4232" t="n">
        <v>0</v>
      </c>
      <c r="M4232" t="n">
        <v>0</v>
      </c>
      <c r="N4232" t="n">
        <v>0</v>
      </c>
      <c r="O4232" t="n">
        <v>0</v>
      </c>
      <c r="P4232" t="n">
        <v>0</v>
      </c>
      <c r="Q4232" t="n">
        <v>0</v>
      </c>
      <c r="R4232" s="2" t="inlineStr"/>
    </row>
    <row r="4233" ht="15" customHeight="1">
      <c r="A4233" t="inlineStr">
        <is>
          <t>A 49208-2021</t>
        </is>
      </c>
      <c r="B4233" s="1" t="n">
        <v>44454</v>
      </c>
      <c r="C4233" s="1" t="n">
        <v>45182</v>
      </c>
      <c r="D4233" t="inlineStr">
        <is>
          <t>JÄMTLANDS LÄN</t>
        </is>
      </c>
      <c r="E4233" t="inlineStr">
        <is>
          <t>STRÖMSUND</t>
        </is>
      </c>
      <c r="F4233" t="inlineStr">
        <is>
          <t>Sveaskog</t>
        </is>
      </c>
      <c r="G4233" t="n">
        <v>1.8</v>
      </c>
      <c r="H4233" t="n">
        <v>0</v>
      </c>
      <c r="I4233" t="n">
        <v>0</v>
      </c>
      <c r="J4233" t="n">
        <v>0</v>
      </c>
      <c r="K4233" t="n">
        <v>0</v>
      </c>
      <c r="L4233" t="n">
        <v>0</v>
      </c>
      <c r="M4233" t="n">
        <v>0</v>
      </c>
      <c r="N4233" t="n">
        <v>0</v>
      </c>
      <c r="O4233" t="n">
        <v>0</v>
      </c>
      <c r="P4233" t="n">
        <v>0</v>
      </c>
      <c r="Q4233" t="n">
        <v>0</v>
      </c>
      <c r="R4233" s="2" t="inlineStr"/>
    </row>
    <row r="4234" ht="15" customHeight="1">
      <c r="A4234" t="inlineStr">
        <is>
          <t>A 49204-2021</t>
        </is>
      </c>
      <c r="B4234" s="1" t="n">
        <v>44454</v>
      </c>
      <c r="C4234" s="1" t="n">
        <v>45182</v>
      </c>
      <c r="D4234" t="inlineStr">
        <is>
          <t>JÄMTLANDS LÄN</t>
        </is>
      </c>
      <c r="E4234" t="inlineStr">
        <is>
          <t>STRÖMSUND</t>
        </is>
      </c>
      <c r="F4234" t="inlineStr">
        <is>
          <t>Sveaskog</t>
        </is>
      </c>
      <c r="G4234" t="n">
        <v>3.3</v>
      </c>
      <c r="H4234" t="n">
        <v>0</v>
      </c>
      <c r="I4234" t="n">
        <v>0</v>
      </c>
      <c r="J4234" t="n">
        <v>0</v>
      </c>
      <c r="K4234" t="n">
        <v>0</v>
      </c>
      <c r="L4234" t="n">
        <v>0</v>
      </c>
      <c r="M4234" t="n">
        <v>0</v>
      </c>
      <c r="N4234" t="n">
        <v>0</v>
      </c>
      <c r="O4234" t="n">
        <v>0</v>
      </c>
      <c r="P4234" t="n">
        <v>0</v>
      </c>
      <c r="Q4234" t="n">
        <v>0</v>
      </c>
      <c r="R4234" s="2" t="inlineStr"/>
    </row>
    <row r="4235" ht="15" customHeight="1">
      <c r="A4235" t="inlineStr">
        <is>
          <t>A 49212-2021</t>
        </is>
      </c>
      <c r="B4235" s="1" t="n">
        <v>44454</v>
      </c>
      <c r="C4235" s="1" t="n">
        <v>45182</v>
      </c>
      <c r="D4235" t="inlineStr">
        <is>
          <t>JÄMTLANDS LÄN</t>
        </is>
      </c>
      <c r="E4235" t="inlineStr">
        <is>
          <t>STRÖMSUND</t>
        </is>
      </c>
      <c r="F4235" t="inlineStr">
        <is>
          <t>Sveaskog</t>
        </is>
      </c>
      <c r="G4235" t="n">
        <v>1.1</v>
      </c>
      <c r="H4235" t="n">
        <v>0</v>
      </c>
      <c r="I4235" t="n">
        <v>0</v>
      </c>
      <c r="J4235" t="n">
        <v>0</v>
      </c>
      <c r="K4235" t="n">
        <v>0</v>
      </c>
      <c r="L4235" t="n">
        <v>0</v>
      </c>
      <c r="M4235" t="n">
        <v>0</v>
      </c>
      <c r="N4235" t="n">
        <v>0</v>
      </c>
      <c r="O4235" t="n">
        <v>0</v>
      </c>
      <c r="P4235" t="n">
        <v>0</v>
      </c>
      <c r="Q4235" t="n">
        <v>0</v>
      </c>
      <c r="R4235" s="2" t="inlineStr"/>
    </row>
    <row r="4236" ht="15" customHeight="1">
      <c r="A4236" t="inlineStr">
        <is>
          <t>A 49206-2021</t>
        </is>
      </c>
      <c r="B4236" s="1" t="n">
        <v>44454</v>
      </c>
      <c r="C4236" s="1" t="n">
        <v>45182</v>
      </c>
      <c r="D4236" t="inlineStr">
        <is>
          <t>JÄMTLANDS LÄN</t>
        </is>
      </c>
      <c r="E4236" t="inlineStr">
        <is>
          <t>STRÖMSUND</t>
        </is>
      </c>
      <c r="F4236" t="inlineStr">
        <is>
          <t>Sveaskog</t>
        </is>
      </c>
      <c r="G4236" t="n">
        <v>1.4</v>
      </c>
      <c r="H4236" t="n">
        <v>0</v>
      </c>
      <c r="I4236" t="n">
        <v>0</v>
      </c>
      <c r="J4236" t="n">
        <v>0</v>
      </c>
      <c r="K4236" t="n">
        <v>0</v>
      </c>
      <c r="L4236" t="n">
        <v>0</v>
      </c>
      <c r="M4236" t="n">
        <v>0</v>
      </c>
      <c r="N4236" t="n">
        <v>0</v>
      </c>
      <c r="O4236" t="n">
        <v>0</v>
      </c>
      <c r="P4236" t="n">
        <v>0</v>
      </c>
      <c r="Q4236" t="n">
        <v>0</v>
      </c>
      <c r="R4236" s="2" t="inlineStr"/>
    </row>
    <row r="4237" ht="15" customHeight="1">
      <c r="A4237" t="inlineStr">
        <is>
          <t>A 49937-2021</t>
        </is>
      </c>
      <c r="B4237" s="1" t="n">
        <v>44455</v>
      </c>
      <c r="C4237" s="1" t="n">
        <v>45182</v>
      </c>
      <c r="D4237" t="inlineStr">
        <is>
          <t>JÄMTLANDS LÄN</t>
        </is>
      </c>
      <c r="E4237" t="inlineStr">
        <is>
          <t>BRÄCKE</t>
        </is>
      </c>
      <c r="F4237" t="inlineStr">
        <is>
          <t>SCA</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50453-2021</t>
        </is>
      </c>
      <c r="B4238" s="1" t="n">
        <v>44455</v>
      </c>
      <c r="C4238" s="1" t="n">
        <v>45182</v>
      </c>
      <c r="D4238" t="inlineStr">
        <is>
          <t>JÄMTLANDS LÄN</t>
        </is>
      </c>
      <c r="E4238" t="inlineStr">
        <is>
          <t>BERG</t>
        </is>
      </c>
      <c r="G4238" t="n">
        <v>3.9</v>
      </c>
      <c r="H4238" t="n">
        <v>0</v>
      </c>
      <c r="I4238" t="n">
        <v>0</v>
      </c>
      <c r="J4238" t="n">
        <v>0</v>
      </c>
      <c r="K4238" t="n">
        <v>0</v>
      </c>
      <c r="L4238" t="n">
        <v>0</v>
      </c>
      <c r="M4238" t="n">
        <v>0</v>
      </c>
      <c r="N4238" t="n">
        <v>0</v>
      </c>
      <c r="O4238" t="n">
        <v>0</v>
      </c>
      <c r="P4238" t="n">
        <v>0</v>
      </c>
      <c r="Q4238" t="n">
        <v>0</v>
      </c>
      <c r="R4238" s="2" t="inlineStr"/>
    </row>
    <row r="4239" ht="15" customHeight="1">
      <c r="A4239" t="inlineStr">
        <is>
          <t>A 50020-2021</t>
        </is>
      </c>
      <c r="B4239" s="1" t="n">
        <v>44456</v>
      </c>
      <c r="C4239" s="1" t="n">
        <v>45182</v>
      </c>
      <c r="D4239" t="inlineStr">
        <is>
          <t>JÄMTLANDS LÄN</t>
        </is>
      </c>
      <c r="E4239" t="inlineStr">
        <is>
          <t>STRÖMSUND</t>
        </is>
      </c>
      <c r="F4239" t="inlineStr">
        <is>
          <t>Sveaskog</t>
        </is>
      </c>
      <c r="G4239" t="n">
        <v>18.7</v>
      </c>
      <c r="H4239" t="n">
        <v>0</v>
      </c>
      <c r="I4239" t="n">
        <v>0</v>
      </c>
      <c r="J4239" t="n">
        <v>0</v>
      </c>
      <c r="K4239" t="n">
        <v>0</v>
      </c>
      <c r="L4239" t="n">
        <v>0</v>
      </c>
      <c r="M4239" t="n">
        <v>0</v>
      </c>
      <c r="N4239" t="n">
        <v>0</v>
      </c>
      <c r="O4239" t="n">
        <v>0</v>
      </c>
      <c r="P4239" t="n">
        <v>0</v>
      </c>
      <c r="Q4239" t="n">
        <v>0</v>
      </c>
      <c r="R4239" s="2" t="inlineStr"/>
    </row>
    <row r="4240" ht="15" customHeight="1">
      <c r="A4240" t="inlineStr">
        <is>
          <t>A 50099-2021</t>
        </is>
      </c>
      <c r="B4240" s="1" t="n">
        <v>44456</v>
      </c>
      <c r="C4240" s="1" t="n">
        <v>45182</v>
      </c>
      <c r="D4240" t="inlineStr">
        <is>
          <t>JÄMTLANDS LÄN</t>
        </is>
      </c>
      <c r="E4240" t="inlineStr">
        <is>
          <t>ÅRE</t>
        </is>
      </c>
      <c r="G4240" t="n">
        <v>6.2</v>
      </c>
      <c r="H4240" t="n">
        <v>0</v>
      </c>
      <c r="I4240" t="n">
        <v>0</v>
      </c>
      <c r="J4240" t="n">
        <v>0</v>
      </c>
      <c r="K4240" t="n">
        <v>0</v>
      </c>
      <c r="L4240" t="n">
        <v>0</v>
      </c>
      <c r="M4240" t="n">
        <v>0</v>
      </c>
      <c r="N4240" t="n">
        <v>0</v>
      </c>
      <c r="O4240" t="n">
        <v>0</v>
      </c>
      <c r="P4240" t="n">
        <v>0</v>
      </c>
      <c r="Q4240" t="n">
        <v>0</v>
      </c>
      <c r="R4240" s="2" t="inlineStr"/>
    </row>
    <row r="4241" ht="15" customHeight="1">
      <c r="A4241" t="inlineStr">
        <is>
          <t>A 50180-2021</t>
        </is>
      </c>
      <c r="B4241" s="1" t="n">
        <v>44456</v>
      </c>
      <c r="C4241" s="1" t="n">
        <v>45182</v>
      </c>
      <c r="D4241" t="inlineStr">
        <is>
          <t>JÄMTLANDS LÄN</t>
        </is>
      </c>
      <c r="E4241" t="inlineStr">
        <is>
          <t>STRÖMSUND</t>
        </is>
      </c>
      <c r="F4241" t="inlineStr">
        <is>
          <t>SCA</t>
        </is>
      </c>
      <c r="G4241" t="n">
        <v>2.5</v>
      </c>
      <c r="H4241" t="n">
        <v>0</v>
      </c>
      <c r="I4241" t="n">
        <v>0</v>
      </c>
      <c r="J4241" t="n">
        <v>0</v>
      </c>
      <c r="K4241" t="n">
        <v>0</v>
      </c>
      <c r="L4241" t="n">
        <v>0</v>
      </c>
      <c r="M4241" t="n">
        <v>0</v>
      </c>
      <c r="N4241" t="n">
        <v>0</v>
      </c>
      <c r="O4241" t="n">
        <v>0</v>
      </c>
      <c r="P4241" t="n">
        <v>0</v>
      </c>
      <c r="Q4241" t="n">
        <v>0</v>
      </c>
      <c r="R4241" s="2" t="inlineStr"/>
    </row>
    <row r="4242" ht="15" customHeight="1">
      <c r="A4242" t="inlineStr">
        <is>
          <t>A 50025-2021</t>
        </is>
      </c>
      <c r="B4242" s="1" t="n">
        <v>44456</v>
      </c>
      <c r="C4242" s="1" t="n">
        <v>45182</v>
      </c>
      <c r="D4242" t="inlineStr">
        <is>
          <t>JÄMTLANDS LÄN</t>
        </is>
      </c>
      <c r="E4242" t="inlineStr">
        <is>
          <t>STRÖMSUND</t>
        </is>
      </c>
      <c r="F4242" t="inlineStr">
        <is>
          <t>Sveaskog</t>
        </is>
      </c>
      <c r="G4242" t="n">
        <v>6</v>
      </c>
      <c r="H4242" t="n">
        <v>0</v>
      </c>
      <c r="I4242" t="n">
        <v>0</v>
      </c>
      <c r="J4242" t="n">
        <v>0</v>
      </c>
      <c r="K4242" t="n">
        <v>0</v>
      </c>
      <c r="L4242" t="n">
        <v>0</v>
      </c>
      <c r="M4242" t="n">
        <v>0</v>
      </c>
      <c r="N4242" t="n">
        <v>0</v>
      </c>
      <c r="O4242" t="n">
        <v>0</v>
      </c>
      <c r="P4242" t="n">
        <v>0</v>
      </c>
      <c r="Q4242" t="n">
        <v>0</v>
      </c>
      <c r="R4242" s="2" t="inlineStr"/>
    </row>
    <row r="4243" ht="15" customHeight="1">
      <c r="A4243" t="inlineStr">
        <is>
          <t>A 50034-2021</t>
        </is>
      </c>
      <c r="B4243" s="1" t="n">
        <v>44456</v>
      </c>
      <c r="C4243" s="1" t="n">
        <v>45182</v>
      </c>
      <c r="D4243" t="inlineStr">
        <is>
          <t>JÄMTLANDS LÄN</t>
        </is>
      </c>
      <c r="E4243" t="inlineStr">
        <is>
          <t>STRÖMSUND</t>
        </is>
      </c>
      <c r="F4243" t="inlineStr">
        <is>
          <t>Sveaskog</t>
        </is>
      </c>
      <c r="G4243" t="n">
        <v>12.9</v>
      </c>
      <c r="H4243" t="n">
        <v>0</v>
      </c>
      <c r="I4243" t="n">
        <v>0</v>
      </c>
      <c r="J4243" t="n">
        <v>0</v>
      </c>
      <c r="K4243" t="n">
        <v>0</v>
      </c>
      <c r="L4243" t="n">
        <v>0</v>
      </c>
      <c r="M4243" t="n">
        <v>0</v>
      </c>
      <c r="N4243" t="n">
        <v>0</v>
      </c>
      <c r="O4243" t="n">
        <v>0</v>
      </c>
      <c r="P4243" t="n">
        <v>0</v>
      </c>
      <c r="Q4243" t="n">
        <v>0</v>
      </c>
      <c r="R4243" s="2" t="inlineStr"/>
    </row>
    <row r="4244" ht="15" customHeight="1">
      <c r="A4244" t="inlineStr">
        <is>
          <t>A 50030-2021</t>
        </is>
      </c>
      <c r="B4244" s="1" t="n">
        <v>44456</v>
      </c>
      <c r="C4244" s="1" t="n">
        <v>45182</v>
      </c>
      <c r="D4244" t="inlineStr">
        <is>
          <t>JÄMTLANDS LÄN</t>
        </is>
      </c>
      <c r="E4244" t="inlineStr">
        <is>
          <t>STRÖMSUND</t>
        </is>
      </c>
      <c r="F4244" t="inlineStr">
        <is>
          <t>Sveaskog</t>
        </is>
      </c>
      <c r="G4244" t="n">
        <v>21.5</v>
      </c>
      <c r="H4244" t="n">
        <v>0</v>
      </c>
      <c r="I4244" t="n">
        <v>0</v>
      </c>
      <c r="J4244" t="n">
        <v>0</v>
      </c>
      <c r="K4244" t="n">
        <v>0</v>
      </c>
      <c r="L4244" t="n">
        <v>0</v>
      </c>
      <c r="M4244" t="n">
        <v>0</v>
      </c>
      <c r="N4244" t="n">
        <v>0</v>
      </c>
      <c r="O4244" t="n">
        <v>0</v>
      </c>
      <c r="P4244" t="n">
        <v>0</v>
      </c>
      <c r="Q4244" t="n">
        <v>0</v>
      </c>
      <c r="R4244" s="2" t="inlineStr"/>
    </row>
    <row r="4245" ht="15" customHeight="1">
      <c r="A4245" t="inlineStr">
        <is>
          <t>A 50179-2021</t>
        </is>
      </c>
      <c r="B4245" s="1" t="n">
        <v>44456</v>
      </c>
      <c r="C4245" s="1" t="n">
        <v>45182</v>
      </c>
      <c r="D4245" t="inlineStr">
        <is>
          <t>JÄMTLANDS LÄN</t>
        </is>
      </c>
      <c r="E4245" t="inlineStr">
        <is>
          <t>STRÖMSUND</t>
        </is>
      </c>
      <c r="F4245" t="inlineStr">
        <is>
          <t>SCA</t>
        </is>
      </c>
      <c r="G4245" t="n">
        <v>1.1</v>
      </c>
      <c r="H4245" t="n">
        <v>0</v>
      </c>
      <c r="I4245" t="n">
        <v>0</v>
      </c>
      <c r="J4245" t="n">
        <v>0</v>
      </c>
      <c r="K4245" t="n">
        <v>0</v>
      </c>
      <c r="L4245" t="n">
        <v>0</v>
      </c>
      <c r="M4245" t="n">
        <v>0</v>
      </c>
      <c r="N4245" t="n">
        <v>0</v>
      </c>
      <c r="O4245" t="n">
        <v>0</v>
      </c>
      <c r="P4245" t="n">
        <v>0</v>
      </c>
      <c r="Q4245" t="n">
        <v>0</v>
      </c>
      <c r="R4245" s="2" t="inlineStr"/>
    </row>
    <row r="4246" ht="15" customHeight="1">
      <c r="A4246" t="inlineStr">
        <is>
          <t>A 50026-2021</t>
        </is>
      </c>
      <c r="B4246" s="1" t="n">
        <v>44456</v>
      </c>
      <c r="C4246" s="1" t="n">
        <v>45182</v>
      </c>
      <c r="D4246" t="inlineStr">
        <is>
          <t>JÄMTLANDS LÄN</t>
        </is>
      </c>
      <c r="E4246" t="inlineStr">
        <is>
          <t>STRÖMSUND</t>
        </is>
      </c>
      <c r="F4246" t="inlineStr">
        <is>
          <t>Sveaskog</t>
        </is>
      </c>
      <c r="G4246" t="n">
        <v>13.5</v>
      </c>
      <c r="H4246" t="n">
        <v>0</v>
      </c>
      <c r="I4246" t="n">
        <v>0</v>
      </c>
      <c r="J4246" t="n">
        <v>0</v>
      </c>
      <c r="K4246" t="n">
        <v>0</v>
      </c>
      <c r="L4246" t="n">
        <v>0</v>
      </c>
      <c r="M4246" t="n">
        <v>0</v>
      </c>
      <c r="N4246" t="n">
        <v>0</v>
      </c>
      <c r="O4246" t="n">
        <v>0</v>
      </c>
      <c r="P4246" t="n">
        <v>0</v>
      </c>
      <c r="Q4246" t="n">
        <v>0</v>
      </c>
      <c r="R4246" s="2" t="inlineStr"/>
    </row>
    <row r="4247" ht="15" customHeight="1">
      <c r="A4247" t="inlineStr">
        <is>
          <t>A 50177-2021</t>
        </is>
      </c>
      <c r="B4247" s="1" t="n">
        <v>44456</v>
      </c>
      <c r="C4247" s="1" t="n">
        <v>45182</v>
      </c>
      <c r="D4247" t="inlineStr">
        <is>
          <t>JÄMTLANDS LÄN</t>
        </is>
      </c>
      <c r="E4247" t="inlineStr">
        <is>
          <t>KROKOM</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50780-2021</t>
        </is>
      </c>
      <c r="B4248" s="1" t="n">
        <v>44459</v>
      </c>
      <c r="C4248" s="1" t="n">
        <v>45182</v>
      </c>
      <c r="D4248" t="inlineStr">
        <is>
          <t>JÄMTLANDS LÄN</t>
        </is>
      </c>
      <c r="E4248" t="inlineStr">
        <is>
          <t>BERG</t>
        </is>
      </c>
      <c r="G4248" t="n">
        <v>3.5</v>
      </c>
      <c r="H4248" t="n">
        <v>0</v>
      </c>
      <c r="I4248" t="n">
        <v>0</v>
      </c>
      <c r="J4248" t="n">
        <v>0</v>
      </c>
      <c r="K4248" t="n">
        <v>0</v>
      </c>
      <c r="L4248" t="n">
        <v>0</v>
      </c>
      <c r="M4248" t="n">
        <v>0</v>
      </c>
      <c r="N4248" t="n">
        <v>0</v>
      </c>
      <c r="O4248" t="n">
        <v>0</v>
      </c>
      <c r="P4248" t="n">
        <v>0</v>
      </c>
      <c r="Q4248" t="n">
        <v>0</v>
      </c>
      <c r="R4248" s="2" t="inlineStr"/>
    </row>
    <row r="4249" ht="15" customHeight="1">
      <c r="A4249" t="inlineStr">
        <is>
          <t>A 50476-2021</t>
        </is>
      </c>
      <c r="B4249" s="1" t="n">
        <v>44459</v>
      </c>
      <c r="C4249" s="1" t="n">
        <v>45182</v>
      </c>
      <c r="D4249" t="inlineStr">
        <is>
          <t>JÄMTLANDS LÄN</t>
        </is>
      </c>
      <c r="E4249" t="inlineStr">
        <is>
          <t>KROKOM</t>
        </is>
      </c>
      <c r="G4249" t="n">
        <v>2.7</v>
      </c>
      <c r="H4249" t="n">
        <v>0</v>
      </c>
      <c r="I4249" t="n">
        <v>0</v>
      </c>
      <c r="J4249" t="n">
        <v>0</v>
      </c>
      <c r="K4249" t="n">
        <v>0</v>
      </c>
      <c r="L4249" t="n">
        <v>0</v>
      </c>
      <c r="M4249" t="n">
        <v>0</v>
      </c>
      <c r="N4249" t="n">
        <v>0</v>
      </c>
      <c r="O4249" t="n">
        <v>0</v>
      </c>
      <c r="P4249" t="n">
        <v>0</v>
      </c>
      <c r="Q4249" t="n">
        <v>0</v>
      </c>
      <c r="R4249" s="2" t="inlineStr"/>
    </row>
    <row r="4250" ht="15" customHeight="1">
      <c r="A4250" t="inlineStr">
        <is>
          <t>A 50887-2021</t>
        </is>
      </c>
      <c r="B4250" s="1" t="n">
        <v>44459</v>
      </c>
      <c r="C4250" s="1" t="n">
        <v>45182</v>
      </c>
      <c r="D4250" t="inlineStr">
        <is>
          <t>JÄMTLANDS LÄN</t>
        </is>
      </c>
      <c r="E4250" t="inlineStr">
        <is>
          <t>KROKOM</t>
        </is>
      </c>
      <c r="G4250" t="n">
        <v>4.5</v>
      </c>
      <c r="H4250" t="n">
        <v>0</v>
      </c>
      <c r="I4250" t="n">
        <v>0</v>
      </c>
      <c r="J4250" t="n">
        <v>0</v>
      </c>
      <c r="K4250" t="n">
        <v>0</v>
      </c>
      <c r="L4250" t="n">
        <v>0</v>
      </c>
      <c r="M4250" t="n">
        <v>0</v>
      </c>
      <c r="N4250" t="n">
        <v>0</v>
      </c>
      <c r="O4250" t="n">
        <v>0</v>
      </c>
      <c r="P4250" t="n">
        <v>0</v>
      </c>
      <c r="Q4250" t="n">
        <v>0</v>
      </c>
      <c r="R4250" s="2" t="inlineStr"/>
    </row>
    <row r="4251" ht="15" customHeight="1">
      <c r="A4251" t="inlineStr">
        <is>
          <t>A 50790-2021</t>
        </is>
      </c>
      <c r="B4251" s="1" t="n">
        <v>44460</v>
      </c>
      <c r="C4251" s="1" t="n">
        <v>45182</v>
      </c>
      <c r="D4251" t="inlineStr">
        <is>
          <t>JÄMTLANDS LÄN</t>
        </is>
      </c>
      <c r="E4251" t="inlineStr">
        <is>
          <t>KROKOM</t>
        </is>
      </c>
      <c r="G4251" t="n">
        <v>2.4</v>
      </c>
      <c r="H4251" t="n">
        <v>0</v>
      </c>
      <c r="I4251" t="n">
        <v>0</v>
      </c>
      <c r="J4251" t="n">
        <v>0</v>
      </c>
      <c r="K4251" t="n">
        <v>0</v>
      </c>
      <c r="L4251" t="n">
        <v>0</v>
      </c>
      <c r="M4251" t="n">
        <v>0</v>
      </c>
      <c r="N4251" t="n">
        <v>0</v>
      </c>
      <c r="O4251" t="n">
        <v>0</v>
      </c>
      <c r="P4251" t="n">
        <v>0</v>
      </c>
      <c r="Q4251" t="n">
        <v>0</v>
      </c>
      <c r="R4251" s="2" t="inlineStr"/>
    </row>
    <row r="4252" ht="15" customHeight="1">
      <c r="A4252" t="inlineStr">
        <is>
          <t>A 51042-2021</t>
        </is>
      </c>
      <c r="B4252" s="1" t="n">
        <v>44461</v>
      </c>
      <c r="C4252" s="1" t="n">
        <v>45182</v>
      </c>
      <c r="D4252" t="inlineStr">
        <is>
          <t>JÄMTLANDS LÄN</t>
        </is>
      </c>
      <c r="E4252" t="inlineStr">
        <is>
          <t>ÅRE</t>
        </is>
      </c>
      <c r="G4252" t="n">
        <v>0.8</v>
      </c>
      <c r="H4252" t="n">
        <v>0</v>
      </c>
      <c r="I4252" t="n">
        <v>0</v>
      </c>
      <c r="J4252" t="n">
        <v>0</v>
      </c>
      <c r="K4252" t="n">
        <v>0</v>
      </c>
      <c r="L4252" t="n">
        <v>0</v>
      </c>
      <c r="M4252" t="n">
        <v>0</v>
      </c>
      <c r="N4252" t="n">
        <v>0</v>
      </c>
      <c r="O4252" t="n">
        <v>0</v>
      </c>
      <c r="P4252" t="n">
        <v>0</v>
      </c>
      <c r="Q4252" t="n">
        <v>0</v>
      </c>
      <c r="R4252" s="2" t="inlineStr"/>
    </row>
    <row r="4253" ht="15" customHeight="1">
      <c r="A4253" t="inlineStr">
        <is>
          <t>A 51040-2021</t>
        </is>
      </c>
      <c r="B4253" s="1" t="n">
        <v>44461</v>
      </c>
      <c r="C4253" s="1" t="n">
        <v>45182</v>
      </c>
      <c r="D4253" t="inlineStr">
        <is>
          <t>JÄMTLANDS LÄN</t>
        </is>
      </c>
      <c r="E4253" t="inlineStr">
        <is>
          <t>ÅRE</t>
        </is>
      </c>
      <c r="G4253" t="n">
        <v>1.7</v>
      </c>
      <c r="H4253" t="n">
        <v>0</v>
      </c>
      <c r="I4253" t="n">
        <v>0</v>
      </c>
      <c r="J4253" t="n">
        <v>0</v>
      </c>
      <c r="K4253" t="n">
        <v>0</v>
      </c>
      <c r="L4253" t="n">
        <v>0</v>
      </c>
      <c r="M4253" t="n">
        <v>0</v>
      </c>
      <c r="N4253" t="n">
        <v>0</v>
      </c>
      <c r="O4253" t="n">
        <v>0</v>
      </c>
      <c r="P4253" t="n">
        <v>0</v>
      </c>
      <c r="Q4253" t="n">
        <v>0</v>
      </c>
      <c r="R4253" s="2" t="inlineStr"/>
    </row>
    <row r="4254" ht="15" customHeight="1">
      <c r="A4254" t="inlineStr">
        <is>
          <t>A 51446-2021</t>
        </is>
      </c>
      <c r="B4254" s="1" t="n">
        <v>44461</v>
      </c>
      <c r="C4254" s="1" t="n">
        <v>45182</v>
      </c>
      <c r="D4254" t="inlineStr">
        <is>
          <t>JÄMTLANDS LÄN</t>
        </is>
      </c>
      <c r="E4254" t="inlineStr">
        <is>
          <t>STRÖMSUND</t>
        </is>
      </c>
      <c r="F4254" t="inlineStr">
        <is>
          <t>SCA</t>
        </is>
      </c>
      <c r="G4254" t="n">
        <v>0.6</v>
      </c>
      <c r="H4254" t="n">
        <v>0</v>
      </c>
      <c r="I4254" t="n">
        <v>0</v>
      </c>
      <c r="J4254" t="n">
        <v>0</v>
      </c>
      <c r="K4254" t="n">
        <v>0</v>
      </c>
      <c r="L4254" t="n">
        <v>0</v>
      </c>
      <c r="M4254" t="n">
        <v>0</v>
      </c>
      <c r="N4254" t="n">
        <v>0</v>
      </c>
      <c r="O4254" t="n">
        <v>0</v>
      </c>
      <c r="P4254" t="n">
        <v>0</v>
      </c>
      <c r="Q4254" t="n">
        <v>0</v>
      </c>
      <c r="R4254" s="2" t="inlineStr"/>
    </row>
    <row r="4255" ht="15" customHeight="1">
      <c r="A4255" t="inlineStr">
        <is>
          <t>A 51951-2021</t>
        </is>
      </c>
      <c r="B4255" s="1" t="n">
        <v>44462</v>
      </c>
      <c r="C4255" s="1" t="n">
        <v>45182</v>
      </c>
      <c r="D4255" t="inlineStr">
        <is>
          <t>JÄMTLANDS LÄN</t>
        </is>
      </c>
      <c r="E4255" t="inlineStr">
        <is>
          <t>BERG</t>
        </is>
      </c>
      <c r="F4255" t="inlineStr">
        <is>
          <t>SCA</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52332-2021</t>
        </is>
      </c>
      <c r="B4256" s="1" t="n">
        <v>44463</v>
      </c>
      <c r="C4256" s="1" t="n">
        <v>45182</v>
      </c>
      <c r="D4256" t="inlineStr">
        <is>
          <t>JÄMTLANDS LÄN</t>
        </is>
      </c>
      <c r="E4256" t="inlineStr">
        <is>
          <t>STRÖMSUND</t>
        </is>
      </c>
      <c r="F4256" t="inlineStr">
        <is>
          <t>SCA</t>
        </is>
      </c>
      <c r="G4256" t="n">
        <v>0.7</v>
      </c>
      <c r="H4256" t="n">
        <v>0</v>
      </c>
      <c r="I4256" t="n">
        <v>0</v>
      </c>
      <c r="J4256" t="n">
        <v>0</v>
      </c>
      <c r="K4256" t="n">
        <v>0</v>
      </c>
      <c r="L4256" t="n">
        <v>0</v>
      </c>
      <c r="M4256" t="n">
        <v>0</v>
      </c>
      <c r="N4256" t="n">
        <v>0</v>
      </c>
      <c r="O4256" t="n">
        <v>0</v>
      </c>
      <c r="P4256" t="n">
        <v>0</v>
      </c>
      <c r="Q4256" t="n">
        <v>0</v>
      </c>
      <c r="R4256" s="2" t="inlineStr"/>
    </row>
    <row r="4257" ht="15" customHeight="1">
      <c r="A4257" t="inlineStr">
        <is>
          <t>A 52022-2021</t>
        </is>
      </c>
      <c r="B4257" s="1" t="n">
        <v>44463</v>
      </c>
      <c r="C4257" s="1" t="n">
        <v>45182</v>
      </c>
      <c r="D4257" t="inlineStr">
        <is>
          <t>JÄMTLANDS LÄN</t>
        </is>
      </c>
      <c r="E4257" t="inlineStr">
        <is>
          <t>BRÄCKE</t>
        </is>
      </c>
      <c r="G4257" t="n">
        <v>8.4</v>
      </c>
      <c r="H4257" t="n">
        <v>0</v>
      </c>
      <c r="I4257" t="n">
        <v>0</v>
      </c>
      <c r="J4257" t="n">
        <v>0</v>
      </c>
      <c r="K4257" t="n">
        <v>0</v>
      </c>
      <c r="L4257" t="n">
        <v>0</v>
      </c>
      <c r="M4257" t="n">
        <v>0</v>
      </c>
      <c r="N4257" t="n">
        <v>0</v>
      </c>
      <c r="O4257" t="n">
        <v>0</v>
      </c>
      <c r="P4257" t="n">
        <v>0</v>
      </c>
      <c r="Q4257" t="n">
        <v>0</v>
      </c>
      <c r="R4257" s="2" t="inlineStr"/>
    </row>
    <row r="4258" ht="15" customHeight="1">
      <c r="A4258" t="inlineStr">
        <is>
          <t>A 52327-2021</t>
        </is>
      </c>
      <c r="B4258" s="1" t="n">
        <v>44463</v>
      </c>
      <c r="C4258" s="1" t="n">
        <v>45182</v>
      </c>
      <c r="D4258" t="inlineStr">
        <is>
          <t>JÄMTLANDS LÄN</t>
        </is>
      </c>
      <c r="E4258" t="inlineStr">
        <is>
          <t>STRÖMSUND</t>
        </is>
      </c>
      <c r="F4258" t="inlineStr">
        <is>
          <t>SCA</t>
        </is>
      </c>
      <c r="G4258" t="n">
        <v>3.6</v>
      </c>
      <c r="H4258" t="n">
        <v>0</v>
      </c>
      <c r="I4258" t="n">
        <v>0</v>
      </c>
      <c r="J4258" t="n">
        <v>0</v>
      </c>
      <c r="K4258" t="n">
        <v>0</v>
      </c>
      <c r="L4258" t="n">
        <v>0</v>
      </c>
      <c r="M4258" t="n">
        <v>0</v>
      </c>
      <c r="N4258" t="n">
        <v>0</v>
      </c>
      <c r="O4258" t="n">
        <v>0</v>
      </c>
      <c r="P4258" t="n">
        <v>0</v>
      </c>
      <c r="Q4258" t="n">
        <v>0</v>
      </c>
      <c r="R4258" s="2" t="inlineStr"/>
    </row>
    <row r="4259" ht="15" customHeight="1">
      <c r="A4259" t="inlineStr">
        <is>
          <t>A 52397-2021</t>
        </is>
      </c>
      <c r="B4259" s="1" t="n">
        <v>44463</v>
      </c>
      <c r="C4259" s="1" t="n">
        <v>45182</v>
      </c>
      <c r="D4259" t="inlineStr">
        <is>
          <t>JÄMTLANDS LÄN</t>
        </is>
      </c>
      <c r="E4259" t="inlineStr">
        <is>
          <t>STRÖMSUND</t>
        </is>
      </c>
      <c r="G4259" t="n">
        <v>2</v>
      </c>
      <c r="H4259" t="n">
        <v>0</v>
      </c>
      <c r="I4259" t="n">
        <v>0</v>
      </c>
      <c r="J4259" t="n">
        <v>0</v>
      </c>
      <c r="K4259" t="n">
        <v>0</v>
      </c>
      <c r="L4259" t="n">
        <v>0</v>
      </c>
      <c r="M4259" t="n">
        <v>0</v>
      </c>
      <c r="N4259" t="n">
        <v>0</v>
      </c>
      <c r="O4259" t="n">
        <v>0</v>
      </c>
      <c r="P4259" t="n">
        <v>0</v>
      </c>
      <c r="Q4259" t="n">
        <v>0</v>
      </c>
      <c r="R4259" s="2" t="inlineStr"/>
    </row>
    <row r="4260" ht="15" customHeight="1">
      <c r="A4260" t="inlineStr">
        <is>
          <t>A 52950-2021</t>
        </is>
      </c>
      <c r="B4260" s="1" t="n">
        <v>44466</v>
      </c>
      <c r="C4260" s="1" t="n">
        <v>45182</v>
      </c>
      <c r="D4260" t="inlineStr">
        <is>
          <t>JÄMTLANDS LÄN</t>
        </is>
      </c>
      <c r="E4260" t="inlineStr">
        <is>
          <t>STRÖMSUND</t>
        </is>
      </c>
      <c r="G4260" t="n">
        <v>1.8</v>
      </c>
      <c r="H4260" t="n">
        <v>0</v>
      </c>
      <c r="I4260" t="n">
        <v>0</v>
      </c>
      <c r="J4260" t="n">
        <v>0</v>
      </c>
      <c r="K4260" t="n">
        <v>0</v>
      </c>
      <c r="L4260" t="n">
        <v>0</v>
      </c>
      <c r="M4260" t="n">
        <v>0</v>
      </c>
      <c r="N4260" t="n">
        <v>0</v>
      </c>
      <c r="O4260" t="n">
        <v>0</v>
      </c>
      <c r="P4260" t="n">
        <v>0</v>
      </c>
      <c r="Q4260" t="n">
        <v>0</v>
      </c>
      <c r="R4260" s="2" t="inlineStr"/>
    </row>
    <row r="4261" ht="15" customHeight="1">
      <c r="A4261" t="inlineStr">
        <is>
          <t>A 52725-2021</t>
        </is>
      </c>
      <c r="B4261" s="1" t="n">
        <v>44466</v>
      </c>
      <c r="C4261" s="1" t="n">
        <v>45182</v>
      </c>
      <c r="D4261" t="inlineStr">
        <is>
          <t>JÄMTLANDS LÄN</t>
        </is>
      </c>
      <c r="E4261" t="inlineStr">
        <is>
          <t>RAGUNDA</t>
        </is>
      </c>
      <c r="F4261" t="inlineStr">
        <is>
          <t>SCA</t>
        </is>
      </c>
      <c r="G4261" t="n">
        <v>5.5</v>
      </c>
      <c r="H4261" t="n">
        <v>0</v>
      </c>
      <c r="I4261" t="n">
        <v>0</v>
      </c>
      <c r="J4261" t="n">
        <v>0</v>
      </c>
      <c r="K4261" t="n">
        <v>0</v>
      </c>
      <c r="L4261" t="n">
        <v>0</v>
      </c>
      <c r="M4261" t="n">
        <v>0</v>
      </c>
      <c r="N4261" t="n">
        <v>0</v>
      </c>
      <c r="O4261" t="n">
        <v>0</v>
      </c>
      <c r="P4261" t="n">
        <v>0</v>
      </c>
      <c r="Q4261" t="n">
        <v>0</v>
      </c>
      <c r="R4261" s="2" t="inlineStr"/>
    </row>
    <row r="4262" ht="15" customHeight="1">
      <c r="A4262" t="inlineStr">
        <is>
          <t>A 52913-2021</t>
        </is>
      </c>
      <c r="B4262" s="1" t="n">
        <v>44466</v>
      </c>
      <c r="C4262" s="1" t="n">
        <v>45182</v>
      </c>
      <c r="D4262" t="inlineStr">
        <is>
          <t>JÄMTLANDS LÄN</t>
        </is>
      </c>
      <c r="E4262" t="inlineStr">
        <is>
          <t>ÖSTERSUND</t>
        </is>
      </c>
      <c r="G4262" t="n">
        <v>4.2</v>
      </c>
      <c r="H4262" t="n">
        <v>0</v>
      </c>
      <c r="I4262" t="n">
        <v>0</v>
      </c>
      <c r="J4262" t="n">
        <v>0</v>
      </c>
      <c r="K4262" t="n">
        <v>0</v>
      </c>
      <c r="L4262" t="n">
        <v>0</v>
      </c>
      <c r="M4262" t="n">
        <v>0</v>
      </c>
      <c r="N4262" t="n">
        <v>0</v>
      </c>
      <c r="O4262" t="n">
        <v>0</v>
      </c>
      <c r="P4262" t="n">
        <v>0</v>
      </c>
      <c r="Q4262" t="n">
        <v>0</v>
      </c>
      <c r="R4262" s="2" t="inlineStr"/>
    </row>
    <row r="4263" ht="15" customHeight="1">
      <c r="A4263" t="inlineStr">
        <is>
          <t>A 52969-2021</t>
        </is>
      </c>
      <c r="B4263" s="1" t="n">
        <v>44466</v>
      </c>
      <c r="C4263" s="1" t="n">
        <v>45182</v>
      </c>
      <c r="D4263" t="inlineStr">
        <is>
          <t>JÄMTLANDS LÄN</t>
        </is>
      </c>
      <c r="E4263" t="inlineStr">
        <is>
          <t>STRÖMSUND</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53518-2021</t>
        </is>
      </c>
      <c r="B4264" s="1" t="n">
        <v>44468</v>
      </c>
      <c r="C4264" s="1" t="n">
        <v>45182</v>
      </c>
      <c r="D4264" t="inlineStr">
        <is>
          <t>JÄMTLANDS LÄN</t>
        </is>
      </c>
      <c r="E4264" t="inlineStr">
        <is>
          <t>STRÖMSUND</t>
        </is>
      </c>
      <c r="F4264" t="inlineStr">
        <is>
          <t>SCA</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53516-2021</t>
        </is>
      </c>
      <c r="B4265" s="1" t="n">
        <v>44468</v>
      </c>
      <c r="C4265" s="1" t="n">
        <v>45182</v>
      </c>
      <c r="D4265" t="inlineStr">
        <is>
          <t>JÄMTLANDS LÄN</t>
        </is>
      </c>
      <c r="E4265" t="inlineStr">
        <is>
          <t>BRÄCKE</t>
        </is>
      </c>
      <c r="F4265" t="inlineStr">
        <is>
          <t>SCA</t>
        </is>
      </c>
      <c r="G4265" t="n">
        <v>3</v>
      </c>
      <c r="H4265" t="n">
        <v>0</v>
      </c>
      <c r="I4265" t="n">
        <v>0</v>
      </c>
      <c r="J4265" t="n">
        <v>0</v>
      </c>
      <c r="K4265" t="n">
        <v>0</v>
      </c>
      <c r="L4265" t="n">
        <v>0</v>
      </c>
      <c r="M4265" t="n">
        <v>0</v>
      </c>
      <c r="N4265" t="n">
        <v>0</v>
      </c>
      <c r="O4265" t="n">
        <v>0</v>
      </c>
      <c r="P4265" t="n">
        <v>0</v>
      </c>
      <c r="Q4265" t="n">
        <v>0</v>
      </c>
      <c r="R4265" s="2" t="inlineStr"/>
    </row>
    <row r="4266" ht="15" customHeight="1">
      <c r="A4266" t="inlineStr">
        <is>
          <t>A 53513-2021</t>
        </is>
      </c>
      <c r="B4266" s="1" t="n">
        <v>44468</v>
      </c>
      <c r="C4266" s="1" t="n">
        <v>45182</v>
      </c>
      <c r="D4266" t="inlineStr">
        <is>
          <t>JÄMTLANDS LÄN</t>
        </is>
      </c>
      <c r="E4266" t="inlineStr">
        <is>
          <t>STRÖMSUND</t>
        </is>
      </c>
      <c r="F4266" t="inlineStr">
        <is>
          <t>SCA</t>
        </is>
      </c>
      <c r="G4266" t="n">
        <v>5.2</v>
      </c>
      <c r="H4266" t="n">
        <v>0</v>
      </c>
      <c r="I4266" t="n">
        <v>0</v>
      </c>
      <c r="J4266" t="n">
        <v>0</v>
      </c>
      <c r="K4266" t="n">
        <v>0</v>
      </c>
      <c r="L4266" t="n">
        <v>0</v>
      </c>
      <c r="M4266" t="n">
        <v>0</v>
      </c>
      <c r="N4266" t="n">
        <v>0</v>
      </c>
      <c r="O4266" t="n">
        <v>0</v>
      </c>
      <c r="P4266" t="n">
        <v>0</v>
      </c>
      <c r="Q4266" t="n">
        <v>0</v>
      </c>
      <c r="R4266" s="2" t="inlineStr"/>
    </row>
    <row r="4267" ht="15" customHeight="1">
      <c r="A4267" t="inlineStr">
        <is>
          <t>A 53191-2021</t>
        </is>
      </c>
      <c r="B4267" s="1" t="n">
        <v>44468</v>
      </c>
      <c r="C4267" s="1" t="n">
        <v>45182</v>
      </c>
      <c r="D4267" t="inlineStr">
        <is>
          <t>JÄMTLANDS LÄN</t>
        </is>
      </c>
      <c r="E4267" t="inlineStr">
        <is>
          <t>KROKOM</t>
        </is>
      </c>
      <c r="F4267" t="inlineStr">
        <is>
          <t>Kyrkan</t>
        </is>
      </c>
      <c r="G4267" t="n">
        <v>0.9</v>
      </c>
      <c r="H4267" t="n">
        <v>0</v>
      </c>
      <c r="I4267" t="n">
        <v>0</v>
      </c>
      <c r="J4267" t="n">
        <v>0</v>
      </c>
      <c r="K4267" t="n">
        <v>0</v>
      </c>
      <c r="L4267" t="n">
        <v>0</v>
      </c>
      <c r="M4267" t="n">
        <v>0</v>
      </c>
      <c r="N4267" t="n">
        <v>0</v>
      </c>
      <c r="O4267" t="n">
        <v>0</v>
      </c>
      <c r="P4267" t="n">
        <v>0</v>
      </c>
      <c r="Q4267" t="n">
        <v>0</v>
      </c>
      <c r="R4267" s="2" t="inlineStr"/>
    </row>
    <row r="4268" ht="15" customHeight="1">
      <c r="A4268" t="inlineStr">
        <is>
          <t>A 53414-2021</t>
        </is>
      </c>
      <c r="B4268" s="1" t="n">
        <v>44468</v>
      </c>
      <c r="C4268" s="1" t="n">
        <v>45182</v>
      </c>
      <c r="D4268" t="inlineStr">
        <is>
          <t>JÄMTLANDS LÄN</t>
        </is>
      </c>
      <c r="E4268" t="inlineStr">
        <is>
          <t>STRÖMSUND</t>
        </is>
      </c>
      <c r="G4268" t="n">
        <v>0.7</v>
      </c>
      <c r="H4268" t="n">
        <v>0</v>
      </c>
      <c r="I4268" t="n">
        <v>0</v>
      </c>
      <c r="J4268" t="n">
        <v>0</v>
      </c>
      <c r="K4268" t="n">
        <v>0</v>
      </c>
      <c r="L4268" t="n">
        <v>0</v>
      </c>
      <c r="M4268" t="n">
        <v>0</v>
      </c>
      <c r="N4268" t="n">
        <v>0</v>
      </c>
      <c r="O4268" t="n">
        <v>0</v>
      </c>
      <c r="P4268" t="n">
        <v>0</v>
      </c>
      <c r="Q4268" t="n">
        <v>0</v>
      </c>
      <c r="R4268" s="2" t="inlineStr"/>
    </row>
    <row r="4269" ht="15" customHeight="1">
      <c r="A4269" t="inlineStr">
        <is>
          <t>A 53612-2021</t>
        </is>
      </c>
      <c r="B4269" s="1" t="n">
        <v>44469</v>
      </c>
      <c r="C4269" s="1" t="n">
        <v>45182</v>
      </c>
      <c r="D4269" t="inlineStr">
        <is>
          <t>JÄMTLANDS LÄN</t>
        </is>
      </c>
      <c r="E4269" t="inlineStr">
        <is>
          <t>BRÄCKE</t>
        </is>
      </c>
      <c r="G4269" t="n">
        <v>1.7</v>
      </c>
      <c r="H4269" t="n">
        <v>0</v>
      </c>
      <c r="I4269" t="n">
        <v>0</v>
      </c>
      <c r="J4269" t="n">
        <v>0</v>
      </c>
      <c r="K4269" t="n">
        <v>0</v>
      </c>
      <c r="L4269" t="n">
        <v>0</v>
      </c>
      <c r="M4269" t="n">
        <v>0</v>
      </c>
      <c r="N4269" t="n">
        <v>0</v>
      </c>
      <c r="O4269" t="n">
        <v>0</v>
      </c>
      <c r="P4269" t="n">
        <v>0</v>
      </c>
      <c r="Q4269" t="n">
        <v>0</v>
      </c>
      <c r="R4269" s="2" t="inlineStr"/>
    </row>
    <row r="4270" ht="15" customHeight="1">
      <c r="A4270" t="inlineStr">
        <is>
          <t>A 54050-2021</t>
        </is>
      </c>
      <c r="B4270" s="1" t="n">
        <v>44470</v>
      </c>
      <c r="C4270" s="1" t="n">
        <v>45182</v>
      </c>
      <c r="D4270" t="inlineStr">
        <is>
          <t>JÄMTLANDS LÄN</t>
        </is>
      </c>
      <c r="E4270" t="inlineStr">
        <is>
          <t>STRÖMSUND</t>
        </is>
      </c>
      <c r="G4270" t="n">
        <v>2</v>
      </c>
      <c r="H4270" t="n">
        <v>0</v>
      </c>
      <c r="I4270" t="n">
        <v>0</v>
      </c>
      <c r="J4270" t="n">
        <v>0</v>
      </c>
      <c r="K4270" t="n">
        <v>0</v>
      </c>
      <c r="L4270" t="n">
        <v>0</v>
      </c>
      <c r="M4270" t="n">
        <v>0</v>
      </c>
      <c r="N4270" t="n">
        <v>0</v>
      </c>
      <c r="O4270" t="n">
        <v>0</v>
      </c>
      <c r="P4270" t="n">
        <v>0</v>
      </c>
      <c r="Q4270" t="n">
        <v>0</v>
      </c>
      <c r="R4270" s="2" t="inlineStr"/>
    </row>
    <row r="4271" ht="15" customHeight="1">
      <c r="A4271" t="inlineStr">
        <is>
          <t>A 54103-2021</t>
        </is>
      </c>
      <c r="B4271" s="1" t="n">
        <v>44470</v>
      </c>
      <c r="C4271" s="1" t="n">
        <v>45182</v>
      </c>
      <c r="D4271" t="inlineStr">
        <is>
          <t>JÄMTLANDS LÄN</t>
        </is>
      </c>
      <c r="E4271" t="inlineStr">
        <is>
          <t>HÄRJEDALEN</t>
        </is>
      </c>
      <c r="F4271" t="inlineStr">
        <is>
          <t>Holmen skog AB</t>
        </is>
      </c>
      <c r="G4271" t="n">
        <v>11.9</v>
      </c>
      <c r="H4271" t="n">
        <v>0</v>
      </c>
      <c r="I4271" t="n">
        <v>0</v>
      </c>
      <c r="J4271" t="n">
        <v>0</v>
      </c>
      <c r="K4271" t="n">
        <v>0</v>
      </c>
      <c r="L4271" t="n">
        <v>0</v>
      </c>
      <c r="M4271" t="n">
        <v>0</v>
      </c>
      <c r="N4271" t="n">
        <v>0</v>
      </c>
      <c r="O4271" t="n">
        <v>0</v>
      </c>
      <c r="P4271" t="n">
        <v>0</v>
      </c>
      <c r="Q4271" t="n">
        <v>0</v>
      </c>
      <c r="R4271" s="2" t="inlineStr"/>
    </row>
    <row r="4272" ht="15" customHeight="1">
      <c r="A4272" t="inlineStr">
        <is>
          <t>A 54037-2021</t>
        </is>
      </c>
      <c r="B4272" s="1" t="n">
        <v>44470</v>
      </c>
      <c r="C4272" s="1" t="n">
        <v>45182</v>
      </c>
      <c r="D4272" t="inlineStr">
        <is>
          <t>JÄMTLANDS LÄN</t>
        </is>
      </c>
      <c r="E4272" t="inlineStr">
        <is>
          <t>KROKOM</t>
        </is>
      </c>
      <c r="G4272" t="n">
        <v>6.3</v>
      </c>
      <c r="H4272" t="n">
        <v>0</v>
      </c>
      <c r="I4272" t="n">
        <v>0</v>
      </c>
      <c r="J4272" t="n">
        <v>0</v>
      </c>
      <c r="K4272" t="n">
        <v>0</v>
      </c>
      <c r="L4272" t="n">
        <v>0</v>
      </c>
      <c r="M4272" t="n">
        <v>0</v>
      </c>
      <c r="N4272" t="n">
        <v>0</v>
      </c>
      <c r="O4272" t="n">
        <v>0</v>
      </c>
      <c r="P4272" t="n">
        <v>0</v>
      </c>
      <c r="Q4272" t="n">
        <v>0</v>
      </c>
      <c r="R4272" s="2" t="inlineStr"/>
    </row>
    <row r="4273" ht="15" customHeight="1">
      <c r="A4273" t="inlineStr">
        <is>
          <t>A 54152-2021</t>
        </is>
      </c>
      <c r="B4273" s="1" t="n">
        <v>44470</v>
      </c>
      <c r="C4273" s="1" t="n">
        <v>45182</v>
      </c>
      <c r="D4273" t="inlineStr">
        <is>
          <t>JÄMTLANDS LÄN</t>
        </is>
      </c>
      <c r="E4273" t="inlineStr">
        <is>
          <t>KROKOM</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54035-2021</t>
        </is>
      </c>
      <c r="B4274" s="1" t="n">
        <v>44470</v>
      </c>
      <c r="C4274" s="1" t="n">
        <v>45182</v>
      </c>
      <c r="D4274" t="inlineStr">
        <is>
          <t>JÄMTLANDS LÄN</t>
        </is>
      </c>
      <c r="E4274" t="inlineStr">
        <is>
          <t>BRÄCKE</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54218-2021</t>
        </is>
      </c>
      <c r="B4275" s="1" t="n">
        <v>44470</v>
      </c>
      <c r="C4275" s="1" t="n">
        <v>45182</v>
      </c>
      <c r="D4275" t="inlineStr">
        <is>
          <t>JÄMTLANDS LÄN</t>
        </is>
      </c>
      <c r="E4275" t="inlineStr">
        <is>
          <t>HÄRJEDALEN</t>
        </is>
      </c>
      <c r="F4275" t="inlineStr">
        <is>
          <t>Holmen skog AB</t>
        </is>
      </c>
      <c r="G4275" t="n">
        <v>4.6</v>
      </c>
      <c r="H4275" t="n">
        <v>0</v>
      </c>
      <c r="I4275" t="n">
        <v>0</v>
      </c>
      <c r="J4275" t="n">
        <v>0</v>
      </c>
      <c r="K4275" t="n">
        <v>0</v>
      </c>
      <c r="L4275" t="n">
        <v>0</v>
      </c>
      <c r="M4275" t="n">
        <v>0</v>
      </c>
      <c r="N4275" t="n">
        <v>0</v>
      </c>
      <c r="O4275" t="n">
        <v>0</v>
      </c>
      <c r="P4275" t="n">
        <v>0</v>
      </c>
      <c r="Q4275" t="n">
        <v>0</v>
      </c>
      <c r="R4275" s="2" t="inlineStr"/>
    </row>
    <row r="4276" ht="15" customHeight="1">
      <c r="A4276" t="inlineStr">
        <is>
          <t>A 54331-2021</t>
        </is>
      </c>
      <c r="B4276" s="1" t="n">
        <v>44472</v>
      </c>
      <c r="C4276" s="1" t="n">
        <v>45182</v>
      </c>
      <c r="D4276" t="inlineStr">
        <is>
          <t>JÄMTLANDS LÄN</t>
        </is>
      </c>
      <c r="E4276" t="inlineStr">
        <is>
          <t>HÄRJEDALEN</t>
        </is>
      </c>
      <c r="G4276" t="n">
        <v>0.7</v>
      </c>
      <c r="H4276" t="n">
        <v>0</v>
      </c>
      <c r="I4276" t="n">
        <v>0</v>
      </c>
      <c r="J4276" t="n">
        <v>0</v>
      </c>
      <c r="K4276" t="n">
        <v>0</v>
      </c>
      <c r="L4276" t="n">
        <v>0</v>
      </c>
      <c r="M4276" t="n">
        <v>0</v>
      </c>
      <c r="N4276" t="n">
        <v>0</v>
      </c>
      <c r="O4276" t="n">
        <v>0</v>
      </c>
      <c r="P4276" t="n">
        <v>0</v>
      </c>
      <c r="Q4276" t="n">
        <v>0</v>
      </c>
      <c r="R4276" s="2" t="inlineStr"/>
    </row>
    <row r="4277" ht="15" customHeight="1">
      <c r="A4277" t="inlineStr">
        <is>
          <t>A 54766-2021</t>
        </is>
      </c>
      <c r="B4277" s="1" t="n">
        <v>44473</v>
      </c>
      <c r="C4277" s="1" t="n">
        <v>45182</v>
      </c>
      <c r="D4277" t="inlineStr">
        <is>
          <t>JÄMTLANDS LÄN</t>
        </is>
      </c>
      <c r="E4277" t="inlineStr">
        <is>
          <t>BERG</t>
        </is>
      </c>
      <c r="F4277" t="inlineStr">
        <is>
          <t>SCA</t>
        </is>
      </c>
      <c r="G4277" t="n">
        <v>7.9</v>
      </c>
      <c r="H4277" t="n">
        <v>0</v>
      </c>
      <c r="I4277" t="n">
        <v>0</v>
      </c>
      <c r="J4277" t="n">
        <v>0</v>
      </c>
      <c r="K4277" t="n">
        <v>0</v>
      </c>
      <c r="L4277" t="n">
        <v>0</v>
      </c>
      <c r="M4277" t="n">
        <v>0</v>
      </c>
      <c r="N4277" t="n">
        <v>0</v>
      </c>
      <c r="O4277" t="n">
        <v>0</v>
      </c>
      <c r="P4277" t="n">
        <v>0</v>
      </c>
      <c r="Q4277" t="n">
        <v>0</v>
      </c>
      <c r="R4277" s="2" t="inlineStr"/>
    </row>
    <row r="4278" ht="15" customHeight="1">
      <c r="A4278" t="inlineStr">
        <is>
          <t>A 54799-2021</t>
        </is>
      </c>
      <c r="B4278" s="1" t="n">
        <v>44473</v>
      </c>
      <c r="C4278" s="1" t="n">
        <v>45182</v>
      </c>
      <c r="D4278" t="inlineStr">
        <is>
          <t>JÄMTLANDS LÄN</t>
        </is>
      </c>
      <c r="E4278" t="inlineStr">
        <is>
          <t>BERG</t>
        </is>
      </c>
      <c r="F4278" t="inlineStr">
        <is>
          <t>SCA</t>
        </is>
      </c>
      <c r="G4278" t="n">
        <v>2.8</v>
      </c>
      <c r="H4278" t="n">
        <v>0</v>
      </c>
      <c r="I4278" t="n">
        <v>0</v>
      </c>
      <c r="J4278" t="n">
        <v>0</v>
      </c>
      <c r="K4278" t="n">
        <v>0</v>
      </c>
      <c r="L4278" t="n">
        <v>0</v>
      </c>
      <c r="M4278" t="n">
        <v>0</v>
      </c>
      <c r="N4278" t="n">
        <v>0</v>
      </c>
      <c r="O4278" t="n">
        <v>0</v>
      </c>
      <c r="P4278" t="n">
        <v>0</v>
      </c>
      <c r="Q4278" t="n">
        <v>0</v>
      </c>
      <c r="R4278" s="2" t="inlineStr"/>
    </row>
    <row r="4279" ht="15" customHeight="1">
      <c r="A4279" t="inlineStr">
        <is>
          <t>A 54573-2021</t>
        </is>
      </c>
      <c r="B4279" s="1" t="n">
        <v>44473</v>
      </c>
      <c r="C4279" s="1" t="n">
        <v>45182</v>
      </c>
      <c r="D4279" t="inlineStr">
        <is>
          <t>JÄMTLANDS LÄN</t>
        </is>
      </c>
      <c r="E4279" t="inlineStr">
        <is>
          <t>KROKOM</t>
        </is>
      </c>
      <c r="G4279" t="n">
        <v>7</v>
      </c>
      <c r="H4279" t="n">
        <v>0</v>
      </c>
      <c r="I4279" t="n">
        <v>0</v>
      </c>
      <c r="J4279" t="n">
        <v>0</v>
      </c>
      <c r="K4279" t="n">
        <v>0</v>
      </c>
      <c r="L4279" t="n">
        <v>0</v>
      </c>
      <c r="M4279" t="n">
        <v>0</v>
      </c>
      <c r="N4279" t="n">
        <v>0</v>
      </c>
      <c r="O4279" t="n">
        <v>0</v>
      </c>
      <c r="P4279" t="n">
        <v>0</v>
      </c>
      <c r="Q4279" t="n">
        <v>0</v>
      </c>
      <c r="R4279" s="2" t="inlineStr"/>
    </row>
    <row r="4280" ht="15" customHeight="1">
      <c r="A4280" t="inlineStr">
        <is>
          <t>A 54802-2021</t>
        </is>
      </c>
      <c r="B4280" s="1" t="n">
        <v>44473</v>
      </c>
      <c r="C4280" s="1" t="n">
        <v>45182</v>
      </c>
      <c r="D4280" t="inlineStr">
        <is>
          <t>JÄMTLANDS LÄN</t>
        </is>
      </c>
      <c r="E4280" t="inlineStr">
        <is>
          <t>BERG</t>
        </is>
      </c>
      <c r="F4280" t="inlineStr">
        <is>
          <t>SCA</t>
        </is>
      </c>
      <c r="G4280" t="n">
        <v>2.8</v>
      </c>
      <c r="H4280" t="n">
        <v>0</v>
      </c>
      <c r="I4280" t="n">
        <v>0</v>
      </c>
      <c r="J4280" t="n">
        <v>0</v>
      </c>
      <c r="K4280" t="n">
        <v>0</v>
      </c>
      <c r="L4280" t="n">
        <v>0</v>
      </c>
      <c r="M4280" t="n">
        <v>0</v>
      </c>
      <c r="N4280" t="n">
        <v>0</v>
      </c>
      <c r="O4280" t="n">
        <v>0</v>
      </c>
      <c r="P4280" t="n">
        <v>0</v>
      </c>
      <c r="Q4280" t="n">
        <v>0</v>
      </c>
      <c r="R4280" s="2" t="inlineStr"/>
    </row>
    <row r="4281" ht="15" customHeight="1">
      <c r="A4281" t="inlineStr">
        <is>
          <t>A 54842-2021</t>
        </is>
      </c>
      <c r="B4281" s="1" t="n">
        <v>44473</v>
      </c>
      <c r="C4281" s="1" t="n">
        <v>45182</v>
      </c>
      <c r="D4281" t="inlineStr">
        <is>
          <t>JÄMTLANDS LÄN</t>
        </is>
      </c>
      <c r="E4281" t="inlineStr">
        <is>
          <t>HÄRJEDALEN</t>
        </is>
      </c>
      <c r="G4281" t="n">
        <v>0.6</v>
      </c>
      <c r="H4281" t="n">
        <v>0</v>
      </c>
      <c r="I4281" t="n">
        <v>0</v>
      </c>
      <c r="J4281" t="n">
        <v>0</v>
      </c>
      <c r="K4281" t="n">
        <v>0</v>
      </c>
      <c r="L4281" t="n">
        <v>0</v>
      </c>
      <c r="M4281" t="n">
        <v>0</v>
      </c>
      <c r="N4281" t="n">
        <v>0</v>
      </c>
      <c r="O4281" t="n">
        <v>0</v>
      </c>
      <c r="P4281" t="n">
        <v>0</v>
      </c>
      <c r="Q4281" t="n">
        <v>0</v>
      </c>
      <c r="R4281" s="2" t="inlineStr"/>
    </row>
    <row r="4282" ht="15" customHeight="1">
      <c r="A4282" t="inlineStr">
        <is>
          <t>A 54476-2021</t>
        </is>
      </c>
      <c r="B4282" s="1" t="n">
        <v>44473</v>
      </c>
      <c r="C4282" s="1" t="n">
        <v>45182</v>
      </c>
      <c r="D4282" t="inlineStr">
        <is>
          <t>JÄMTLANDS LÄN</t>
        </is>
      </c>
      <c r="E4282" t="inlineStr">
        <is>
          <t>HÄRJEDALEN</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54497-2021</t>
        </is>
      </c>
      <c r="B4283" s="1" t="n">
        <v>44473</v>
      </c>
      <c r="C4283" s="1" t="n">
        <v>45182</v>
      </c>
      <c r="D4283" t="inlineStr">
        <is>
          <t>JÄMTLANDS LÄN</t>
        </is>
      </c>
      <c r="E4283" t="inlineStr">
        <is>
          <t>KROKOM</t>
        </is>
      </c>
      <c r="G4283" t="n">
        <v>1.2</v>
      </c>
      <c r="H4283" t="n">
        <v>0</v>
      </c>
      <c r="I4283" t="n">
        <v>0</v>
      </c>
      <c r="J4283" t="n">
        <v>0</v>
      </c>
      <c r="K4283" t="n">
        <v>0</v>
      </c>
      <c r="L4283" t="n">
        <v>0</v>
      </c>
      <c r="M4283" t="n">
        <v>0</v>
      </c>
      <c r="N4283" t="n">
        <v>0</v>
      </c>
      <c r="O4283" t="n">
        <v>0</v>
      </c>
      <c r="P4283" t="n">
        <v>0</v>
      </c>
      <c r="Q4283" t="n">
        <v>0</v>
      </c>
      <c r="R4283" s="2" t="inlineStr"/>
    </row>
    <row r="4284" ht="15" customHeight="1">
      <c r="A4284" t="inlineStr">
        <is>
          <t>A 54571-2021</t>
        </is>
      </c>
      <c r="B4284" s="1" t="n">
        <v>44473</v>
      </c>
      <c r="C4284" s="1" t="n">
        <v>45182</v>
      </c>
      <c r="D4284" t="inlineStr">
        <is>
          <t>JÄMTLANDS LÄN</t>
        </is>
      </c>
      <c r="E4284" t="inlineStr">
        <is>
          <t>BRÄCKE</t>
        </is>
      </c>
      <c r="G4284" t="n">
        <v>3</v>
      </c>
      <c r="H4284" t="n">
        <v>0</v>
      </c>
      <c r="I4284" t="n">
        <v>0</v>
      </c>
      <c r="J4284" t="n">
        <v>0</v>
      </c>
      <c r="K4284" t="n">
        <v>0</v>
      </c>
      <c r="L4284" t="n">
        <v>0</v>
      </c>
      <c r="M4284" t="n">
        <v>0</v>
      </c>
      <c r="N4284" t="n">
        <v>0</v>
      </c>
      <c r="O4284" t="n">
        <v>0</v>
      </c>
      <c r="P4284" t="n">
        <v>0</v>
      </c>
      <c r="Q4284" t="n">
        <v>0</v>
      </c>
      <c r="R4284" s="2" t="inlineStr"/>
    </row>
    <row r="4285" ht="15" customHeight="1">
      <c r="A4285" t="inlineStr">
        <is>
          <t>A 55215-2021</t>
        </is>
      </c>
      <c r="B4285" s="1" t="n">
        <v>44475</v>
      </c>
      <c r="C4285" s="1" t="n">
        <v>45182</v>
      </c>
      <c r="D4285" t="inlineStr">
        <is>
          <t>JÄMTLANDS LÄN</t>
        </is>
      </c>
      <c r="E4285" t="inlineStr">
        <is>
          <t>HÄRJEDALEN</t>
        </is>
      </c>
      <c r="G4285" t="n">
        <v>3.9</v>
      </c>
      <c r="H4285" t="n">
        <v>0</v>
      </c>
      <c r="I4285" t="n">
        <v>0</v>
      </c>
      <c r="J4285" t="n">
        <v>0</v>
      </c>
      <c r="K4285" t="n">
        <v>0</v>
      </c>
      <c r="L4285" t="n">
        <v>0</v>
      </c>
      <c r="M4285" t="n">
        <v>0</v>
      </c>
      <c r="N4285" t="n">
        <v>0</v>
      </c>
      <c r="O4285" t="n">
        <v>0</v>
      </c>
      <c r="P4285" t="n">
        <v>0</v>
      </c>
      <c r="Q4285" t="n">
        <v>0</v>
      </c>
      <c r="R4285" s="2" t="inlineStr"/>
    </row>
    <row r="4286" ht="15" customHeight="1">
      <c r="A4286" t="inlineStr">
        <is>
          <t>A 55232-2021</t>
        </is>
      </c>
      <c r="B4286" s="1" t="n">
        <v>44475</v>
      </c>
      <c r="C4286" s="1" t="n">
        <v>45182</v>
      </c>
      <c r="D4286" t="inlineStr">
        <is>
          <t>JÄMTLANDS LÄN</t>
        </is>
      </c>
      <c r="E4286" t="inlineStr">
        <is>
          <t>HÄRJEDALEN</t>
        </is>
      </c>
      <c r="G4286" t="n">
        <v>0.7</v>
      </c>
      <c r="H4286" t="n">
        <v>0</v>
      </c>
      <c r="I4286" t="n">
        <v>0</v>
      </c>
      <c r="J4286" t="n">
        <v>0</v>
      </c>
      <c r="K4286" t="n">
        <v>0</v>
      </c>
      <c r="L4286" t="n">
        <v>0</v>
      </c>
      <c r="M4286" t="n">
        <v>0</v>
      </c>
      <c r="N4286" t="n">
        <v>0</v>
      </c>
      <c r="O4286" t="n">
        <v>0</v>
      </c>
      <c r="P4286" t="n">
        <v>0</v>
      </c>
      <c r="Q4286" t="n">
        <v>0</v>
      </c>
      <c r="R4286" s="2" t="inlineStr"/>
    </row>
    <row r="4287" ht="15" customHeight="1">
      <c r="A4287" t="inlineStr">
        <is>
          <t>A 55246-2021</t>
        </is>
      </c>
      <c r="B4287" s="1" t="n">
        <v>44475</v>
      </c>
      <c r="C4287" s="1" t="n">
        <v>45182</v>
      </c>
      <c r="D4287" t="inlineStr">
        <is>
          <t>JÄMTLANDS LÄN</t>
        </is>
      </c>
      <c r="E4287" t="inlineStr">
        <is>
          <t>HÄRJEDALEN</t>
        </is>
      </c>
      <c r="G4287" t="n">
        <v>3.8</v>
      </c>
      <c r="H4287" t="n">
        <v>0</v>
      </c>
      <c r="I4287" t="n">
        <v>0</v>
      </c>
      <c r="J4287" t="n">
        <v>0</v>
      </c>
      <c r="K4287" t="n">
        <v>0</v>
      </c>
      <c r="L4287" t="n">
        <v>0</v>
      </c>
      <c r="M4287" t="n">
        <v>0</v>
      </c>
      <c r="N4287" t="n">
        <v>0</v>
      </c>
      <c r="O4287" t="n">
        <v>0</v>
      </c>
      <c r="P4287" t="n">
        <v>0</v>
      </c>
      <c r="Q4287" t="n">
        <v>0</v>
      </c>
      <c r="R4287" s="2" t="inlineStr"/>
    </row>
    <row r="4288" ht="15" customHeight="1">
      <c r="A4288" t="inlineStr">
        <is>
          <t>A 55257-2021</t>
        </is>
      </c>
      <c r="B4288" s="1" t="n">
        <v>44475</v>
      </c>
      <c r="C4288" s="1" t="n">
        <v>45182</v>
      </c>
      <c r="D4288" t="inlineStr">
        <is>
          <t>JÄMTLANDS LÄN</t>
        </is>
      </c>
      <c r="E4288" t="inlineStr">
        <is>
          <t>HÄRJEDALEN</t>
        </is>
      </c>
      <c r="G4288" t="n">
        <v>0</v>
      </c>
      <c r="H4288" t="n">
        <v>0</v>
      </c>
      <c r="I4288" t="n">
        <v>0</v>
      </c>
      <c r="J4288" t="n">
        <v>0</v>
      </c>
      <c r="K4288" t="n">
        <v>0</v>
      </c>
      <c r="L4288" t="n">
        <v>0</v>
      </c>
      <c r="M4288" t="n">
        <v>0</v>
      </c>
      <c r="N4288" t="n">
        <v>0</v>
      </c>
      <c r="O4288" t="n">
        <v>0</v>
      </c>
      <c r="P4288" t="n">
        <v>0</v>
      </c>
      <c r="Q4288" t="n">
        <v>0</v>
      </c>
      <c r="R4288" s="2" t="inlineStr"/>
    </row>
    <row r="4289" ht="15" customHeight="1">
      <c r="A4289" t="inlineStr">
        <is>
          <t>A 55385-2021</t>
        </is>
      </c>
      <c r="B4289" s="1" t="n">
        <v>44475</v>
      </c>
      <c r="C4289" s="1" t="n">
        <v>45182</v>
      </c>
      <c r="D4289" t="inlineStr">
        <is>
          <t>JÄMTLANDS LÄN</t>
        </is>
      </c>
      <c r="E4289" t="inlineStr">
        <is>
          <t>HÄRJEDALEN</t>
        </is>
      </c>
      <c r="G4289" t="n">
        <v>1</v>
      </c>
      <c r="H4289" t="n">
        <v>0</v>
      </c>
      <c r="I4289" t="n">
        <v>0</v>
      </c>
      <c r="J4289" t="n">
        <v>0</v>
      </c>
      <c r="K4289" t="n">
        <v>0</v>
      </c>
      <c r="L4289" t="n">
        <v>0</v>
      </c>
      <c r="M4289" t="n">
        <v>0</v>
      </c>
      <c r="N4289" t="n">
        <v>0</v>
      </c>
      <c r="O4289" t="n">
        <v>0</v>
      </c>
      <c r="P4289" t="n">
        <v>0</v>
      </c>
      <c r="Q4289" t="n">
        <v>0</v>
      </c>
      <c r="R4289" s="2" t="inlineStr"/>
    </row>
    <row r="4290" ht="15" customHeight="1">
      <c r="A4290" t="inlineStr">
        <is>
          <t>A 55608-2021</t>
        </is>
      </c>
      <c r="B4290" s="1" t="n">
        <v>44475</v>
      </c>
      <c r="C4290" s="1" t="n">
        <v>45182</v>
      </c>
      <c r="D4290" t="inlineStr">
        <is>
          <t>JÄMTLANDS LÄN</t>
        </is>
      </c>
      <c r="E4290" t="inlineStr">
        <is>
          <t>STRÖMSUND</t>
        </is>
      </c>
      <c r="F4290" t="inlineStr">
        <is>
          <t>SCA</t>
        </is>
      </c>
      <c r="G4290" t="n">
        <v>0.6</v>
      </c>
      <c r="H4290" t="n">
        <v>0</v>
      </c>
      <c r="I4290" t="n">
        <v>0</v>
      </c>
      <c r="J4290" t="n">
        <v>0</v>
      </c>
      <c r="K4290" t="n">
        <v>0</v>
      </c>
      <c r="L4290" t="n">
        <v>0</v>
      </c>
      <c r="M4290" t="n">
        <v>0</v>
      </c>
      <c r="N4290" t="n">
        <v>0</v>
      </c>
      <c r="O4290" t="n">
        <v>0</v>
      </c>
      <c r="P4290" t="n">
        <v>0</v>
      </c>
      <c r="Q4290" t="n">
        <v>0</v>
      </c>
      <c r="R4290" s="2" t="inlineStr"/>
    </row>
    <row r="4291" ht="15" customHeight="1">
      <c r="A4291" t="inlineStr">
        <is>
          <t>A 55231-2021</t>
        </is>
      </c>
      <c r="B4291" s="1" t="n">
        <v>44475</v>
      </c>
      <c r="C4291" s="1" t="n">
        <v>45182</v>
      </c>
      <c r="D4291" t="inlineStr">
        <is>
          <t>JÄMTLANDS LÄN</t>
        </is>
      </c>
      <c r="E4291" t="inlineStr">
        <is>
          <t>HÄRJEDALEN</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55238-2021</t>
        </is>
      </c>
      <c r="B4292" s="1" t="n">
        <v>44475</v>
      </c>
      <c r="C4292" s="1" t="n">
        <v>45182</v>
      </c>
      <c r="D4292" t="inlineStr">
        <is>
          <t>JÄMTLANDS LÄN</t>
        </is>
      </c>
      <c r="E4292" t="inlineStr">
        <is>
          <t>HÄRJEDALEN</t>
        </is>
      </c>
      <c r="G4292" t="n">
        <v>2.2</v>
      </c>
      <c r="H4292" t="n">
        <v>0</v>
      </c>
      <c r="I4292" t="n">
        <v>0</v>
      </c>
      <c r="J4292" t="n">
        <v>0</v>
      </c>
      <c r="K4292" t="n">
        <v>0</v>
      </c>
      <c r="L4292" t="n">
        <v>0</v>
      </c>
      <c r="M4292" t="n">
        <v>0</v>
      </c>
      <c r="N4292" t="n">
        <v>0</v>
      </c>
      <c r="O4292" t="n">
        <v>0</v>
      </c>
      <c r="P4292" t="n">
        <v>0</v>
      </c>
      <c r="Q4292" t="n">
        <v>0</v>
      </c>
      <c r="R4292" s="2" t="inlineStr"/>
    </row>
    <row r="4293" ht="15" customHeight="1">
      <c r="A4293" t="inlineStr">
        <is>
          <t>A 55255-2021</t>
        </is>
      </c>
      <c r="B4293" s="1" t="n">
        <v>44475</v>
      </c>
      <c r="C4293" s="1" t="n">
        <v>45182</v>
      </c>
      <c r="D4293" t="inlineStr">
        <is>
          <t>JÄMTLANDS LÄN</t>
        </is>
      </c>
      <c r="E4293" t="inlineStr">
        <is>
          <t>HÄRJEDALEN</t>
        </is>
      </c>
      <c r="G4293" t="n">
        <v>0.7</v>
      </c>
      <c r="H4293" t="n">
        <v>0</v>
      </c>
      <c r="I4293" t="n">
        <v>0</v>
      </c>
      <c r="J4293" t="n">
        <v>0</v>
      </c>
      <c r="K4293" t="n">
        <v>0</v>
      </c>
      <c r="L4293" t="n">
        <v>0</v>
      </c>
      <c r="M4293" t="n">
        <v>0</v>
      </c>
      <c r="N4293" t="n">
        <v>0</v>
      </c>
      <c r="O4293" t="n">
        <v>0</v>
      </c>
      <c r="P4293" t="n">
        <v>0</v>
      </c>
      <c r="Q4293" t="n">
        <v>0</v>
      </c>
      <c r="R4293" s="2" t="inlineStr"/>
    </row>
    <row r="4294" ht="15" customHeight="1">
      <c r="A4294" t="inlineStr">
        <is>
          <t>A 55302-2021</t>
        </is>
      </c>
      <c r="B4294" s="1" t="n">
        <v>44475</v>
      </c>
      <c r="C4294" s="1" t="n">
        <v>45182</v>
      </c>
      <c r="D4294" t="inlineStr">
        <is>
          <t>JÄMTLANDS LÄN</t>
        </is>
      </c>
      <c r="E4294" t="inlineStr">
        <is>
          <t>ÖSTERSUND</t>
        </is>
      </c>
      <c r="G4294" t="n">
        <v>0.3</v>
      </c>
      <c r="H4294" t="n">
        <v>0</v>
      </c>
      <c r="I4294" t="n">
        <v>0</v>
      </c>
      <c r="J4294" t="n">
        <v>0</v>
      </c>
      <c r="K4294" t="n">
        <v>0</v>
      </c>
      <c r="L4294" t="n">
        <v>0</v>
      </c>
      <c r="M4294" t="n">
        <v>0</v>
      </c>
      <c r="N4294" t="n">
        <v>0</v>
      </c>
      <c r="O4294" t="n">
        <v>0</v>
      </c>
      <c r="P4294" t="n">
        <v>0</v>
      </c>
      <c r="Q4294" t="n">
        <v>0</v>
      </c>
      <c r="R4294" s="2" t="inlineStr"/>
    </row>
    <row r="4295" ht="15" customHeight="1">
      <c r="A4295" t="inlineStr">
        <is>
          <t>A 55384-2021</t>
        </is>
      </c>
      <c r="B4295" s="1" t="n">
        <v>44475</v>
      </c>
      <c r="C4295" s="1" t="n">
        <v>45182</v>
      </c>
      <c r="D4295" t="inlineStr">
        <is>
          <t>JÄMTLANDS LÄN</t>
        </is>
      </c>
      <c r="E4295" t="inlineStr">
        <is>
          <t>HÄRJEDALEN</t>
        </is>
      </c>
      <c r="G4295" t="n">
        <v>0.3</v>
      </c>
      <c r="H4295" t="n">
        <v>0</v>
      </c>
      <c r="I4295" t="n">
        <v>0</v>
      </c>
      <c r="J4295" t="n">
        <v>0</v>
      </c>
      <c r="K4295" t="n">
        <v>0</v>
      </c>
      <c r="L4295" t="n">
        <v>0</v>
      </c>
      <c r="M4295" t="n">
        <v>0</v>
      </c>
      <c r="N4295" t="n">
        <v>0</v>
      </c>
      <c r="O4295" t="n">
        <v>0</v>
      </c>
      <c r="P4295" t="n">
        <v>0</v>
      </c>
      <c r="Q4295" t="n">
        <v>0</v>
      </c>
      <c r="R4295" s="2" t="inlineStr"/>
    </row>
    <row r="4296" ht="15" customHeight="1">
      <c r="A4296" t="inlineStr">
        <is>
          <t>A 55393-2021</t>
        </is>
      </c>
      <c r="B4296" s="1" t="n">
        <v>44475</v>
      </c>
      <c r="C4296" s="1" t="n">
        <v>45182</v>
      </c>
      <c r="D4296" t="inlineStr">
        <is>
          <t>JÄMTLANDS LÄN</t>
        </is>
      </c>
      <c r="E4296" t="inlineStr">
        <is>
          <t>HÄRJEDALEN</t>
        </is>
      </c>
      <c r="G4296" t="n">
        <v>3</v>
      </c>
      <c r="H4296" t="n">
        <v>0</v>
      </c>
      <c r="I4296" t="n">
        <v>0</v>
      </c>
      <c r="J4296" t="n">
        <v>0</v>
      </c>
      <c r="K4296" t="n">
        <v>0</v>
      </c>
      <c r="L4296" t="n">
        <v>0</v>
      </c>
      <c r="M4296" t="n">
        <v>0</v>
      </c>
      <c r="N4296" t="n">
        <v>0</v>
      </c>
      <c r="O4296" t="n">
        <v>0</v>
      </c>
      <c r="P4296" t="n">
        <v>0</v>
      </c>
      <c r="Q4296" t="n">
        <v>0</v>
      </c>
      <c r="R4296" s="2" t="inlineStr"/>
    </row>
    <row r="4297" ht="15" customHeight="1">
      <c r="A4297" t="inlineStr">
        <is>
          <t>A 55517-2021</t>
        </is>
      </c>
      <c r="B4297" s="1" t="n">
        <v>44475</v>
      </c>
      <c r="C4297" s="1" t="n">
        <v>45182</v>
      </c>
      <c r="D4297" t="inlineStr">
        <is>
          <t>JÄMTLANDS LÄN</t>
        </is>
      </c>
      <c r="E4297" t="inlineStr">
        <is>
          <t>HÄRJEDALEN</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55252-2021</t>
        </is>
      </c>
      <c r="B4298" s="1" t="n">
        <v>44475</v>
      </c>
      <c r="C4298" s="1" t="n">
        <v>45182</v>
      </c>
      <c r="D4298" t="inlineStr">
        <is>
          <t>JÄMTLANDS LÄN</t>
        </is>
      </c>
      <c r="E4298" t="inlineStr">
        <is>
          <t>HÄRJEDALEN</t>
        </is>
      </c>
      <c r="G4298" t="n">
        <v>0.2</v>
      </c>
      <c r="H4298" t="n">
        <v>0</v>
      </c>
      <c r="I4298" t="n">
        <v>0</v>
      </c>
      <c r="J4298" t="n">
        <v>0</v>
      </c>
      <c r="K4298" t="n">
        <v>0</v>
      </c>
      <c r="L4298" t="n">
        <v>0</v>
      </c>
      <c r="M4298" t="n">
        <v>0</v>
      </c>
      <c r="N4298" t="n">
        <v>0</v>
      </c>
      <c r="O4298" t="n">
        <v>0</v>
      </c>
      <c r="P4298" t="n">
        <v>0</v>
      </c>
      <c r="Q4298" t="n">
        <v>0</v>
      </c>
      <c r="R4298" s="2" t="inlineStr"/>
    </row>
    <row r="4299" ht="15" customHeight="1">
      <c r="A4299" t="inlineStr">
        <is>
          <t>A 55381-2021</t>
        </is>
      </c>
      <c r="B4299" s="1" t="n">
        <v>44475</v>
      </c>
      <c r="C4299" s="1" t="n">
        <v>45182</v>
      </c>
      <c r="D4299" t="inlineStr">
        <is>
          <t>JÄMTLANDS LÄN</t>
        </is>
      </c>
      <c r="E4299" t="inlineStr">
        <is>
          <t>HÄRJEDALEN</t>
        </is>
      </c>
      <c r="G4299" t="n">
        <v>0.6</v>
      </c>
      <c r="H4299" t="n">
        <v>0</v>
      </c>
      <c r="I4299" t="n">
        <v>0</v>
      </c>
      <c r="J4299" t="n">
        <v>0</v>
      </c>
      <c r="K4299" t="n">
        <v>0</v>
      </c>
      <c r="L4299" t="n">
        <v>0</v>
      </c>
      <c r="M4299" t="n">
        <v>0</v>
      </c>
      <c r="N4299" t="n">
        <v>0</v>
      </c>
      <c r="O4299" t="n">
        <v>0</v>
      </c>
      <c r="P4299" t="n">
        <v>0</v>
      </c>
      <c r="Q4299" t="n">
        <v>0</v>
      </c>
      <c r="R4299" s="2" t="inlineStr"/>
    </row>
    <row r="4300" ht="15" customHeight="1">
      <c r="A4300" t="inlineStr">
        <is>
          <t>A 55399-2021</t>
        </is>
      </c>
      <c r="B4300" s="1" t="n">
        <v>44475</v>
      </c>
      <c r="C4300" s="1" t="n">
        <v>45182</v>
      </c>
      <c r="D4300" t="inlineStr">
        <is>
          <t>JÄMTLANDS LÄN</t>
        </is>
      </c>
      <c r="E4300" t="inlineStr">
        <is>
          <t>HÄRJEDALEN</t>
        </is>
      </c>
      <c r="G4300" t="n">
        <v>0.2</v>
      </c>
      <c r="H4300" t="n">
        <v>0</v>
      </c>
      <c r="I4300" t="n">
        <v>0</v>
      </c>
      <c r="J4300" t="n">
        <v>0</v>
      </c>
      <c r="K4300" t="n">
        <v>0</v>
      </c>
      <c r="L4300" t="n">
        <v>0</v>
      </c>
      <c r="M4300" t="n">
        <v>0</v>
      </c>
      <c r="N4300" t="n">
        <v>0</v>
      </c>
      <c r="O4300" t="n">
        <v>0</v>
      </c>
      <c r="P4300" t="n">
        <v>0</v>
      </c>
      <c r="Q4300" t="n">
        <v>0</v>
      </c>
      <c r="R4300" s="2" t="inlineStr"/>
    </row>
    <row r="4301" ht="15" customHeight="1">
      <c r="A4301" t="inlineStr">
        <is>
          <t>A 55542-2021</t>
        </is>
      </c>
      <c r="B4301" s="1" t="n">
        <v>44475</v>
      </c>
      <c r="C4301" s="1" t="n">
        <v>45182</v>
      </c>
      <c r="D4301" t="inlineStr">
        <is>
          <t>JÄMTLANDS LÄN</t>
        </is>
      </c>
      <c r="E4301" t="inlineStr">
        <is>
          <t>HÄRJEDALEN</t>
        </is>
      </c>
      <c r="G4301" t="n">
        <v>1.3</v>
      </c>
      <c r="H4301" t="n">
        <v>0</v>
      </c>
      <c r="I4301" t="n">
        <v>0</v>
      </c>
      <c r="J4301" t="n">
        <v>0</v>
      </c>
      <c r="K4301" t="n">
        <v>0</v>
      </c>
      <c r="L4301" t="n">
        <v>0</v>
      </c>
      <c r="M4301" t="n">
        <v>0</v>
      </c>
      <c r="N4301" t="n">
        <v>0</v>
      </c>
      <c r="O4301" t="n">
        <v>0</v>
      </c>
      <c r="P4301" t="n">
        <v>0</v>
      </c>
      <c r="Q4301" t="n">
        <v>0</v>
      </c>
      <c r="R4301" s="2" t="inlineStr"/>
    </row>
    <row r="4302" ht="15" customHeight="1">
      <c r="A4302" t="inlineStr">
        <is>
          <t>A 55219-2021</t>
        </is>
      </c>
      <c r="B4302" s="1" t="n">
        <v>44475</v>
      </c>
      <c r="C4302" s="1" t="n">
        <v>45182</v>
      </c>
      <c r="D4302" t="inlineStr">
        <is>
          <t>JÄMTLANDS LÄN</t>
        </is>
      </c>
      <c r="E4302" t="inlineStr">
        <is>
          <t>HÄRJEDALEN</t>
        </is>
      </c>
      <c r="G4302" t="n">
        <v>2.5</v>
      </c>
      <c r="H4302" t="n">
        <v>0</v>
      </c>
      <c r="I4302" t="n">
        <v>0</v>
      </c>
      <c r="J4302" t="n">
        <v>0</v>
      </c>
      <c r="K4302" t="n">
        <v>0</v>
      </c>
      <c r="L4302" t="n">
        <v>0</v>
      </c>
      <c r="M4302" t="n">
        <v>0</v>
      </c>
      <c r="N4302" t="n">
        <v>0</v>
      </c>
      <c r="O4302" t="n">
        <v>0</v>
      </c>
      <c r="P4302" t="n">
        <v>0</v>
      </c>
      <c r="Q4302" t="n">
        <v>0</v>
      </c>
      <c r="R4302" s="2" t="inlineStr"/>
    </row>
    <row r="4303" ht="15" customHeight="1">
      <c r="A4303" t="inlineStr">
        <is>
          <t>A 55226-2021</t>
        </is>
      </c>
      <c r="B4303" s="1" t="n">
        <v>44475</v>
      </c>
      <c r="C4303" s="1" t="n">
        <v>45182</v>
      </c>
      <c r="D4303" t="inlineStr">
        <is>
          <t>JÄMTLANDS LÄN</t>
        </is>
      </c>
      <c r="E4303" t="inlineStr">
        <is>
          <t>HÄRJEDALEN</t>
        </is>
      </c>
      <c r="G4303" t="n">
        <v>0.2</v>
      </c>
      <c r="H4303" t="n">
        <v>0</v>
      </c>
      <c r="I4303" t="n">
        <v>0</v>
      </c>
      <c r="J4303" t="n">
        <v>0</v>
      </c>
      <c r="K4303" t="n">
        <v>0</v>
      </c>
      <c r="L4303" t="n">
        <v>0</v>
      </c>
      <c r="M4303" t="n">
        <v>0</v>
      </c>
      <c r="N4303" t="n">
        <v>0</v>
      </c>
      <c r="O4303" t="n">
        <v>0</v>
      </c>
      <c r="P4303" t="n">
        <v>0</v>
      </c>
      <c r="Q4303" t="n">
        <v>0</v>
      </c>
      <c r="R4303" s="2" t="inlineStr"/>
    </row>
    <row r="4304" ht="15" customHeight="1">
      <c r="A4304" t="inlineStr">
        <is>
          <t>A 55242-2021</t>
        </is>
      </c>
      <c r="B4304" s="1" t="n">
        <v>44475</v>
      </c>
      <c r="C4304" s="1" t="n">
        <v>45182</v>
      </c>
      <c r="D4304" t="inlineStr">
        <is>
          <t>JÄMTLANDS LÄN</t>
        </is>
      </c>
      <c r="E4304" t="inlineStr">
        <is>
          <t>HÄRJEDALEN</t>
        </is>
      </c>
      <c r="G4304" t="n">
        <v>26</v>
      </c>
      <c r="H4304" t="n">
        <v>0</v>
      </c>
      <c r="I4304" t="n">
        <v>0</v>
      </c>
      <c r="J4304" t="n">
        <v>0</v>
      </c>
      <c r="K4304" t="n">
        <v>0</v>
      </c>
      <c r="L4304" t="n">
        <v>0</v>
      </c>
      <c r="M4304" t="n">
        <v>0</v>
      </c>
      <c r="N4304" t="n">
        <v>0</v>
      </c>
      <c r="O4304" t="n">
        <v>0</v>
      </c>
      <c r="P4304" t="n">
        <v>0</v>
      </c>
      <c r="Q4304" t="n">
        <v>0</v>
      </c>
      <c r="R4304" s="2" t="inlineStr"/>
    </row>
    <row r="4305" ht="15" customHeight="1">
      <c r="A4305" t="inlineStr">
        <is>
          <t>A 55250-2021</t>
        </is>
      </c>
      <c r="B4305" s="1" t="n">
        <v>44475</v>
      </c>
      <c r="C4305" s="1" t="n">
        <v>45182</v>
      </c>
      <c r="D4305" t="inlineStr">
        <is>
          <t>JÄMTLANDS LÄN</t>
        </is>
      </c>
      <c r="E4305" t="inlineStr">
        <is>
          <t>HÄRJEDALEN</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55379-2021</t>
        </is>
      </c>
      <c r="B4306" s="1" t="n">
        <v>44475</v>
      </c>
      <c r="C4306" s="1" t="n">
        <v>45182</v>
      </c>
      <c r="D4306" t="inlineStr">
        <is>
          <t>JÄMTLANDS LÄN</t>
        </is>
      </c>
      <c r="E4306" t="inlineStr">
        <is>
          <t>HÄRJEDALEN</t>
        </is>
      </c>
      <c r="G4306" t="n">
        <v>0.2</v>
      </c>
      <c r="H4306" t="n">
        <v>0</v>
      </c>
      <c r="I4306" t="n">
        <v>0</v>
      </c>
      <c r="J4306" t="n">
        <v>0</v>
      </c>
      <c r="K4306" t="n">
        <v>0</v>
      </c>
      <c r="L4306" t="n">
        <v>0</v>
      </c>
      <c r="M4306" t="n">
        <v>0</v>
      </c>
      <c r="N4306" t="n">
        <v>0</v>
      </c>
      <c r="O4306" t="n">
        <v>0</v>
      </c>
      <c r="P4306" t="n">
        <v>0</v>
      </c>
      <c r="Q4306" t="n">
        <v>0</v>
      </c>
      <c r="R4306" s="2" t="inlineStr"/>
    </row>
    <row r="4307" ht="15" customHeight="1">
      <c r="A4307" t="inlineStr">
        <is>
          <t>A 55388-2021</t>
        </is>
      </c>
      <c r="B4307" s="1" t="n">
        <v>44475</v>
      </c>
      <c r="C4307" s="1" t="n">
        <v>45182</v>
      </c>
      <c r="D4307" t="inlineStr">
        <is>
          <t>JÄMTLANDS LÄN</t>
        </is>
      </c>
      <c r="E4307" t="inlineStr">
        <is>
          <t>HÄRJEDALEN</t>
        </is>
      </c>
      <c r="G4307" t="n">
        <v>0.6</v>
      </c>
      <c r="H4307" t="n">
        <v>0</v>
      </c>
      <c r="I4307" t="n">
        <v>0</v>
      </c>
      <c r="J4307" t="n">
        <v>0</v>
      </c>
      <c r="K4307" t="n">
        <v>0</v>
      </c>
      <c r="L4307" t="n">
        <v>0</v>
      </c>
      <c r="M4307" t="n">
        <v>0</v>
      </c>
      <c r="N4307" t="n">
        <v>0</v>
      </c>
      <c r="O4307" t="n">
        <v>0</v>
      </c>
      <c r="P4307" t="n">
        <v>0</v>
      </c>
      <c r="Q4307" t="n">
        <v>0</v>
      </c>
      <c r="R4307" s="2" t="inlineStr"/>
    </row>
    <row r="4308" ht="15" customHeight="1">
      <c r="A4308" t="inlineStr">
        <is>
          <t>A 55396-2021</t>
        </is>
      </c>
      <c r="B4308" s="1" t="n">
        <v>44475</v>
      </c>
      <c r="C4308" s="1" t="n">
        <v>45182</v>
      </c>
      <c r="D4308" t="inlineStr">
        <is>
          <t>JÄMTLANDS LÄN</t>
        </is>
      </c>
      <c r="E4308" t="inlineStr">
        <is>
          <t>HÄRJEDALEN</t>
        </is>
      </c>
      <c r="G4308" t="n">
        <v>0.5</v>
      </c>
      <c r="H4308" t="n">
        <v>0</v>
      </c>
      <c r="I4308" t="n">
        <v>0</v>
      </c>
      <c r="J4308" t="n">
        <v>0</v>
      </c>
      <c r="K4308" t="n">
        <v>0</v>
      </c>
      <c r="L4308" t="n">
        <v>0</v>
      </c>
      <c r="M4308" t="n">
        <v>0</v>
      </c>
      <c r="N4308" t="n">
        <v>0</v>
      </c>
      <c r="O4308" t="n">
        <v>0</v>
      </c>
      <c r="P4308" t="n">
        <v>0</v>
      </c>
      <c r="Q4308" t="n">
        <v>0</v>
      </c>
      <c r="R4308" s="2" t="inlineStr"/>
    </row>
    <row r="4309" ht="15" customHeight="1">
      <c r="A4309" t="inlineStr">
        <is>
          <t>A 55701-2021</t>
        </is>
      </c>
      <c r="B4309" s="1" t="n">
        <v>44475</v>
      </c>
      <c r="C4309" s="1" t="n">
        <v>45182</v>
      </c>
      <c r="D4309" t="inlineStr">
        <is>
          <t>JÄMTLANDS LÄN</t>
        </is>
      </c>
      <c r="E4309" t="inlineStr">
        <is>
          <t>RAGUNDA</t>
        </is>
      </c>
      <c r="G4309" t="n">
        <v>5.6</v>
      </c>
      <c r="H4309" t="n">
        <v>0</v>
      </c>
      <c r="I4309" t="n">
        <v>0</v>
      </c>
      <c r="J4309" t="n">
        <v>0</v>
      </c>
      <c r="K4309" t="n">
        <v>0</v>
      </c>
      <c r="L4309" t="n">
        <v>0</v>
      </c>
      <c r="M4309" t="n">
        <v>0</v>
      </c>
      <c r="N4309" t="n">
        <v>0</v>
      </c>
      <c r="O4309" t="n">
        <v>0</v>
      </c>
      <c r="P4309" t="n">
        <v>0</v>
      </c>
      <c r="Q4309" t="n">
        <v>0</v>
      </c>
      <c r="R4309" s="2" t="inlineStr"/>
    </row>
    <row r="4310" ht="15" customHeight="1">
      <c r="A4310" t="inlineStr">
        <is>
          <t>A 55918-2021</t>
        </is>
      </c>
      <c r="B4310" s="1" t="n">
        <v>44476</v>
      </c>
      <c r="C4310" s="1" t="n">
        <v>45182</v>
      </c>
      <c r="D4310" t="inlineStr">
        <is>
          <t>JÄMTLANDS LÄN</t>
        </is>
      </c>
      <c r="E4310" t="inlineStr">
        <is>
          <t>STRÖMSUND</t>
        </is>
      </c>
      <c r="F4310" t="inlineStr">
        <is>
          <t>SCA</t>
        </is>
      </c>
      <c r="G4310" t="n">
        <v>4.1</v>
      </c>
      <c r="H4310" t="n">
        <v>0</v>
      </c>
      <c r="I4310" t="n">
        <v>0</v>
      </c>
      <c r="J4310" t="n">
        <v>0</v>
      </c>
      <c r="K4310" t="n">
        <v>0</v>
      </c>
      <c r="L4310" t="n">
        <v>0</v>
      </c>
      <c r="M4310" t="n">
        <v>0</v>
      </c>
      <c r="N4310" t="n">
        <v>0</v>
      </c>
      <c r="O4310" t="n">
        <v>0</v>
      </c>
      <c r="P4310" t="n">
        <v>0</v>
      </c>
      <c r="Q4310" t="n">
        <v>0</v>
      </c>
      <c r="R4310" s="2" t="inlineStr"/>
    </row>
    <row r="4311" ht="15" customHeight="1">
      <c r="A4311" t="inlineStr">
        <is>
          <t>A 55932-2021</t>
        </is>
      </c>
      <c r="B4311" s="1" t="n">
        <v>44476</v>
      </c>
      <c r="C4311" s="1" t="n">
        <v>45182</v>
      </c>
      <c r="D4311" t="inlineStr">
        <is>
          <t>JÄMTLANDS LÄN</t>
        </is>
      </c>
      <c r="E4311" t="inlineStr">
        <is>
          <t>RAGUNDA</t>
        </is>
      </c>
      <c r="F4311" t="inlineStr">
        <is>
          <t>SCA</t>
        </is>
      </c>
      <c r="G4311" t="n">
        <v>1.7</v>
      </c>
      <c r="H4311" t="n">
        <v>0</v>
      </c>
      <c r="I4311" t="n">
        <v>0</v>
      </c>
      <c r="J4311" t="n">
        <v>0</v>
      </c>
      <c r="K4311" t="n">
        <v>0</v>
      </c>
      <c r="L4311" t="n">
        <v>0</v>
      </c>
      <c r="M4311" t="n">
        <v>0</v>
      </c>
      <c r="N4311" t="n">
        <v>0</v>
      </c>
      <c r="O4311" t="n">
        <v>0</v>
      </c>
      <c r="P4311" t="n">
        <v>0</v>
      </c>
      <c r="Q4311" t="n">
        <v>0</v>
      </c>
      <c r="R4311" s="2" t="inlineStr"/>
    </row>
    <row r="4312" ht="15" customHeight="1">
      <c r="A4312" t="inlineStr">
        <is>
          <t>A 55920-2021</t>
        </is>
      </c>
      <c r="B4312" s="1" t="n">
        <v>44476</v>
      </c>
      <c r="C4312" s="1" t="n">
        <v>45182</v>
      </c>
      <c r="D4312" t="inlineStr">
        <is>
          <t>JÄMTLANDS LÄN</t>
        </is>
      </c>
      <c r="E4312" t="inlineStr">
        <is>
          <t>STRÖMSUND</t>
        </is>
      </c>
      <c r="F4312" t="inlineStr">
        <is>
          <t>SCA</t>
        </is>
      </c>
      <c r="G4312" t="n">
        <v>6.1</v>
      </c>
      <c r="H4312" t="n">
        <v>0</v>
      </c>
      <c r="I4312" t="n">
        <v>0</v>
      </c>
      <c r="J4312" t="n">
        <v>0</v>
      </c>
      <c r="K4312" t="n">
        <v>0</v>
      </c>
      <c r="L4312" t="n">
        <v>0</v>
      </c>
      <c r="M4312" t="n">
        <v>0</v>
      </c>
      <c r="N4312" t="n">
        <v>0</v>
      </c>
      <c r="O4312" t="n">
        <v>0</v>
      </c>
      <c r="P4312" t="n">
        <v>0</v>
      </c>
      <c r="Q4312" t="n">
        <v>0</v>
      </c>
      <c r="R4312" s="2" t="inlineStr"/>
    </row>
    <row r="4313" ht="15" customHeight="1">
      <c r="A4313" t="inlineStr">
        <is>
          <t>A 55927-2021</t>
        </is>
      </c>
      <c r="B4313" s="1" t="n">
        <v>44476</v>
      </c>
      <c r="C4313" s="1" t="n">
        <v>45182</v>
      </c>
      <c r="D4313" t="inlineStr">
        <is>
          <t>JÄMTLANDS LÄN</t>
        </is>
      </c>
      <c r="E4313" t="inlineStr">
        <is>
          <t>STRÖMSUND</t>
        </is>
      </c>
      <c r="F4313" t="inlineStr">
        <is>
          <t>SCA</t>
        </is>
      </c>
      <c r="G4313" t="n">
        <v>16.9</v>
      </c>
      <c r="H4313" t="n">
        <v>0</v>
      </c>
      <c r="I4313" t="n">
        <v>0</v>
      </c>
      <c r="J4313" t="n">
        <v>0</v>
      </c>
      <c r="K4313" t="n">
        <v>0</v>
      </c>
      <c r="L4313" t="n">
        <v>0</v>
      </c>
      <c r="M4313" t="n">
        <v>0</v>
      </c>
      <c r="N4313" t="n">
        <v>0</v>
      </c>
      <c r="O4313" t="n">
        <v>0</v>
      </c>
      <c r="P4313" t="n">
        <v>0</v>
      </c>
      <c r="Q4313" t="n">
        <v>0</v>
      </c>
      <c r="R4313" s="2" t="inlineStr"/>
    </row>
    <row r="4314" ht="15" customHeight="1">
      <c r="A4314" t="inlineStr">
        <is>
          <t>A 55939-2021</t>
        </is>
      </c>
      <c r="B4314" s="1" t="n">
        <v>44476</v>
      </c>
      <c r="C4314" s="1" t="n">
        <v>45182</v>
      </c>
      <c r="D4314" t="inlineStr">
        <is>
          <t>JÄMTLANDS LÄN</t>
        </is>
      </c>
      <c r="E4314" t="inlineStr">
        <is>
          <t>STRÖMSUND</t>
        </is>
      </c>
      <c r="F4314" t="inlineStr">
        <is>
          <t>SCA</t>
        </is>
      </c>
      <c r="G4314" t="n">
        <v>19.3</v>
      </c>
      <c r="H4314" t="n">
        <v>0</v>
      </c>
      <c r="I4314" t="n">
        <v>0</v>
      </c>
      <c r="J4314" t="n">
        <v>0</v>
      </c>
      <c r="K4314" t="n">
        <v>0</v>
      </c>
      <c r="L4314" t="n">
        <v>0</v>
      </c>
      <c r="M4314" t="n">
        <v>0</v>
      </c>
      <c r="N4314" t="n">
        <v>0</v>
      </c>
      <c r="O4314" t="n">
        <v>0</v>
      </c>
      <c r="P4314" t="n">
        <v>0</v>
      </c>
      <c r="Q4314" t="n">
        <v>0</v>
      </c>
      <c r="R4314" s="2" t="inlineStr"/>
    </row>
    <row r="4315" ht="15" customHeight="1">
      <c r="A4315" t="inlineStr">
        <is>
          <t>A 56220-2021</t>
        </is>
      </c>
      <c r="B4315" s="1" t="n">
        <v>44477</v>
      </c>
      <c r="C4315" s="1" t="n">
        <v>45182</v>
      </c>
      <c r="D4315" t="inlineStr">
        <is>
          <t>JÄMTLANDS LÄN</t>
        </is>
      </c>
      <c r="E4315" t="inlineStr">
        <is>
          <t>BERG</t>
        </is>
      </c>
      <c r="F4315" t="inlineStr">
        <is>
          <t>SCA</t>
        </is>
      </c>
      <c r="G4315" t="n">
        <v>12.8</v>
      </c>
      <c r="H4315" t="n">
        <v>0</v>
      </c>
      <c r="I4315" t="n">
        <v>0</v>
      </c>
      <c r="J4315" t="n">
        <v>0</v>
      </c>
      <c r="K4315" t="n">
        <v>0</v>
      </c>
      <c r="L4315" t="n">
        <v>0</v>
      </c>
      <c r="M4315" t="n">
        <v>0</v>
      </c>
      <c r="N4315" t="n">
        <v>0</v>
      </c>
      <c r="O4315" t="n">
        <v>0</v>
      </c>
      <c r="P4315" t="n">
        <v>0</v>
      </c>
      <c r="Q4315" t="n">
        <v>0</v>
      </c>
      <c r="R4315" s="2" t="inlineStr"/>
    </row>
    <row r="4316" ht="15" customHeight="1">
      <c r="A4316" t="inlineStr">
        <is>
          <t>A 56203-2021</t>
        </is>
      </c>
      <c r="B4316" s="1" t="n">
        <v>44477</v>
      </c>
      <c r="C4316" s="1" t="n">
        <v>45182</v>
      </c>
      <c r="D4316" t="inlineStr">
        <is>
          <t>JÄMTLANDS LÄN</t>
        </is>
      </c>
      <c r="E4316" t="inlineStr">
        <is>
          <t>BERG</t>
        </is>
      </c>
      <c r="F4316" t="inlineStr">
        <is>
          <t>SCA</t>
        </is>
      </c>
      <c r="G4316" t="n">
        <v>3.4</v>
      </c>
      <c r="H4316" t="n">
        <v>0</v>
      </c>
      <c r="I4316" t="n">
        <v>0</v>
      </c>
      <c r="J4316" t="n">
        <v>0</v>
      </c>
      <c r="K4316" t="n">
        <v>0</v>
      </c>
      <c r="L4316" t="n">
        <v>0</v>
      </c>
      <c r="M4316" t="n">
        <v>0</v>
      </c>
      <c r="N4316" t="n">
        <v>0</v>
      </c>
      <c r="O4316" t="n">
        <v>0</v>
      </c>
      <c r="P4316" t="n">
        <v>0</v>
      </c>
      <c r="Q4316" t="n">
        <v>0</v>
      </c>
      <c r="R4316" s="2" t="inlineStr"/>
    </row>
    <row r="4317" ht="15" customHeight="1">
      <c r="A4317" t="inlineStr">
        <is>
          <t>A 56202-2021</t>
        </is>
      </c>
      <c r="B4317" s="1" t="n">
        <v>44477</v>
      </c>
      <c r="C4317" s="1" t="n">
        <v>45182</v>
      </c>
      <c r="D4317" t="inlineStr">
        <is>
          <t>JÄMTLANDS LÄN</t>
        </is>
      </c>
      <c r="E4317" t="inlineStr">
        <is>
          <t>BERG</t>
        </is>
      </c>
      <c r="F4317" t="inlineStr">
        <is>
          <t>SCA</t>
        </is>
      </c>
      <c r="G4317" t="n">
        <v>1.1</v>
      </c>
      <c r="H4317" t="n">
        <v>0</v>
      </c>
      <c r="I4317" t="n">
        <v>0</v>
      </c>
      <c r="J4317" t="n">
        <v>0</v>
      </c>
      <c r="K4317" t="n">
        <v>0</v>
      </c>
      <c r="L4317" t="n">
        <v>0</v>
      </c>
      <c r="M4317" t="n">
        <v>0</v>
      </c>
      <c r="N4317" t="n">
        <v>0</v>
      </c>
      <c r="O4317" t="n">
        <v>0</v>
      </c>
      <c r="P4317" t="n">
        <v>0</v>
      </c>
      <c r="Q4317" t="n">
        <v>0</v>
      </c>
      <c r="R4317" s="2" t="inlineStr"/>
    </row>
    <row r="4318" ht="15" customHeight="1">
      <c r="A4318" t="inlineStr">
        <is>
          <t>A 56192-2021</t>
        </is>
      </c>
      <c r="B4318" s="1" t="n">
        <v>44477</v>
      </c>
      <c r="C4318" s="1" t="n">
        <v>45182</v>
      </c>
      <c r="D4318" t="inlineStr">
        <is>
          <t>JÄMTLANDS LÄN</t>
        </is>
      </c>
      <c r="E4318" t="inlineStr">
        <is>
          <t>ÅRE</t>
        </is>
      </c>
      <c r="F4318" t="inlineStr">
        <is>
          <t>Övriga Aktiebolag</t>
        </is>
      </c>
      <c r="G4318" t="n">
        <v>21.5</v>
      </c>
      <c r="H4318" t="n">
        <v>0</v>
      </c>
      <c r="I4318" t="n">
        <v>0</v>
      </c>
      <c r="J4318" t="n">
        <v>0</v>
      </c>
      <c r="K4318" t="n">
        <v>0</v>
      </c>
      <c r="L4318" t="n">
        <v>0</v>
      </c>
      <c r="M4318" t="n">
        <v>0</v>
      </c>
      <c r="N4318" t="n">
        <v>0</v>
      </c>
      <c r="O4318" t="n">
        <v>0</v>
      </c>
      <c r="P4318" t="n">
        <v>0</v>
      </c>
      <c r="Q4318" t="n">
        <v>0</v>
      </c>
      <c r="R4318" s="2" t="inlineStr"/>
    </row>
    <row r="4319" ht="15" customHeight="1">
      <c r="A4319" t="inlineStr">
        <is>
          <t>A 56208-2021</t>
        </is>
      </c>
      <c r="B4319" s="1" t="n">
        <v>44477</v>
      </c>
      <c r="C4319" s="1" t="n">
        <v>45182</v>
      </c>
      <c r="D4319" t="inlineStr">
        <is>
          <t>JÄMTLANDS LÄN</t>
        </is>
      </c>
      <c r="E4319" t="inlineStr">
        <is>
          <t>STRÖMSUND</t>
        </is>
      </c>
      <c r="F4319" t="inlineStr">
        <is>
          <t>SCA</t>
        </is>
      </c>
      <c r="G4319" t="n">
        <v>23.9</v>
      </c>
      <c r="H4319" t="n">
        <v>0</v>
      </c>
      <c r="I4319" t="n">
        <v>0</v>
      </c>
      <c r="J4319" t="n">
        <v>0</v>
      </c>
      <c r="K4319" t="n">
        <v>0</v>
      </c>
      <c r="L4319" t="n">
        <v>0</v>
      </c>
      <c r="M4319" t="n">
        <v>0</v>
      </c>
      <c r="N4319" t="n">
        <v>0</v>
      </c>
      <c r="O4319" t="n">
        <v>0</v>
      </c>
      <c r="P4319" t="n">
        <v>0</v>
      </c>
      <c r="Q4319" t="n">
        <v>0</v>
      </c>
      <c r="R4319" s="2" t="inlineStr"/>
    </row>
    <row r="4320" ht="15" customHeight="1">
      <c r="A4320" t="inlineStr">
        <is>
          <t>A 56221-2021</t>
        </is>
      </c>
      <c r="B4320" s="1" t="n">
        <v>44477</v>
      </c>
      <c r="C4320" s="1" t="n">
        <v>45182</v>
      </c>
      <c r="D4320" t="inlineStr">
        <is>
          <t>JÄMTLANDS LÄN</t>
        </is>
      </c>
      <c r="E4320" t="inlineStr">
        <is>
          <t>BRÄCKE</t>
        </is>
      </c>
      <c r="F4320" t="inlineStr">
        <is>
          <t>SCA</t>
        </is>
      </c>
      <c r="G4320" t="n">
        <v>1.2</v>
      </c>
      <c r="H4320" t="n">
        <v>0</v>
      </c>
      <c r="I4320" t="n">
        <v>0</v>
      </c>
      <c r="J4320" t="n">
        <v>0</v>
      </c>
      <c r="K4320" t="n">
        <v>0</v>
      </c>
      <c r="L4320" t="n">
        <v>0</v>
      </c>
      <c r="M4320" t="n">
        <v>0</v>
      </c>
      <c r="N4320" t="n">
        <v>0</v>
      </c>
      <c r="O4320" t="n">
        <v>0</v>
      </c>
      <c r="P4320" t="n">
        <v>0</v>
      </c>
      <c r="Q4320" t="n">
        <v>0</v>
      </c>
      <c r="R4320" s="2" t="inlineStr"/>
    </row>
    <row r="4321" ht="15" customHeight="1">
      <c r="A4321" t="inlineStr">
        <is>
          <t>A 56649-2021</t>
        </is>
      </c>
      <c r="B4321" s="1" t="n">
        <v>44480</v>
      </c>
      <c r="C4321" s="1" t="n">
        <v>45182</v>
      </c>
      <c r="D4321" t="inlineStr">
        <is>
          <t>JÄMTLANDS LÄN</t>
        </is>
      </c>
      <c r="E4321" t="inlineStr">
        <is>
          <t>BRÄCKE</t>
        </is>
      </c>
      <c r="G4321" t="n">
        <v>6</v>
      </c>
      <c r="H4321" t="n">
        <v>0</v>
      </c>
      <c r="I4321" t="n">
        <v>0</v>
      </c>
      <c r="J4321" t="n">
        <v>0</v>
      </c>
      <c r="K4321" t="n">
        <v>0</v>
      </c>
      <c r="L4321" t="n">
        <v>0</v>
      </c>
      <c r="M4321" t="n">
        <v>0</v>
      </c>
      <c r="N4321" t="n">
        <v>0</v>
      </c>
      <c r="O4321" t="n">
        <v>0</v>
      </c>
      <c r="P4321" t="n">
        <v>0</v>
      </c>
      <c r="Q4321" t="n">
        <v>0</v>
      </c>
      <c r="R4321" s="2" t="inlineStr"/>
    </row>
    <row r="4322" ht="15" customHeight="1">
      <c r="A4322" t="inlineStr">
        <is>
          <t>A 56639-2021</t>
        </is>
      </c>
      <c r="B4322" s="1" t="n">
        <v>44480</v>
      </c>
      <c r="C4322" s="1" t="n">
        <v>45182</v>
      </c>
      <c r="D4322" t="inlineStr">
        <is>
          <t>JÄMTLANDS LÄN</t>
        </is>
      </c>
      <c r="E4322" t="inlineStr">
        <is>
          <t>BRÄCKE</t>
        </is>
      </c>
      <c r="G4322" t="n">
        <v>1.3</v>
      </c>
      <c r="H4322" t="n">
        <v>0</v>
      </c>
      <c r="I4322" t="n">
        <v>0</v>
      </c>
      <c r="J4322" t="n">
        <v>0</v>
      </c>
      <c r="K4322" t="n">
        <v>0</v>
      </c>
      <c r="L4322" t="n">
        <v>0</v>
      </c>
      <c r="M4322" t="n">
        <v>0</v>
      </c>
      <c r="N4322" t="n">
        <v>0</v>
      </c>
      <c r="O4322" t="n">
        <v>0</v>
      </c>
      <c r="P4322" t="n">
        <v>0</v>
      </c>
      <c r="Q4322" t="n">
        <v>0</v>
      </c>
      <c r="R4322" s="2" t="inlineStr"/>
    </row>
    <row r="4323" ht="15" customHeight="1">
      <c r="A4323" t="inlineStr">
        <is>
          <t>A 56594-2021</t>
        </is>
      </c>
      <c r="B4323" s="1" t="n">
        <v>44480</v>
      </c>
      <c r="C4323" s="1" t="n">
        <v>45182</v>
      </c>
      <c r="D4323" t="inlineStr">
        <is>
          <t>JÄMTLANDS LÄN</t>
        </is>
      </c>
      <c r="E4323" t="inlineStr">
        <is>
          <t>RAGUNDA</t>
        </is>
      </c>
      <c r="G4323" t="n">
        <v>5.4</v>
      </c>
      <c r="H4323" t="n">
        <v>0</v>
      </c>
      <c r="I4323" t="n">
        <v>0</v>
      </c>
      <c r="J4323" t="n">
        <v>0</v>
      </c>
      <c r="K4323" t="n">
        <v>0</v>
      </c>
      <c r="L4323" t="n">
        <v>0</v>
      </c>
      <c r="M4323" t="n">
        <v>0</v>
      </c>
      <c r="N4323" t="n">
        <v>0</v>
      </c>
      <c r="O4323" t="n">
        <v>0</v>
      </c>
      <c r="P4323" t="n">
        <v>0</v>
      </c>
      <c r="Q4323" t="n">
        <v>0</v>
      </c>
      <c r="R4323" s="2" t="inlineStr"/>
    </row>
    <row r="4324" ht="15" customHeight="1">
      <c r="A4324" t="inlineStr">
        <is>
          <t>A 56655-2021</t>
        </is>
      </c>
      <c r="B4324" s="1" t="n">
        <v>44480</v>
      </c>
      <c r="C4324" s="1" t="n">
        <v>45182</v>
      </c>
      <c r="D4324" t="inlineStr">
        <is>
          <t>JÄMTLANDS LÄN</t>
        </is>
      </c>
      <c r="E4324" t="inlineStr">
        <is>
          <t>STRÖMSUND</t>
        </is>
      </c>
      <c r="F4324" t="inlineStr">
        <is>
          <t>SCA</t>
        </is>
      </c>
      <c r="G4324" t="n">
        <v>6.4</v>
      </c>
      <c r="H4324" t="n">
        <v>0</v>
      </c>
      <c r="I4324" t="n">
        <v>0</v>
      </c>
      <c r="J4324" t="n">
        <v>0</v>
      </c>
      <c r="K4324" t="n">
        <v>0</v>
      </c>
      <c r="L4324" t="n">
        <v>0</v>
      </c>
      <c r="M4324" t="n">
        <v>0</v>
      </c>
      <c r="N4324" t="n">
        <v>0</v>
      </c>
      <c r="O4324" t="n">
        <v>0</v>
      </c>
      <c r="P4324" t="n">
        <v>0</v>
      </c>
      <c r="Q4324" t="n">
        <v>0</v>
      </c>
      <c r="R4324" s="2" t="inlineStr"/>
    </row>
    <row r="4325" ht="15" customHeight="1">
      <c r="A4325" t="inlineStr">
        <is>
          <t>A 56577-2021</t>
        </is>
      </c>
      <c r="B4325" s="1" t="n">
        <v>44480</v>
      </c>
      <c r="C4325" s="1" t="n">
        <v>45182</v>
      </c>
      <c r="D4325" t="inlineStr">
        <is>
          <t>JÄMTLANDS LÄN</t>
        </is>
      </c>
      <c r="E4325" t="inlineStr">
        <is>
          <t>KROKOM</t>
        </is>
      </c>
      <c r="F4325" t="inlineStr">
        <is>
          <t>Kyrkan</t>
        </is>
      </c>
      <c r="G4325" t="n">
        <v>13.8</v>
      </c>
      <c r="H4325" t="n">
        <v>0</v>
      </c>
      <c r="I4325" t="n">
        <v>0</v>
      </c>
      <c r="J4325" t="n">
        <v>0</v>
      </c>
      <c r="K4325" t="n">
        <v>0</v>
      </c>
      <c r="L4325" t="n">
        <v>0</v>
      </c>
      <c r="M4325" t="n">
        <v>0</v>
      </c>
      <c r="N4325" t="n">
        <v>0</v>
      </c>
      <c r="O4325" t="n">
        <v>0</v>
      </c>
      <c r="P4325" t="n">
        <v>0</v>
      </c>
      <c r="Q4325" t="n">
        <v>0</v>
      </c>
      <c r="R4325" s="2" t="inlineStr"/>
    </row>
    <row r="4326" ht="15" customHeight="1">
      <c r="A4326" t="inlineStr">
        <is>
          <t>A 56640-2021</t>
        </is>
      </c>
      <c r="B4326" s="1" t="n">
        <v>44480</v>
      </c>
      <c r="C4326" s="1" t="n">
        <v>45182</v>
      </c>
      <c r="D4326" t="inlineStr">
        <is>
          <t>JÄMTLANDS LÄN</t>
        </is>
      </c>
      <c r="E4326" t="inlineStr">
        <is>
          <t>BRÄCKE</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56654-2021</t>
        </is>
      </c>
      <c r="B4327" s="1" t="n">
        <v>44480</v>
      </c>
      <c r="C4327" s="1" t="n">
        <v>45182</v>
      </c>
      <c r="D4327" t="inlineStr">
        <is>
          <t>JÄMTLANDS LÄN</t>
        </is>
      </c>
      <c r="E4327" t="inlineStr">
        <is>
          <t>STRÖMSUND</t>
        </is>
      </c>
      <c r="F4327" t="inlineStr">
        <is>
          <t>SCA</t>
        </is>
      </c>
      <c r="G4327" t="n">
        <v>2.7</v>
      </c>
      <c r="H4327" t="n">
        <v>0</v>
      </c>
      <c r="I4327" t="n">
        <v>0</v>
      </c>
      <c r="J4327" t="n">
        <v>0</v>
      </c>
      <c r="K4327" t="n">
        <v>0</v>
      </c>
      <c r="L4327" t="n">
        <v>0</v>
      </c>
      <c r="M4327" t="n">
        <v>0</v>
      </c>
      <c r="N4327" t="n">
        <v>0</v>
      </c>
      <c r="O4327" t="n">
        <v>0</v>
      </c>
      <c r="P4327" t="n">
        <v>0</v>
      </c>
      <c r="Q4327" t="n">
        <v>0</v>
      </c>
      <c r="R4327" s="2" t="inlineStr"/>
    </row>
    <row r="4328" ht="15" customHeight="1">
      <c r="A4328" t="inlineStr">
        <is>
          <t>A 57150-2021</t>
        </is>
      </c>
      <c r="B4328" s="1" t="n">
        <v>44482</v>
      </c>
      <c r="C4328" s="1" t="n">
        <v>45182</v>
      </c>
      <c r="D4328" t="inlineStr">
        <is>
          <t>JÄMTLANDS LÄN</t>
        </is>
      </c>
      <c r="E4328" t="inlineStr">
        <is>
          <t>ÅRE</t>
        </is>
      </c>
      <c r="G4328" t="n">
        <v>1.3</v>
      </c>
      <c r="H4328" t="n">
        <v>0</v>
      </c>
      <c r="I4328" t="n">
        <v>0</v>
      </c>
      <c r="J4328" t="n">
        <v>0</v>
      </c>
      <c r="K4328" t="n">
        <v>0</v>
      </c>
      <c r="L4328" t="n">
        <v>0</v>
      </c>
      <c r="M4328" t="n">
        <v>0</v>
      </c>
      <c r="N4328" t="n">
        <v>0</v>
      </c>
      <c r="O4328" t="n">
        <v>0</v>
      </c>
      <c r="P4328" t="n">
        <v>0</v>
      </c>
      <c r="Q4328" t="n">
        <v>0</v>
      </c>
      <c r="R4328" s="2" t="inlineStr"/>
    </row>
    <row r="4329" ht="15" customHeight="1">
      <c r="A4329" t="inlineStr">
        <is>
          <t>A 57158-2021</t>
        </is>
      </c>
      <c r="B4329" s="1" t="n">
        <v>44482</v>
      </c>
      <c r="C4329" s="1" t="n">
        <v>45182</v>
      </c>
      <c r="D4329" t="inlineStr">
        <is>
          <t>JÄMTLANDS LÄN</t>
        </is>
      </c>
      <c r="E4329" t="inlineStr">
        <is>
          <t>ÅRE</t>
        </is>
      </c>
      <c r="G4329" t="n">
        <v>0.4</v>
      </c>
      <c r="H4329" t="n">
        <v>0</v>
      </c>
      <c r="I4329" t="n">
        <v>0</v>
      </c>
      <c r="J4329" t="n">
        <v>0</v>
      </c>
      <c r="K4329" t="n">
        <v>0</v>
      </c>
      <c r="L4329" t="n">
        <v>0</v>
      </c>
      <c r="M4329" t="n">
        <v>0</v>
      </c>
      <c r="N4329" t="n">
        <v>0</v>
      </c>
      <c r="O4329" t="n">
        <v>0</v>
      </c>
      <c r="P4329" t="n">
        <v>0</v>
      </c>
      <c r="Q4329" t="n">
        <v>0</v>
      </c>
      <c r="R4329" s="2" t="inlineStr"/>
    </row>
    <row r="4330" ht="15" customHeight="1">
      <c r="A4330" t="inlineStr">
        <is>
          <t>A 57381-2021</t>
        </is>
      </c>
      <c r="B4330" s="1" t="n">
        <v>44483</v>
      </c>
      <c r="C4330" s="1" t="n">
        <v>45182</v>
      </c>
      <c r="D4330" t="inlineStr">
        <is>
          <t>JÄMTLANDS LÄN</t>
        </is>
      </c>
      <c r="E4330" t="inlineStr">
        <is>
          <t>HÄRJEDALEN</t>
        </is>
      </c>
      <c r="G4330" t="n">
        <v>17.9</v>
      </c>
      <c r="H4330" t="n">
        <v>0</v>
      </c>
      <c r="I4330" t="n">
        <v>0</v>
      </c>
      <c r="J4330" t="n">
        <v>0</v>
      </c>
      <c r="K4330" t="n">
        <v>0</v>
      </c>
      <c r="L4330" t="n">
        <v>0</v>
      </c>
      <c r="M4330" t="n">
        <v>0</v>
      </c>
      <c r="N4330" t="n">
        <v>0</v>
      </c>
      <c r="O4330" t="n">
        <v>0</v>
      </c>
      <c r="P4330" t="n">
        <v>0</v>
      </c>
      <c r="Q4330" t="n">
        <v>0</v>
      </c>
      <c r="R4330" s="2" t="inlineStr"/>
    </row>
    <row r="4331" ht="15" customHeight="1">
      <c r="A4331" t="inlineStr">
        <is>
          <t>A 57373-2021</t>
        </is>
      </c>
      <c r="B4331" s="1" t="n">
        <v>44483</v>
      </c>
      <c r="C4331" s="1" t="n">
        <v>45182</v>
      </c>
      <c r="D4331" t="inlineStr">
        <is>
          <t>JÄMTLANDS LÄN</t>
        </is>
      </c>
      <c r="E4331" t="inlineStr">
        <is>
          <t>HÄRJEDALEN</t>
        </is>
      </c>
      <c r="G4331" t="n">
        <v>10.8</v>
      </c>
      <c r="H4331" t="n">
        <v>0</v>
      </c>
      <c r="I4331" t="n">
        <v>0</v>
      </c>
      <c r="J4331" t="n">
        <v>0</v>
      </c>
      <c r="K4331" t="n">
        <v>0</v>
      </c>
      <c r="L4331" t="n">
        <v>0</v>
      </c>
      <c r="M4331" t="n">
        <v>0</v>
      </c>
      <c r="N4331" t="n">
        <v>0</v>
      </c>
      <c r="O4331" t="n">
        <v>0</v>
      </c>
      <c r="P4331" t="n">
        <v>0</v>
      </c>
      <c r="Q4331" t="n">
        <v>0</v>
      </c>
      <c r="R4331" s="2" t="inlineStr"/>
    </row>
    <row r="4332" ht="15" customHeight="1">
      <c r="A4332" t="inlineStr">
        <is>
          <t>A 57560-2021</t>
        </is>
      </c>
      <c r="B4332" s="1" t="n">
        <v>44483</v>
      </c>
      <c r="C4332" s="1" t="n">
        <v>45182</v>
      </c>
      <c r="D4332" t="inlineStr">
        <is>
          <t>JÄMTLANDS LÄN</t>
        </is>
      </c>
      <c r="E4332" t="inlineStr">
        <is>
          <t>STRÖMSUND</t>
        </is>
      </c>
      <c r="F4332" t="inlineStr">
        <is>
          <t>SCA</t>
        </is>
      </c>
      <c r="G4332" t="n">
        <v>1.7</v>
      </c>
      <c r="H4332" t="n">
        <v>0</v>
      </c>
      <c r="I4332" t="n">
        <v>0</v>
      </c>
      <c r="J4332" t="n">
        <v>0</v>
      </c>
      <c r="K4332" t="n">
        <v>0</v>
      </c>
      <c r="L4332" t="n">
        <v>0</v>
      </c>
      <c r="M4332" t="n">
        <v>0</v>
      </c>
      <c r="N4332" t="n">
        <v>0</v>
      </c>
      <c r="O4332" t="n">
        <v>0</v>
      </c>
      <c r="P4332" t="n">
        <v>0</v>
      </c>
      <c r="Q4332" t="n">
        <v>0</v>
      </c>
      <c r="R4332" s="2" t="inlineStr"/>
    </row>
    <row r="4333" ht="15" customHeight="1">
      <c r="A4333" t="inlineStr">
        <is>
          <t>A 57710-2021</t>
        </is>
      </c>
      <c r="B4333" s="1" t="n">
        <v>44484</v>
      </c>
      <c r="C4333" s="1" t="n">
        <v>45182</v>
      </c>
      <c r="D4333" t="inlineStr">
        <is>
          <t>JÄMTLANDS LÄN</t>
        </is>
      </c>
      <c r="E4333" t="inlineStr">
        <is>
          <t>ÅRE</t>
        </is>
      </c>
      <c r="G4333" t="n">
        <v>12</v>
      </c>
      <c r="H4333" t="n">
        <v>0</v>
      </c>
      <c r="I4333" t="n">
        <v>0</v>
      </c>
      <c r="J4333" t="n">
        <v>0</v>
      </c>
      <c r="K4333" t="n">
        <v>0</v>
      </c>
      <c r="L4333" t="n">
        <v>0</v>
      </c>
      <c r="M4333" t="n">
        <v>0</v>
      </c>
      <c r="N4333" t="n">
        <v>0</v>
      </c>
      <c r="O4333" t="n">
        <v>0</v>
      </c>
      <c r="P4333" t="n">
        <v>0</v>
      </c>
      <c r="Q4333" t="n">
        <v>0</v>
      </c>
      <c r="R4333" s="2" t="inlineStr"/>
    </row>
    <row r="4334" ht="15" customHeight="1">
      <c r="A4334" t="inlineStr">
        <is>
          <t>A 58039-2021</t>
        </is>
      </c>
      <c r="B4334" s="1" t="n">
        <v>44487</v>
      </c>
      <c r="C4334" s="1" t="n">
        <v>45182</v>
      </c>
      <c r="D4334" t="inlineStr">
        <is>
          <t>JÄMTLANDS LÄN</t>
        </is>
      </c>
      <c r="E4334" t="inlineStr">
        <is>
          <t>BRÄCKE</t>
        </is>
      </c>
      <c r="G4334" t="n">
        <v>7.4</v>
      </c>
      <c r="H4334" t="n">
        <v>0</v>
      </c>
      <c r="I4334" t="n">
        <v>0</v>
      </c>
      <c r="J4334" t="n">
        <v>0</v>
      </c>
      <c r="K4334" t="n">
        <v>0</v>
      </c>
      <c r="L4334" t="n">
        <v>0</v>
      </c>
      <c r="M4334" t="n">
        <v>0</v>
      </c>
      <c r="N4334" t="n">
        <v>0</v>
      </c>
      <c r="O4334" t="n">
        <v>0</v>
      </c>
      <c r="P4334" t="n">
        <v>0</v>
      </c>
      <c r="Q4334" t="n">
        <v>0</v>
      </c>
      <c r="R4334" s="2" t="inlineStr"/>
    </row>
    <row r="4335" ht="15" customHeight="1">
      <c r="A4335" t="inlineStr">
        <is>
          <t>A 58228-2021</t>
        </is>
      </c>
      <c r="B4335" s="1" t="n">
        <v>44487</v>
      </c>
      <c r="C4335" s="1" t="n">
        <v>45182</v>
      </c>
      <c r="D4335" t="inlineStr">
        <is>
          <t>JÄMTLANDS LÄN</t>
        </is>
      </c>
      <c r="E4335" t="inlineStr">
        <is>
          <t>ÅRE</t>
        </is>
      </c>
      <c r="G4335" t="n">
        <v>46.2</v>
      </c>
      <c r="H4335" t="n">
        <v>0</v>
      </c>
      <c r="I4335" t="n">
        <v>0</v>
      </c>
      <c r="J4335" t="n">
        <v>0</v>
      </c>
      <c r="K4335" t="n">
        <v>0</v>
      </c>
      <c r="L4335" t="n">
        <v>0</v>
      </c>
      <c r="M4335" t="n">
        <v>0</v>
      </c>
      <c r="N4335" t="n">
        <v>0</v>
      </c>
      <c r="O4335" t="n">
        <v>0</v>
      </c>
      <c r="P4335" t="n">
        <v>0</v>
      </c>
      <c r="Q4335" t="n">
        <v>0</v>
      </c>
      <c r="R4335" s="2" t="inlineStr"/>
    </row>
    <row r="4336" ht="15" customHeight="1">
      <c r="A4336" t="inlineStr">
        <is>
          <t>A 58269-2021</t>
        </is>
      </c>
      <c r="B4336" s="1" t="n">
        <v>44487</v>
      </c>
      <c r="C4336" s="1" t="n">
        <v>45182</v>
      </c>
      <c r="D4336" t="inlineStr">
        <is>
          <t>JÄMTLANDS LÄN</t>
        </is>
      </c>
      <c r="E4336" t="inlineStr">
        <is>
          <t>BRÄCKE</t>
        </is>
      </c>
      <c r="F4336" t="inlineStr">
        <is>
          <t>SCA</t>
        </is>
      </c>
      <c r="G4336" t="n">
        <v>1.3</v>
      </c>
      <c r="H4336" t="n">
        <v>0</v>
      </c>
      <c r="I4336" t="n">
        <v>0</v>
      </c>
      <c r="J4336" t="n">
        <v>0</v>
      </c>
      <c r="K4336" t="n">
        <v>0</v>
      </c>
      <c r="L4336" t="n">
        <v>0</v>
      </c>
      <c r="M4336" t="n">
        <v>0</v>
      </c>
      <c r="N4336" t="n">
        <v>0</v>
      </c>
      <c r="O4336" t="n">
        <v>0</v>
      </c>
      <c r="P4336" t="n">
        <v>0</v>
      </c>
      <c r="Q4336" t="n">
        <v>0</v>
      </c>
      <c r="R4336" s="2" t="inlineStr"/>
    </row>
    <row r="4337" ht="15" customHeight="1">
      <c r="A4337" t="inlineStr">
        <is>
          <t>A 58311-2021</t>
        </is>
      </c>
      <c r="B4337" s="1" t="n">
        <v>44487</v>
      </c>
      <c r="C4337" s="1" t="n">
        <v>45182</v>
      </c>
      <c r="D4337" t="inlineStr">
        <is>
          <t>JÄMTLANDS LÄN</t>
        </is>
      </c>
      <c r="E4337" t="inlineStr">
        <is>
          <t>BRÄCKE</t>
        </is>
      </c>
      <c r="G4337" t="n">
        <v>9.1</v>
      </c>
      <c r="H4337" t="n">
        <v>0</v>
      </c>
      <c r="I4337" t="n">
        <v>0</v>
      </c>
      <c r="J4337" t="n">
        <v>0</v>
      </c>
      <c r="K4337" t="n">
        <v>0</v>
      </c>
      <c r="L4337" t="n">
        <v>0</v>
      </c>
      <c r="M4337" t="n">
        <v>0</v>
      </c>
      <c r="N4337" t="n">
        <v>0</v>
      </c>
      <c r="O4337" t="n">
        <v>0</v>
      </c>
      <c r="P4337" t="n">
        <v>0</v>
      </c>
      <c r="Q4337" t="n">
        <v>0</v>
      </c>
      <c r="R4337" s="2" t="inlineStr"/>
    </row>
    <row r="4338" ht="15" customHeight="1">
      <c r="A4338" t="inlineStr">
        <is>
          <t>A 58230-2021</t>
        </is>
      </c>
      <c r="B4338" s="1" t="n">
        <v>44487</v>
      </c>
      <c r="C4338" s="1" t="n">
        <v>45182</v>
      </c>
      <c r="D4338" t="inlineStr">
        <is>
          <t>JÄMTLANDS LÄN</t>
        </is>
      </c>
      <c r="E4338" t="inlineStr">
        <is>
          <t>ÅRE</t>
        </is>
      </c>
      <c r="G4338" t="n">
        <v>19.3</v>
      </c>
      <c r="H4338" t="n">
        <v>0</v>
      </c>
      <c r="I4338" t="n">
        <v>0</v>
      </c>
      <c r="J4338" t="n">
        <v>0</v>
      </c>
      <c r="K4338" t="n">
        <v>0</v>
      </c>
      <c r="L4338" t="n">
        <v>0</v>
      </c>
      <c r="M4338" t="n">
        <v>0</v>
      </c>
      <c r="N4338" t="n">
        <v>0</v>
      </c>
      <c r="O4338" t="n">
        <v>0</v>
      </c>
      <c r="P4338" t="n">
        <v>0</v>
      </c>
      <c r="Q4338" t="n">
        <v>0</v>
      </c>
      <c r="R4338" s="2" t="inlineStr"/>
    </row>
    <row r="4339" ht="15" customHeight="1">
      <c r="A4339" t="inlineStr">
        <is>
          <t>A 58260-2021</t>
        </is>
      </c>
      <c r="B4339" s="1" t="n">
        <v>44487</v>
      </c>
      <c r="C4339" s="1" t="n">
        <v>45182</v>
      </c>
      <c r="D4339" t="inlineStr">
        <is>
          <t>JÄMTLANDS LÄN</t>
        </is>
      </c>
      <c r="E4339" t="inlineStr">
        <is>
          <t>STRÖMSUND</t>
        </is>
      </c>
      <c r="F4339" t="inlineStr">
        <is>
          <t>SCA</t>
        </is>
      </c>
      <c r="G4339" t="n">
        <v>3.5</v>
      </c>
      <c r="H4339" t="n">
        <v>0</v>
      </c>
      <c r="I4339" t="n">
        <v>0</v>
      </c>
      <c r="J4339" t="n">
        <v>0</v>
      </c>
      <c r="K4339" t="n">
        <v>0</v>
      </c>
      <c r="L4339" t="n">
        <v>0</v>
      </c>
      <c r="M4339" t="n">
        <v>0</v>
      </c>
      <c r="N4339" t="n">
        <v>0</v>
      </c>
      <c r="O4339" t="n">
        <v>0</v>
      </c>
      <c r="P4339" t="n">
        <v>0</v>
      </c>
      <c r="Q4339" t="n">
        <v>0</v>
      </c>
      <c r="R4339" s="2" t="inlineStr"/>
    </row>
    <row r="4340" ht="15" customHeight="1">
      <c r="A4340" t="inlineStr">
        <is>
          <t>A 58272-2021</t>
        </is>
      </c>
      <c r="B4340" s="1" t="n">
        <v>44487</v>
      </c>
      <c r="C4340" s="1" t="n">
        <v>45182</v>
      </c>
      <c r="D4340" t="inlineStr">
        <is>
          <t>JÄMTLANDS LÄN</t>
        </is>
      </c>
      <c r="E4340" t="inlineStr">
        <is>
          <t>BRÄCKE</t>
        </is>
      </c>
      <c r="F4340" t="inlineStr">
        <is>
          <t>SCA</t>
        </is>
      </c>
      <c r="G4340" t="n">
        <v>6.1</v>
      </c>
      <c r="H4340" t="n">
        <v>0</v>
      </c>
      <c r="I4340" t="n">
        <v>0</v>
      </c>
      <c r="J4340" t="n">
        <v>0</v>
      </c>
      <c r="K4340" t="n">
        <v>0</v>
      </c>
      <c r="L4340" t="n">
        <v>0</v>
      </c>
      <c r="M4340" t="n">
        <v>0</v>
      </c>
      <c r="N4340" t="n">
        <v>0</v>
      </c>
      <c r="O4340" t="n">
        <v>0</v>
      </c>
      <c r="P4340" t="n">
        <v>0</v>
      </c>
      <c r="Q4340" t="n">
        <v>0</v>
      </c>
      <c r="R4340" s="2" t="inlineStr"/>
    </row>
    <row r="4341" ht="15" customHeight="1">
      <c r="A4341" t="inlineStr">
        <is>
          <t>A 57949-2021</t>
        </is>
      </c>
      <c r="B4341" s="1" t="n">
        <v>44487</v>
      </c>
      <c r="C4341" s="1" t="n">
        <v>45182</v>
      </c>
      <c r="D4341" t="inlineStr">
        <is>
          <t>JÄMTLANDS LÄN</t>
        </is>
      </c>
      <c r="E4341" t="inlineStr">
        <is>
          <t>BERG</t>
        </is>
      </c>
      <c r="G4341" t="n">
        <v>9.699999999999999</v>
      </c>
      <c r="H4341" t="n">
        <v>0</v>
      </c>
      <c r="I4341" t="n">
        <v>0</v>
      </c>
      <c r="J4341" t="n">
        <v>0</v>
      </c>
      <c r="K4341" t="n">
        <v>0</v>
      </c>
      <c r="L4341" t="n">
        <v>0</v>
      </c>
      <c r="M4341" t="n">
        <v>0</v>
      </c>
      <c r="N4341" t="n">
        <v>0</v>
      </c>
      <c r="O4341" t="n">
        <v>0</v>
      </c>
      <c r="P4341" t="n">
        <v>0</v>
      </c>
      <c r="Q4341" t="n">
        <v>0</v>
      </c>
      <c r="R4341" s="2" t="inlineStr"/>
    </row>
    <row r="4342" ht="15" customHeight="1">
      <c r="A4342" t="inlineStr">
        <is>
          <t>A 58022-2021</t>
        </is>
      </c>
      <c r="B4342" s="1" t="n">
        <v>44487</v>
      </c>
      <c r="C4342" s="1" t="n">
        <v>45182</v>
      </c>
      <c r="D4342" t="inlineStr">
        <is>
          <t>JÄMTLANDS LÄN</t>
        </is>
      </c>
      <c r="E4342" t="inlineStr">
        <is>
          <t>STRÖMSUND</t>
        </is>
      </c>
      <c r="G4342" t="n">
        <v>0.4</v>
      </c>
      <c r="H4342" t="n">
        <v>0</v>
      </c>
      <c r="I4342" t="n">
        <v>0</v>
      </c>
      <c r="J4342" t="n">
        <v>0</v>
      </c>
      <c r="K4342" t="n">
        <v>0</v>
      </c>
      <c r="L4342" t="n">
        <v>0</v>
      </c>
      <c r="M4342" t="n">
        <v>0</v>
      </c>
      <c r="N4342" t="n">
        <v>0</v>
      </c>
      <c r="O4342" t="n">
        <v>0</v>
      </c>
      <c r="P4342" t="n">
        <v>0</v>
      </c>
      <c r="Q4342" t="n">
        <v>0</v>
      </c>
      <c r="R4342" s="2" t="inlineStr"/>
    </row>
    <row r="4343" ht="15" customHeight="1">
      <c r="A4343" t="inlineStr">
        <is>
          <t>A 58232-2021</t>
        </is>
      </c>
      <c r="B4343" s="1" t="n">
        <v>44487</v>
      </c>
      <c r="C4343" s="1" t="n">
        <v>45182</v>
      </c>
      <c r="D4343" t="inlineStr">
        <is>
          <t>JÄMTLANDS LÄN</t>
        </is>
      </c>
      <c r="E4343" t="inlineStr">
        <is>
          <t>ÅRE</t>
        </is>
      </c>
      <c r="G4343" t="n">
        <v>43.7</v>
      </c>
      <c r="H4343" t="n">
        <v>0</v>
      </c>
      <c r="I4343" t="n">
        <v>0</v>
      </c>
      <c r="J4343" t="n">
        <v>0</v>
      </c>
      <c r="K4343" t="n">
        <v>0</v>
      </c>
      <c r="L4343" t="n">
        <v>0</v>
      </c>
      <c r="M4343" t="n">
        <v>0</v>
      </c>
      <c r="N4343" t="n">
        <v>0</v>
      </c>
      <c r="O4343" t="n">
        <v>0</v>
      </c>
      <c r="P4343" t="n">
        <v>0</v>
      </c>
      <c r="Q4343" t="n">
        <v>0</v>
      </c>
      <c r="R4343" s="2" t="inlineStr"/>
    </row>
    <row r="4344" ht="15" customHeight="1">
      <c r="A4344" t="inlineStr">
        <is>
          <t>A 59126-2021</t>
        </is>
      </c>
      <c r="B4344" s="1" t="n">
        <v>44487</v>
      </c>
      <c r="C4344" s="1" t="n">
        <v>45182</v>
      </c>
      <c r="D4344" t="inlineStr">
        <is>
          <t>JÄMTLANDS LÄN</t>
        </is>
      </c>
      <c r="E4344" t="inlineStr">
        <is>
          <t>STRÖMSUND</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58451-2021</t>
        </is>
      </c>
      <c r="B4345" s="1" t="n">
        <v>44488</v>
      </c>
      <c r="C4345" s="1" t="n">
        <v>45182</v>
      </c>
      <c r="D4345" t="inlineStr">
        <is>
          <t>JÄMTLANDS LÄN</t>
        </is>
      </c>
      <c r="E4345" t="inlineStr">
        <is>
          <t>HÄRJEDALEN</t>
        </is>
      </c>
      <c r="F4345" t="inlineStr">
        <is>
          <t>Naturvårdsverket</t>
        </is>
      </c>
      <c r="G4345" t="n">
        <v>12</v>
      </c>
      <c r="H4345" t="n">
        <v>0</v>
      </c>
      <c r="I4345" t="n">
        <v>0</v>
      </c>
      <c r="J4345" t="n">
        <v>0</v>
      </c>
      <c r="K4345" t="n">
        <v>0</v>
      </c>
      <c r="L4345" t="n">
        <v>0</v>
      </c>
      <c r="M4345" t="n">
        <v>0</v>
      </c>
      <c r="N4345" t="n">
        <v>0</v>
      </c>
      <c r="O4345" t="n">
        <v>0</v>
      </c>
      <c r="P4345" t="n">
        <v>0</v>
      </c>
      <c r="Q4345" t="n">
        <v>0</v>
      </c>
      <c r="R4345" s="2" t="inlineStr"/>
    </row>
    <row r="4346" ht="15" customHeight="1">
      <c r="A4346" t="inlineStr">
        <is>
          <t>A 58584-2021</t>
        </is>
      </c>
      <c r="B4346" s="1" t="n">
        <v>44488</v>
      </c>
      <c r="C4346" s="1" t="n">
        <v>45182</v>
      </c>
      <c r="D4346" t="inlineStr">
        <is>
          <t>JÄMTLANDS LÄN</t>
        </is>
      </c>
      <c r="E4346" t="inlineStr">
        <is>
          <t>BRÄCKE</t>
        </is>
      </c>
      <c r="G4346" t="n">
        <v>32</v>
      </c>
      <c r="H4346" t="n">
        <v>0</v>
      </c>
      <c r="I4346" t="n">
        <v>0</v>
      </c>
      <c r="J4346" t="n">
        <v>0</v>
      </c>
      <c r="K4346" t="n">
        <v>0</v>
      </c>
      <c r="L4346" t="n">
        <v>0</v>
      </c>
      <c r="M4346" t="n">
        <v>0</v>
      </c>
      <c r="N4346" t="n">
        <v>0</v>
      </c>
      <c r="O4346" t="n">
        <v>0</v>
      </c>
      <c r="P4346" t="n">
        <v>0</v>
      </c>
      <c r="Q4346" t="n">
        <v>0</v>
      </c>
      <c r="R4346" s="2" t="inlineStr"/>
    </row>
    <row r="4347" ht="15" customHeight="1">
      <c r="A4347" t="inlineStr">
        <is>
          <t>A 58940-2021</t>
        </is>
      </c>
      <c r="B4347" s="1" t="n">
        <v>44489</v>
      </c>
      <c r="C4347" s="1" t="n">
        <v>45182</v>
      </c>
      <c r="D4347" t="inlineStr">
        <is>
          <t>JÄMTLANDS LÄN</t>
        </is>
      </c>
      <c r="E4347" t="inlineStr">
        <is>
          <t>ÅRE</t>
        </is>
      </c>
      <c r="G4347" t="n">
        <v>5.8</v>
      </c>
      <c r="H4347" t="n">
        <v>0</v>
      </c>
      <c r="I4347" t="n">
        <v>0</v>
      </c>
      <c r="J4347" t="n">
        <v>0</v>
      </c>
      <c r="K4347" t="n">
        <v>0</v>
      </c>
      <c r="L4347" t="n">
        <v>0</v>
      </c>
      <c r="M4347" t="n">
        <v>0</v>
      </c>
      <c r="N4347" t="n">
        <v>0</v>
      </c>
      <c r="O4347" t="n">
        <v>0</v>
      </c>
      <c r="P4347" t="n">
        <v>0</v>
      </c>
      <c r="Q4347" t="n">
        <v>0</v>
      </c>
      <c r="R4347" s="2" t="inlineStr"/>
    </row>
    <row r="4348" ht="15" customHeight="1">
      <c r="A4348" t="inlineStr">
        <is>
          <t>A 58973-2021</t>
        </is>
      </c>
      <c r="B4348" s="1" t="n">
        <v>44489</v>
      </c>
      <c r="C4348" s="1" t="n">
        <v>45182</v>
      </c>
      <c r="D4348" t="inlineStr">
        <is>
          <t>JÄMTLANDS LÄN</t>
        </is>
      </c>
      <c r="E4348" t="inlineStr">
        <is>
          <t>STRÖMSUND</t>
        </is>
      </c>
      <c r="F4348" t="inlineStr">
        <is>
          <t>SCA</t>
        </is>
      </c>
      <c r="G4348" t="n">
        <v>1.4</v>
      </c>
      <c r="H4348" t="n">
        <v>0</v>
      </c>
      <c r="I4348" t="n">
        <v>0</v>
      </c>
      <c r="J4348" t="n">
        <v>0</v>
      </c>
      <c r="K4348" t="n">
        <v>0</v>
      </c>
      <c r="L4348" t="n">
        <v>0</v>
      </c>
      <c r="M4348" t="n">
        <v>0</v>
      </c>
      <c r="N4348" t="n">
        <v>0</v>
      </c>
      <c r="O4348" t="n">
        <v>0</v>
      </c>
      <c r="P4348" t="n">
        <v>0</v>
      </c>
      <c r="Q4348" t="n">
        <v>0</v>
      </c>
      <c r="R4348" s="2" t="inlineStr"/>
    </row>
    <row r="4349" ht="15" customHeight="1">
      <c r="A4349" t="inlineStr">
        <is>
          <t>A 59139-2021</t>
        </is>
      </c>
      <c r="B4349" s="1" t="n">
        <v>44490</v>
      </c>
      <c r="C4349" s="1" t="n">
        <v>45182</v>
      </c>
      <c r="D4349" t="inlineStr">
        <is>
          <t>JÄMTLANDS LÄN</t>
        </is>
      </c>
      <c r="E4349" t="inlineStr">
        <is>
          <t>STRÖMSUND</t>
        </is>
      </c>
      <c r="G4349" t="n">
        <v>3.7</v>
      </c>
      <c r="H4349" t="n">
        <v>0</v>
      </c>
      <c r="I4349" t="n">
        <v>0</v>
      </c>
      <c r="J4349" t="n">
        <v>0</v>
      </c>
      <c r="K4349" t="n">
        <v>0</v>
      </c>
      <c r="L4349" t="n">
        <v>0</v>
      </c>
      <c r="M4349" t="n">
        <v>0</v>
      </c>
      <c r="N4349" t="n">
        <v>0</v>
      </c>
      <c r="O4349" t="n">
        <v>0</v>
      </c>
      <c r="P4349" t="n">
        <v>0</v>
      </c>
      <c r="Q4349" t="n">
        <v>0</v>
      </c>
      <c r="R4349" s="2" t="inlineStr"/>
    </row>
    <row r="4350" ht="15" customHeight="1">
      <c r="A4350" t="inlineStr">
        <is>
          <t>A 59023-2021</t>
        </is>
      </c>
      <c r="B4350" s="1" t="n">
        <v>44490</v>
      </c>
      <c r="C4350" s="1" t="n">
        <v>45182</v>
      </c>
      <c r="D4350" t="inlineStr">
        <is>
          <t>JÄMTLANDS LÄN</t>
        </is>
      </c>
      <c r="E4350" t="inlineStr">
        <is>
          <t>BERG</t>
        </is>
      </c>
      <c r="F4350" t="inlineStr">
        <is>
          <t>Kyrkan</t>
        </is>
      </c>
      <c r="G4350" t="n">
        <v>9.1</v>
      </c>
      <c r="H4350" t="n">
        <v>0</v>
      </c>
      <c r="I4350" t="n">
        <v>0</v>
      </c>
      <c r="J4350" t="n">
        <v>0</v>
      </c>
      <c r="K4350" t="n">
        <v>0</v>
      </c>
      <c r="L4350" t="n">
        <v>0</v>
      </c>
      <c r="M4350" t="n">
        <v>0</v>
      </c>
      <c r="N4350" t="n">
        <v>0</v>
      </c>
      <c r="O4350" t="n">
        <v>0</v>
      </c>
      <c r="P4350" t="n">
        <v>0</v>
      </c>
      <c r="Q4350" t="n">
        <v>0</v>
      </c>
      <c r="R4350" s="2" t="inlineStr"/>
    </row>
    <row r="4351" ht="15" customHeight="1">
      <c r="A4351" t="inlineStr">
        <is>
          <t>A 59352-2021</t>
        </is>
      </c>
      <c r="B4351" s="1" t="n">
        <v>44490</v>
      </c>
      <c r="C4351" s="1" t="n">
        <v>45182</v>
      </c>
      <c r="D4351" t="inlineStr">
        <is>
          <t>JÄMTLANDS LÄN</t>
        </is>
      </c>
      <c r="E4351" t="inlineStr">
        <is>
          <t>ÅRE</t>
        </is>
      </c>
      <c r="G4351" t="n">
        <v>0.4</v>
      </c>
      <c r="H4351" t="n">
        <v>0</v>
      </c>
      <c r="I4351" t="n">
        <v>0</v>
      </c>
      <c r="J4351" t="n">
        <v>0</v>
      </c>
      <c r="K4351" t="n">
        <v>0</v>
      </c>
      <c r="L4351" t="n">
        <v>0</v>
      </c>
      <c r="M4351" t="n">
        <v>0</v>
      </c>
      <c r="N4351" t="n">
        <v>0</v>
      </c>
      <c r="O4351" t="n">
        <v>0</v>
      </c>
      <c r="P4351" t="n">
        <v>0</v>
      </c>
      <c r="Q4351" t="n">
        <v>0</v>
      </c>
      <c r="R4351" s="2" t="inlineStr"/>
    </row>
    <row r="4352" ht="15" customHeight="1">
      <c r="A4352" t="inlineStr">
        <is>
          <t>A 59397-2021</t>
        </is>
      </c>
      <c r="B4352" s="1" t="n">
        <v>44491</v>
      </c>
      <c r="C4352" s="1" t="n">
        <v>45182</v>
      </c>
      <c r="D4352" t="inlineStr">
        <is>
          <t>JÄMTLANDS LÄN</t>
        </is>
      </c>
      <c r="E4352" t="inlineStr">
        <is>
          <t>ÅRE</t>
        </is>
      </c>
      <c r="F4352" t="inlineStr">
        <is>
          <t>Övriga Aktiebolag</t>
        </is>
      </c>
      <c r="G4352" t="n">
        <v>7.6</v>
      </c>
      <c r="H4352" t="n">
        <v>0</v>
      </c>
      <c r="I4352" t="n">
        <v>0</v>
      </c>
      <c r="J4352" t="n">
        <v>0</v>
      </c>
      <c r="K4352" t="n">
        <v>0</v>
      </c>
      <c r="L4352" t="n">
        <v>0</v>
      </c>
      <c r="M4352" t="n">
        <v>0</v>
      </c>
      <c r="N4352" t="n">
        <v>0</v>
      </c>
      <c r="O4352" t="n">
        <v>0</v>
      </c>
      <c r="P4352" t="n">
        <v>0</v>
      </c>
      <c r="Q4352" t="n">
        <v>0</v>
      </c>
      <c r="R4352" s="2" t="inlineStr"/>
    </row>
    <row r="4353" ht="15" customHeight="1">
      <c r="A4353" t="inlineStr">
        <is>
          <t>A 59506-2021</t>
        </is>
      </c>
      <c r="B4353" s="1" t="n">
        <v>44491</v>
      </c>
      <c r="C4353" s="1" t="n">
        <v>45182</v>
      </c>
      <c r="D4353" t="inlineStr">
        <is>
          <t>JÄMTLANDS LÄN</t>
        </is>
      </c>
      <c r="E4353" t="inlineStr">
        <is>
          <t>KROKOM</t>
        </is>
      </c>
      <c r="G4353" t="n">
        <v>6</v>
      </c>
      <c r="H4353" t="n">
        <v>0</v>
      </c>
      <c r="I4353" t="n">
        <v>0</v>
      </c>
      <c r="J4353" t="n">
        <v>0</v>
      </c>
      <c r="K4353" t="n">
        <v>0</v>
      </c>
      <c r="L4353" t="n">
        <v>0</v>
      </c>
      <c r="M4353" t="n">
        <v>0</v>
      </c>
      <c r="N4353" t="n">
        <v>0</v>
      </c>
      <c r="O4353" t="n">
        <v>0</v>
      </c>
      <c r="P4353" t="n">
        <v>0</v>
      </c>
      <c r="Q4353" t="n">
        <v>0</v>
      </c>
      <c r="R4353" s="2" t="inlineStr"/>
    </row>
    <row r="4354" ht="15" customHeight="1">
      <c r="A4354" t="inlineStr">
        <is>
          <t>A 59913-2021</t>
        </is>
      </c>
      <c r="B4354" s="1" t="n">
        <v>44494</v>
      </c>
      <c r="C4354" s="1" t="n">
        <v>45182</v>
      </c>
      <c r="D4354" t="inlineStr">
        <is>
          <t>JÄMTLANDS LÄN</t>
        </is>
      </c>
      <c r="E4354" t="inlineStr">
        <is>
          <t>KROKOM</t>
        </is>
      </c>
      <c r="G4354" t="n">
        <v>0.6</v>
      </c>
      <c r="H4354" t="n">
        <v>0</v>
      </c>
      <c r="I4354" t="n">
        <v>0</v>
      </c>
      <c r="J4354" t="n">
        <v>0</v>
      </c>
      <c r="K4354" t="n">
        <v>0</v>
      </c>
      <c r="L4354" t="n">
        <v>0</v>
      </c>
      <c r="M4354" t="n">
        <v>0</v>
      </c>
      <c r="N4354" t="n">
        <v>0</v>
      </c>
      <c r="O4354" t="n">
        <v>0</v>
      </c>
      <c r="P4354" t="n">
        <v>0</v>
      </c>
      <c r="Q4354" t="n">
        <v>0</v>
      </c>
      <c r="R4354" s="2" t="inlineStr"/>
    </row>
    <row r="4355" ht="15" customHeight="1">
      <c r="A4355" t="inlineStr">
        <is>
          <t>A 59928-2021</t>
        </is>
      </c>
      <c r="B4355" s="1" t="n">
        <v>44494</v>
      </c>
      <c r="C4355" s="1" t="n">
        <v>45182</v>
      </c>
      <c r="D4355" t="inlineStr">
        <is>
          <t>JÄMTLANDS LÄN</t>
        </is>
      </c>
      <c r="E4355" t="inlineStr">
        <is>
          <t>HÄRJEDALEN</t>
        </is>
      </c>
      <c r="G4355" t="n">
        <v>28.6</v>
      </c>
      <c r="H4355" t="n">
        <v>0</v>
      </c>
      <c r="I4355" t="n">
        <v>0</v>
      </c>
      <c r="J4355" t="n">
        <v>0</v>
      </c>
      <c r="K4355" t="n">
        <v>0</v>
      </c>
      <c r="L4355" t="n">
        <v>0</v>
      </c>
      <c r="M4355" t="n">
        <v>0</v>
      </c>
      <c r="N4355" t="n">
        <v>0</v>
      </c>
      <c r="O4355" t="n">
        <v>0</v>
      </c>
      <c r="P4355" t="n">
        <v>0</v>
      </c>
      <c r="Q4355" t="n">
        <v>0</v>
      </c>
      <c r="R4355" s="2" t="inlineStr"/>
    </row>
    <row r="4356" ht="15" customHeight="1">
      <c r="A4356" t="inlineStr">
        <is>
          <t>A 60120-2021</t>
        </is>
      </c>
      <c r="B4356" s="1" t="n">
        <v>44494</v>
      </c>
      <c r="C4356" s="1" t="n">
        <v>45182</v>
      </c>
      <c r="D4356" t="inlineStr">
        <is>
          <t>JÄMTLANDS LÄN</t>
        </is>
      </c>
      <c r="E4356" t="inlineStr">
        <is>
          <t>STRÖMSUND</t>
        </is>
      </c>
      <c r="G4356" t="n">
        <v>33.9</v>
      </c>
      <c r="H4356" t="n">
        <v>0</v>
      </c>
      <c r="I4356" t="n">
        <v>0</v>
      </c>
      <c r="J4356" t="n">
        <v>0</v>
      </c>
      <c r="K4356" t="n">
        <v>0</v>
      </c>
      <c r="L4356" t="n">
        <v>0</v>
      </c>
      <c r="M4356" t="n">
        <v>0</v>
      </c>
      <c r="N4356" t="n">
        <v>0</v>
      </c>
      <c r="O4356" t="n">
        <v>0</v>
      </c>
      <c r="P4356" t="n">
        <v>0</v>
      </c>
      <c r="Q4356" t="n">
        <v>0</v>
      </c>
      <c r="R4356" s="2" t="inlineStr"/>
    </row>
    <row r="4357" ht="15" customHeight="1">
      <c r="A4357" t="inlineStr">
        <is>
          <t>A 60132-2021</t>
        </is>
      </c>
      <c r="B4357" s="1" t="n">
        <v>44495</v>
      </c>
      <c r="C4357" s="1" t="n">
        <v>45182</v>
      </c>
      <c r="D4357" t="inlineStr">
        <is>
          <t>JÄMTLANDS LÄN</t>
        </is>
      </c>
      <c r="E4357" t="inlineStr">
        <is>
          <t>ÅRE</t>
        </is>
      </c>
      <c r="G4357" t="n">
        <v>3.7</v>
      </c>
      <c r="H4357" t="n">
        <v>0</v>
      </c>
      <c r="I4357" t="n">
        <v>0</v>
      </c>
      <c r="J4357" t="n">
        <v>0</v>
      </c>
      <c r="K4357" t="n">
        <v>0</v>
      </c>
      <c r="L4357" t="n">
        <v>0</v>
      </c>
      <c r="M4357" t="n">
        <v>0</v>
      </c>
      <c r="N4357" t="n">
        <v>0</v>
      </c>
      <c r="O4357" t="n">
        <v>0</v>
      </c>
      <c r="P4357" t="n">
        <v>0</v>
      </c>
      <c r="Q4357" t="n">
        <v>0</v>
      </c>
      <c r="R4357" s="2" t="inlineStr"/>
    </row>
    <row r="4358" ht="15" customHeight="1">
      <c r="A4358" t="inlineStr">
        <is>
          <t>A 60319-2021</t>
        </is>
      </c>
      <c r="B4358" s="1" t="n">
        <v>44495</v>
      </c>
      <c r="C4358" s="1" t="n">
        <v>45182</v>
      </c>
      <c r="D4358" t="inlineStr">
        <is>
          <t>JÄMTLANDS LÄN</t>
        </is>
      </c>
      <c r="E4358" t="inlineStr">
        <is>
          <t>STRÖMSUND</t>
        </is>
      </c>
      <c r="F4358" t="inlineStr">
        <is>
          <t>SCA</t>
        </is>
      </c>
      <c r="G4358" t="n">
        <v>3.5</v>
      </c>
      <c r="H4358" t="n">
        <v>0</v>
      </c>
      <c r="I4358" t="n">
        <v>0</v>
      </c>
      <c r="J4358" t="n">
        <v>0</v>
      </c>
      <c r="K4358" t="n">
        <v>0</v>
      </c>
      <c r="L4358" t="n">
        <v>0</v>
      </c>
      <c r="M4358" t="n">
        <v>0</v>
      </c>
      <c r="N4358" t="n">
        <v>0</v>
      </c>
      <c r="O4358" t="n">
        <v>0</v>
      </c>
      <c r="P4358" t="n">
        <v>0</v>
      </c>
      <c r="Q4358" t="n">
        <v>0</v>
      </c>
      <c r="R4358" s="2" t="inlineStr"/>
    </row>
    <row r="4359" ht="15" customHeight="1">
      <c r="A4359" t="inlineStr">
        <is>
          <t>A 60351-2021</t>
        </is>
      </c>
      <c r="B4359" s="1" t="n">
        <v>44495</v>
      </c>
      <c r="C4359" s="1" t="n">
        <v>45182</v>
      </c>
      <c r="D4359" t="inlineStr">
        <is>
          <t>JÄMTLANDS LÄN</t>
        </is>
      </c>
      <c r="E4359" t="inlineStr">
        <is>
          <t>KROKOM</t>
        </is>
      </c>
      <c r="G4359" t="n">
        <v>9.300000000000001</v>
      </c>
      <c r="H4359" t="n">
        <v>0</v>
      </c>
      <c r="I4359" t="n">
        <v>0</v>
      </c>
      <c r="J4359" t="n">
        <v>0</v>
      </c>
      <c r="K4359" t="n">
        <v>0</v>
      </c>
      <c r="L4359" t="n">
        <v>0</v>
      </c>
      <c r="M4359" t="n">
        <v>0</v>
      </c>
      <c r="N4359" t="n">
        <v>0</v>
      </c>
      <c r="O4359" t="n">
        <v>0</v>
      </c>
      <c r="P4359" t="n">
        <v>0</v>
      </c>
      <c r="Q4359" t="n">
        <v>0</v>
      </c>
      <c r="R4359" s="2" t="inlineStr"/>
    </row>
    <row r="4360" ht="15" customHeight="1">
      <c r="A4360" t="inlineStr">
        <is>
          <t>A 60122-2021</t>
        </is>
      </c>
      <c r="B4360" s="1" t="n">
        <v>44495</v>
      </c>
      <c r="C4360" s="1" t="n">
        <v>45182</v>
      </c>
      <c r="D4360" t="inlineStr">
        <is>
          <t>JÄMTLANDS LÄN</t>
        </is>
      </c>
      <c r="E4360" t="inlineStr">
        <is>
          <t>ÅRE</t>
        </is>
      </c>
      <c r="G4360" t="n">
        <v>46.7</v>
      </c>
      <c r="H4360" t="n">
        <v>0</v>
      </c>
      <c r="I4360" t="n">
        <v>0</v>
      </c>
      <c r="J4360" t="n">
        <v>0</v>
      </c>
      <c r="K4360" t="n">
        <v>0</v>
      </c>
      <c r="L4360" t="n">
        <v>0</v>
      </c>
      <c r="M4360" t="n">
        <v>0</v>
      </c>
      <c r="N4360" t="n">
        <v>0</v>
      </c>
      <c r="O4360" t="n">
        <v>0</v>
      </c>
      <c r="P4360" t="n">
        <v>0</v>
      </c>
      <c r="Q4360" t="n">
        <v>0</v>
      </c>
      <c r="R4360" s="2" t="inlineStr"/>
    </row>
    <row r="4361" ht="15" customHeight="1">
      <c r="A4361" t="inlineStr">
        <is>
          <t>A 60313-2021</t>
        </is>
      </c>
      <c r="B4361" s="1" t="n">
        <v>44495</v>
      </c>
      <c r="C4361" s="1" t="n">
        <v>45182</v>
      </c>
      <c r="D4361" t="inlineStr">
        <is>
          <t>JÄMTLANDS LÄN</t>
        </is>
      </c>
      <c r="E4361" t="inlineStr">
        <is>
          <t>RAGUNDA</t>
        </is>
      </c>
      <c r="F4361" t="inlineStr">
        <is>
          <t>SCA</t>
        </is>
      </c>
      <c r="G4361" t="n">
        <v>1.5</v>
      </c>
      <c r="H4361" t="n">
        <v>0</v>
      </c>
      <c r="I4361" t="n">
        <v>0</v>
      </c>
      <c r="J4361" t="n">
        <v>0</v>
      </c>
      <c r="K4361" t="n">
        <v>0</v>
      </c>
      <c r="L4361" t="n">
        <v>0</v>
      </c>
      <c r="M4361" t="n">
        <v>0</v>
      </c>
      <c r="N4361" t="n">
        <v>0</v>
      </c>
      <c r="O4361" t="n">
        <v>0</v>
      </c>
      <c r="P4361" t="n">
        <v>0</v>
      </c>
      <c r="Q4361" t="n">
        <v>0</v>
      </c>
      <c r="R4361" s="2" t="inlineStr"/>
    </row>
    <row r="4362" ht="15" customHeight="1">
      <c r="A4362" t="inlineStr">
        <is>
          <t>A 60348-2021</t>
        </is>
      </c>
      <c r="B4362" s="1" t="n">
        <v>44495</v>
      </c>
      <c r="C4362" s="1" t="n">
        <v>45182</v>
      </c>
      <c r="D4362" t="inlineStr">
        <is>
          <t>JÄMTLANDS LÄN</t>
        </is>
      </c>
      <c r="E4362" t="inlineStr">
        <is>
          <t>KROKOM</t>
        </is>
      </c>
      <c r="G4362" t="n">
        <v>11.2</v>
      </c>
      <c r="H4362" t="n">
        <v>0</v>
      </c>
      <c r="I4362" t="n">
        <v>0</v>
      </c>
      <c r="J4362" t="n">
        <v>0</v>
      </c>
      <c r="K4362" t="n">
        <v>0</v>
      </c>
      <c r="L4362" t="n">
        <v>0</v>
      </c>
      <c r="M4362" t="n">
        <v>0</v>
      </c>
      <c r="N4362" t="n">
        <v>0</v>
      </c>
      <c r="O4362" t="n">
        <v>0</v>
      </c>
      <c r="P4362" t="n">
        <v>0</v>
      </c>
      <c r="Q4362" t="n">
        <v>0</v>
      </c>
      <c r="R4362" s="2" t="inlineStr"/>
    </row>
    <row r="4363" ht="15" customHeight="1">
      <c r="A4363" t="inlineStr">
        <is>
          <t>A 60957-2021</t>
        </is>
      </c>
      <c r="B4363" s="1" t="n">
        <v>44496</v>
      </c>
      <c r="C4363" s="1" t="n">
        <v>45182</v>
      </c>
      <c r="D4363" t="inlineStr">
        <is>
          <t>JÄMTLANDS LÄN</t>
        </is>
      </c>
      <c r="E4363" t="inlineStr">
        <is>
          <t>RAGUNDA</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60789-2021</t>
        </is>
      </c>
      <c r="B4364" s="1" t="n">
        <v>44496</v>
      </c>
      <c r="C4364" s="1" t="n">
        <v>45182</v>
      </c>
      <c r="D4364" t="inlineStr">
        <is>
          <t>JÄMTLANDS LÄN</t>
        </is>
      </c>
      <c r="E4364" t="inlineStr">
        <is>
          <t>STRÖMSUND</t>
        </is>
      </c>
      <c r="F4364" t="inlineStr">
        <is>
          <t>SCA</t>
        </is>
      </c>
      <c r="G4364" t="n">
        <v>14.7</v>
      </c>
      <c r="H4364" t="n">
        <v>0</v>
      </c>
      <c r="I4364" t="n">
        <v>0</v>
      </c>
      <c r="J4364" t="n">
        <v>0</v>
      </c>
      <c r="K4364" t="n">
        <v>0</v>
      </c>
      <c r="L4364" t="n">
        <v>0</v>
      </c>
      <c r="M4364" t="n">
        <v>0</v>
      </c>
      <c r="N4364" t="n">
        <v>0</v>
      </c>
      <c r="O4364" t="n">
        <v>0</v>
      </c>
      <c r="P4364" t="n">
        <v>0</v>
      </c>
      <c r="Q4364" t="n">
        <v>0</v>
      </c>
      <c r="R4364" s="2" t="inlineStr"/>
    </row>
    <row r="4365" ht="15" customHeight="1">
      <c r="A4365" t="inlineStr">
        <is>
          <t>A 61566-2021</t>
        </is>
      </c>
      <c r="B4365" s="1" t="n">
        <v>44496</v>
      </c>
      <c r="C4365" s="1" t="n">
        <v>45182</v>
      </c>
      <c r="D4365" t="inlineStr">
        <is>
          <t>JÄMTLANDS LÄN</t>
        </is>
      </c>
      <c r="E4365" t="inlineStr">
        <is>
          <t>ÅRE</t>
        </is>
      </c>
      <c r="F4365" t="inlineStr">
        <is>
          <t>Övriga statliga verk och myndigheter</t>
        </is>
      </c>
      <c r="G4365" t="n">
        <v>10.9</v>
      </c>
      <c r="H4365" t="n">
        <v>0</v>
      </c>
      <c r="I4365" t="n">
        <v>0</v>
      </c>
      <c r="J4365" t="n">
        <v>0</v>
      </c>
      <c r="K4365" t="n">
        <v>0</v>
      </c>
      <c r="L4365" t="n">
        <v>0</v>
      </c>
      <c r="M4365" t="n">
        <v>0</v>
      </c>
      <c r="N4365" t="n">
        <v>0</v>
      </c>
      <c r="O4365" t="n">
        <v>0</v>
      </c>
      <c r="P4365" t="n">
        <v>0</v>
      </c>
      <c r="Q4365" t="n">
        <v>0</v>
      </c>
      <c r="R4365" s="2" t="inlineStr"/>
    </row>
    <row r="4366" ht="15" customHeight="1">
      <c r="A4366" t="inlineStr">
        <is>
          <t>A 60775-2021</t>
        </is>
      </c>
      <c r="B4366" s="1" t="n">
        <v>44496</v>
      </c>
      <c r="C4366" s="1" t="n">
        <v>45182</v>
      </c>
      <c r="D4366" t="inlineStr">
        <is>
          <t>JÄMTLANDS LÄN</t>
        </is>
      </c>
      <c r="E4366" t="inlineStr">
        <is>
          <t>STRÖMSUND</t>
        </is>
      </c>
      <c r="F4366" t="inlineStr">
        <is>
          <t>SCA</t>
        </is>
      </c>
      <c r="G4366" t="n">
        <v>1.8</v>
      </c>
      <c r="H4366" t="n">
        <v>0</v>
      </c>
      <c r="I4366" t="n">
        <v>0</v>
      </c>
      <c r="J4366" t="n">
        <v>0</v>
      </c>
      <c r="K4366" t="n">
        <v>0</v>
      </c>
      <c r="L4366" t="n">
        <v>0</v>
      </c>
      <c r="M4366" t="n">
        <v>0</v>
      </c>
      <c r="N4366" t="n">
        <v>0</v>
      </c>
      <c r="O4366" t="n">
        <v>0</v>
      </c>
      <c r="P4366" t="n">
        <v>0</v>
      </c>
      <c r="Q4366" t="n">
        <v>0</v>
      </c>
      <c r="R4366" s="2" t="inlineStr"/>
    </row>
    <row r="4367" ht="15" customHeight="1">
      <c r="A4367" t="inlineStr">
        <is>
          <t>A 60939-2021</t>
        </is>
      </c>
      <c r="B4367" s="1" t="n">
        <v>44496</v>
      </c>
      <c r="C4367" s="1" t="n">
        <v>45182</v>
      </c>
      <c r="D4367" t="inlineStr">
        <is>
          <t>JÄMTLANDS LÄN</t>
        </is>
      </c>
      <c r="E4367" t="inlineStr">
        <is>
          <t>STRÖMSUND</t>
        </is>
      </c>
      <c r="G4367" t="n">
        <v>2.8</v>
      </c>
      <c r="H4367" t="n">
        <v>0</v>
      </c>
      <c r="I4367" t="n">
        <v>0</v>
      </c>
      <c r="J4367" t="n">
        <v>0</v>
      </c>
      <c r="K4367" t="n">
        <v>0</v>
      </c>
      <c r="L4367" t="n">
        <v>0</v>
      </c>
      <c r="M4367" t="n">
        <v>0</v>
      </c>
      <c r="N4367" t="n">
        <v>0</v>
      </c>
      <c r="O4367" t="n">
        <v>0</v>
      </c>
      <c r="P4367" t="n">
        <v>0</v>
      </c>
      <c r="Q4367" t="n">
        <v>0</v>
      </c>
      <c r="R4367" s="2" t="inlineStr"/>
    </row>
    <row r="4368" ht="15" customHeight="1">
      <c r="A4368" t="inlineStr">
        <is>
          <t>A 61524-2021</t>
        </is>
      </c>
      <c r="B4368" s="1" t="n">
        <v>44496</v>
      </c>
      <c r="C4368" s="1" t="n">
        <v>45182</v>
      </c>
      <c r="D4368" t="inlineStr">
        <is>
          <t>JÄMTLANDS LÄN</t>
        </is>
      </c>
      <c r="E4368" t="inlineStr">
        <is>
          <t>ÅRE</t>
        </is>
      </c>
      <c r="F4368" t="inlineStr">
        <is>
          <t>Övriga statliga verk och myndigheter</t>
        </is>
      </c>
      <c r="G4368" t="n">
        <v>15</v>
      </c>
      <c r="H4368" t="n">
        <v>0</v>
      </c>
      <c r="I4368" t="n">
        <v>0</v>
      </c>
      <c r="J4368" t="n">
        <v>0</v>
      </c>
      <c r="K4368" t="n">
        <v>0</v>
      </c>
      <c r="L4368" t="n">
        <v>0</v>
      </c>
      <c r="M4368" t="n">
        <v>0</v>
      </c>
      <c r="N4368" t="n">
        <v>0</v>
      </c>
      <c r="O4368" t="n">
        <v>0</v>
      </c>
      <c r="P4368" t="n">
        <v>0</v>
      </c>
      <c r="Q4368" t="n">
        <v>0</v>
      </c>
      <c r="R4368" s="2" t="inlineStr"/>
    </row>
    <row r="4369" ht="15" customHeight="1">
      <c r="A4369" t="inlineStr">
        <is>
          <t>A 60841-2021</t>
        </is>
      </c>
      <c r="B4369" s="1" t="n">
        <v>44497</v>
      </c>
      <c r="C4369" s="1" t="n">
        <v>45182</v>
      </c>
      <c r="D4369" t="inlineStr">
        <is>
          <t>JÄMTLANDS LÄN</t>
        </is>
      </c>
      <c r="E4369" t="inlineStr">
        <is>
          <t>HÄRJEDALEN</t>
        </is>
      </c>
      <c r="G4369" t="n">
        <v>1.7</v>
      </c>
      <c r="H4369" t="n">
        <v>0</v>
      </c>
      <c r="I4369" t="n">
        <v>0</v>
      </c>
      <c r="J4369" t="n">
        <v>0</v>
      </c>
      <c r="K4369" t="n">
        <v>0</v>
      </c>
      <c r="L4369" t="n">
        <v>0</v>
      </c>
      <c r="M4369" t="n">
        <v>0</v>
      </c>
      <c r="N4369" t="n">
        <v>0</v>
      </c>
      <c r="O4369" t="n">
        <v>0</v>
      </c>
      <c r="P4369" t="n">
        <v>0</v>
      </c>
      <c r="Q4369" t="n">
        <v>0</v>
      </c>
      <c r="R4369" s="2" t="inlineStr"/>
    </row>
    <row r="4370" ht="15" customHeight="1">
      <c r="A4370" t="inlineStr">
        <is>
          <t>A 61612-2021</t>
        </is>
      </c>
      <c r="B4370" s="1" t="n">
        <v>44498</v>
      </c>
      <c r="C4370" s="1" t="n">
        <v>45182</v>
      </c>
      <c r="D4370" t="inlineStr">
        <is>
          <t>JÄMTLANDS LÄN</t>
        </is>
      </c>
      <c r="E4370" t="inlineStr">
        <is>
          <t>STRÖMSUND</t>
        </is>
      </c>
      <c r="G4370" t="n">
        <v>1.9</v>
      </c>
      <c r="H4370" t="n">
        <v>0</v>
      </c>
      <c r="I4370" t="n">
        <v>0</v>
      </c>
      <c r="J4370" t="n">
        <v>0</v>
      </c>
      <c r="K4370" t="n">
        <v>0</v>
      </c>
      <c r="L4370" t="n">
        <v>0</v>
      </c>
      <c r="M4370" t="n">
        <v>0</v>
      </c>
      <c r="N4370" t="n">
        <v>0</v>
      </c>
      <c r="O4370" t="n">
        <v>0</v>
      </c>
      <c r="P4370" t="n">
        <v>0</v>
      </c>
      <c r="Q4370" t="n">
        <v>0</v>
      </c>
      <c r="R4370" s="2" t="inlineStr"/>
    </row>
    <row r="4371" ht="15" customHeight="1">
      <c r="A4371" t="inlineStr">
        <is>
          <t>A 61732-2021</t>
        </is>
      </c>
      <c r="B4371" s="1" t="n">
        <v>44498</v>
      </c>
      <c r="C4371" s="1" t="n">
        <v>45182</v>
      </c>
      <c r="D4371" t="inlineStr">
        <is>
          <t>JÄMTLANDS LÄN</t>
        </is>
      </c>
      <c r="E4371" t="inlineStr">
        <is>
          <t>KROKOM</t>
        </is>
      </c>
      <c r="G4371" t="n">
        <v>1.3</v>
      </c>
      <c r="H4371" t="n">
        <v>0</v>
      </c>
      <c r="I4371" t="n">
        <v>0</v>
      </c>
      <c r="J4371" t="n">
        <v>0</v>
      </c>
      <c r="K4371" t="n">
        <v>0</v>
      </c>
      <c r="L4371" t="n">
        <v>0</v>
      </c>
      <c r="M4371" t="n">
        <v>0</v>
      </c>
      <c r="N4371" t="n">
        <v>0</v>
      </c>
      <c r="O4371" t="n">
        <v>0</v>
      </c>
      <c r="P4371" t="n">
        <v>0</v>
      </c>
      <c r="Q4371" t="n">
        <v>0</v>
      </c>
      <c r="R4371" s="2" t="inlineStr"/>
    </row>
    <row r="4372" ht="15" customHeight="1">
      <c r="A4372" t="inlineStr">
        <is>
          <t>A 61803-2021</t>
        </is>
      </c>
      <c r="B4372" s="1" t="n">
        <v>44498</v>
      </c>
      <c r="C4372" s="1" t="n">
        <v>45182</v>
      </c>
      <c r="D4372" t="inlineStr">
        <is>
          <t>JÄMTLANDS LÄN</t>
        </is>
      </c>
      <c r="E4372" t="inlineStr">
        <is>
          <t>ÅRE</t>
        </is>
      </c>
      <c r="G4372" t="n">
        <v>0.9</v>
      </c>
      <c r="H4372" t="n">
        <v>0</v>
      </c>
      <c r="I4372" t="n">
        <v>0</v>
      </c>
      <c r="J4372" t="n">
        <v>0</v>
      </c>
      <c r="K4372" t="n">
        <v>0</v>
      </c>
      <c r="L4372" t="n">
        <v>0</v>
      </c>
      <c r="M4372" t="n">
        <v>0</v>
      </c>
      <c r="N4372" t="n">
        <v>0</v>
      </c>
      <c r="O4372" t="n">
        <v>0</v>
      </c>
      <c r="P4372" t="n">
        <v>0</v>
      </c>
      <c r="Q4372" t="n">
        <v>0</v>
      </c>
      <c r="R4372" s="2" t="inlineStr"/>
    </row>
    <row r="4373" ht="15" customHeight="1">
      <c r="A4373" t="inlineStr">
        <is>
          <t>A 61230-2021</t>
        </is>
      </c>
      <c r="B4373" s="1" t="n">
        <v>44498</v>
      </c>
      <c r="C4373" s="1" t="n">
        <v>45182</v>
      </c>
      <c r="D4373" t="inlineStr">
        <is>
          <t>JÄMTLANDS LÄN</t>
        </is>
      </c>
      <c r="E4373" t="inlineStr">
        <is>
          <t>KROKOM</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61331-2021</t>
        </is>
      </c>
      <c r="B4374" s="1" t="n">
        <v>44498</v>
      </c>
      <c r="C4374" s="1" t="n">
        <v>45182</v>
      </c>
      <c r="D4374" t="inlineStr">
        <is>
          <t>JÄMTLANDS LÄN</t>
        </is>
      </c>
      <c r="E4374" t="inlineStr">
        <is>
          <t>ÅRE</t>
        </is>
      </c>
      <c r="G4374" t="n">
        <v>8.4</v>
      </c>
      <c r="H4374" t="n">
        <v>0</v>
      </c>
      <c r="I4374" t="n">
        <v>0</v>
      </c>
      <c r="J4374" t="n">
        <v>0</v>
      </c>
      <c r="K4374" t="n">
        <v>0</v>
      </c>
      <c r="L4374" t="n">
        <v>0</v>
      </c>
      <c r="M4374" t="n">
        <v>0</v>
      </c>
      <c r="N4374" t="n">
        <v>0</v>
      </c>
      <c r="O4374" t="n">
        <v>0</v>
      </c>
      <c r="P4374" t="n">
        <v>0</v>
      </c>
      <c r="Q4374" t="n">
        <v>0</v>
      </c>
      <c r="R4374" s="2" t="inlineStr"/>
    </row>
    <row r="4375" ht="15" customHeight="1">
      <c r="A4375" t="inlineStr">
        <is>
          <t>A 61749-2021</t>
        </is>
      </c>
      <c r="B4375" s="1" t="n">
        <v>44498</v>
      </c>
      <c r="C4375" s="1" t="n">
        <v>45182</v>
      </c>
      <c r="D4375" t="inlineStr">
        <is>
          <t>JÄMTLANDS LÄN</t>
        </is>
      </c>
      <c r="E4375" t="inlineStr">
        <is>
          <t>KROKOM</t>
        </is>
      </c>
      <c r="G4375" t="n">
        <v>28</v>
      </c>
      <c r="H4375" t="n">
        <v>0</v>
      </c>
      <c r="I4375" t="n">
        <v>0</v>
      </c>
      <c r="J4375" t="n">
        <v>0</v>
      </c>
      <c r="K4375" t="n">
        <v>0</v>
      </c>
      <c r="L4375" t="n">
        <v>0</v>
      </c>
      <c r="M4375" t="n">
        <v>0</v>
      </c>
      <c r="N4375" t="n">
        <v>0</v>
      </c>
      <c r="O4375" t="n">
        <v>0</v>
      </c>
      <c r="P4375" t="n">
        <v>0</v>
      </c>
      <c r="Q4375" t="n">
        <v>0</v>
      </c>
      <c r="R4375" s="2" t="inlineStr"/>
    </row>
    <row r="4376" ht="15" customHeight="1">
      <c r="A4376" t="inlineStr">
        <is>
          <t>A 61815-2021</t>
        </is>
      </c>
      <c r="B4376" s="1" t="n">
        <v>44498</v>
      </c>
      <c r="C4376" s="1" t="n">
        <v>45182</v>
      </c>
      <c r="D4376" t="inlineStr">
        <is>
          <t>JÄMTLANDS LÄN</t>
        </is>
      </c>
      <c r="E4376" t="inlineStr">
        <is>
          <t>ÅRE</t>
        </is>
      </c>
      <c r="G4376" t="n">
        <v>7.4</v>
      </c>
      <c r="H4376" t="n">
        <v>0</v>
      </c>
      <c r="I4376" t="n">
        <v>0</v>
      </c>
      <c r="J4376" t="n">
        <v>0</v>
      </c>
      <c r="K4376" t="n">
        <v>0</v>
      </c>
      <c r="L4376" t="n">
        <v>0</v>
      </c>
      <c r="M4376" t="n">
        <v>0</v>
      </c>
      <c r="N4376" t="n">
        <v>0</v>
      </c>
      <c r="O4376" t="n">
        <v>0</v>
      </c>
      <c r="P4376" t="n">
        <v>0</v>
      </c>
      <c r="Q4376" t="n">
        <v>0</v>
      </c>
      <c r="R4376" s="2" t="inlineStr"/>
    </row>
    <row r="4377" ht="15" customHeight="1">
      <c r="A4377" t="inlineStr">
        <is>
          <t>A 61806-2021</t>
        </is>
      </c>
      <c r="B4377" s="1" t="n">
        <v>44498</v>
      </c>
      <c r="C4377" s="1" t="n">
        <v>45182</v>
      </c>
      <c r="D4377" t="inlineStr">
        <is>
          <t>JÄMTLANDS LÄN</t>
        </is>
      </c>
      <c r="E4377" t="inlineStr">
        <is>
          <t>ÅRE</t>
        </is>
      </c>
      <c r="G4377" t="n">
        <v>0.7</v>
      </c>
      <c r="H4377" t="n">
        <v>0</v>
      </c>
      <c r="I4377" t="n">
        <v>0</v>
      </c>
      <c r="J4377" t="n">
        <v>0</v>
      </c>
      <c r="K4377" t="n">
        <v>0</v>
      </c>
      <c r="L4377" t="n">
        <v>0</v>
      </c>
      <c r="M4377" t="n">
        <v>0</v>
      </c>
      <c r="N4377" t="n">
        <v>0</v>
      </c>
      <c r="O4377" t="n">
        <v>0</v>
      </c>
      <c r="P4377" t="n">
        <v>0</v>
      </c>
      <c r="Q4377" t="n">
        <v>0</v>
      </c>
      <c r="R4377" s="2" t="inlineStr"/>
    </row>
    <row r="4378" ht="15" customHeight="1">
      <c r="A4378" t="inlineStr">
        <is>
          <t>A 61375-2021</t>
        </is>
      </c>
      <c r="B4378" s="1" t="n">
        <v>44499</v>
      </c>
      <c r="C4378" s="1" t="n">
        <v>45182</v>
      </c>
      <c r="D4378" t="inlineStr">
        <is>
          <t>JÄMTLANDS LÄN</t>
        </is>
      </c>
      <c r="E4378" t="inlineStr">
        <is>
          <t>ÅRE</t>
        </is>
      </c>
      <c r="G4378" t="n">
        <v>1.2</v>
      </c>
      <c r="H4378" t="n">
        <v>0</v>
      </c>
      <c r="I4378" t="n">
        <v>0</v>
      </c>
      <c r="J4378" t="n">
        <v>0</v>
      </c>
      <c r="K4378" t="n">
        <v>0</v>
      </c>
      <c r="L4378" t="n">
        <v>0</v>
      </c>
      <c r="M4378" t="n">
        <v>0</v>
      </c>
      <c r="N4378" t="n">
        <v>0</v>
      </c>
      <c r="O4378" t="n">
        <v>0</v>
      </c>
      <c r="P4378" t="n">
        <v>0</v>
      </c>
      <c r="Q4378" t="n">
        <v>0</v>
      </c>
      <c r="R4378" s="2" t="inlineStr"/>
    </row>
    <row r="4379" ht="15" customHeight="1">
      <c r="A4379" t="inlineStr">
        <is>
          <t>A 61379-2021</t>
        </is>
      </c>
      <c r="B4379" s="1" t="n">
        <v>44500</v>
      </c>
      <c r="C4379" s="1" t="n">
        <v>45182</v>
      </c>
      <c r="D4379" t="inlineStr">
        <is>
          <t>JÄMTLANDS LÄN</t>
        </is>
      </c>
      <c r="E4379" t="inlineStr">
        <is>
          <t>HÄRJEDALEN</t>
        </is>
      </c>
      <c r="F4379" t="inlineStr">
        <is>
          <t>Bergvik skog väst AB</t>
        </is>
      </c>
      <c r="G4379" t="n">
        <v>4.7</v>
      </c>
      <c r="H4379" t="n">
        <v>0</v>
      </c>
      <c r="I4379" t="n">
        <v>0</v>
      </c>
      <c r="J4379" t="n">
        <v>0</v>
      </c>
      <c r="K4379" t="n">
        <v>0</v>
      </c>
      <c r="L4379" t="n">
        <v>0</v>
      </c>
      <c r="M4379" t="n">
        <v>0</v>
      </c>
      <c r="N4379" t="n">
        <v>0</v>
      </c>
      <c r="O4379" t="n">
        <v>0</v>
      </c>
      <c r="P4379" t="n">
        <v>0</v>
      </c>
      <c r="Q4379" t="n">
        <v>0</v>
      </c>
      <c r="R4379" s="2" t="inlineStr"/>
    </row>
    <row r="4380" ht="15" customHeight="1">
      <c r="A4380" t="inlineStr">
        <is>
          <t>A 61434-2021</t>
        </is>
      </c>
      <c r="B4380" s="1" t="n">
        <v>44500</v>
      </c>
      <c r="C4380" s="1" t="n">
        <v>45182</v>
      </c>
      <c r="D4380" t="inlineStr">
        <is>
          <t>JÄMTLANDS LÄN</t>
        </is>
      </c>
      <c r="E4380" t="inlineStr">
        <is>
          <t>STRÖMSUND</t>
        </is>
      </c>
      <c r="F4380" t="inlineStr">
        <is>
          <t>SCA</t>
        </is>
      </c>
      <c r="G4380" t="n">
        <v>1.2</v>
      </c>
      <c r="H4380" t="n">
        <v>0</v>
      </c>
      <c r="I4380" t="n">
        <v>0</v>
      </c>
      <c r="J4380" t="n">
        <v>0</v>
      </c>
      <c r="K4380" t="n">
        <v>0</v>
      </c>
      <c r="L4380" t="n">
        <v>0</v>
      </c>
      <c r="M4380" t="n">
        <v>0</v>
      </c>
      <c r="N4380" t="n">
        <v>0</v>
      </c>
      <c r="O4380" t="n">
        <v>0</v>
      </c>
      <c r="P4380" t="n">
        <v>0</v>
      </c>
      <c r="Q4380" t="n">
        <v>0</v>
      </c>
      <c r="R4380" s="2" t="inlineStr"/>
    </row>
    <row r="4381" ht="15" customHeight="1">
      <c r="A4381" t="inlineStr">
        <is>
          <t>A 61433-2021</t>
        </is>
      </c>
      <c r="B4381" s="1" t="n">
        <v>44500</v>
      </c>
      <c r="C4381" s="1" t="n">
        <v>45182</v>
      </c>
      <c r="D4381" t="inlineStr">
        <is>
          <t>JÄMTLANDS LÄN</t>
        </is>
      </c>
      <c r="E4381" t="inlineStr">
        <is>
          <t>STRÖMSUND</t>
        </is>
      </c>
      <c r="F4381" t="inlineStr">
        <is>
          <t>SCA</t>
        </is>
      </c>
      <c r="G4381" t="n">
        <v>1.2</v>
      </c>
      <c r="H4381" t="n">
        <v>0</v>
      </c>
      <c r="I4381" t="n">
        <v>0</v>
      </c>
      <c r="J4381" t="n">
        <v>0</v>
      </c>
      <c r="K4381" t="n">
        <v>0</v>
      </c>
      <c r="L4381" t="n">
        <v>0</v>
      </c>
      <c r="M4381" t="n">
        <v>0</v>
      </c>
      <c r="N4381" t="n">
        <v>0</v>
      </c>
      <c r="O4381" t="n">
        <v>0</v>
      </c>
      <c r="P4381" t="n">
        <v>0</v>
      </c>
      <c r="Q4381" t="n">
        <v>0</v>
      </c>
      <c r="R4381" s="2" t="inlineStr"/>
    </row>
    <row r="4382" ht="15" customHeight="1">
      <c r="A4382" t="inlineStr">
        <is>
          <t>A 61420-2021</t>
        </is>
      </c>
      <c r="B4382" s="1" t="n">
        <v>44500</v>
      </c>
      <c r="C4382" s="1" t="n">
        <v>45182</v>
      </c>
      <c r="D4382" t="inlineStr">
        <is>
          <t>JÄMTLANDS LÄN</t>
        </is>
      </c>
      <c r="E4382" t="inlineStr">
        <is>
          <t>STRÖMSUND</t>
        </is>
      </c>
      <c r="F4382" t="inlineStr">
        <is>
          <t>SCA</t>
        </is>
      </c>
      <c r="G4382" t="n">
        <v>10.2</v>
      </c>
      <c r="H4382" t="n">
        <v>0</v>
      </c>
      <c r="I4382" t="n">
        <v>0</v>
      </c>
      <c r="J4382" t="n">
        <v>0</v>
      </c>
      <c r="K4382" t="n">
        <v>0</v>
      </c>
      <c r="L4382" t="n">
        <v>0</v>
      </c>
      <c r="M4382" t="n">
        <v>0</v>
      </c>
      <c r="N4382" t="n">
        <v>0</v>
      </c>
      <c r="O4382" t="n">
        <v>0</v>
      </c>
      <c r="P4382" t="n">
        <v>0</v>
      </c>
      <c r="Q4382" t="n">
        <v>0</v>
      </c>
      <c r="R4382" s="2" t="inlineStr"/>
    </row>
    <row r="4383" ht="15" customHeight="1">
      <c r="A4383" t="inlineStr">
        <is>
          <t>A 61439-2021</t>
        </is>
      </c>
      <c r="B4383" s="1" t="n">
        <v>44500</v>
      </c>
      <c r="C4383" s="1" t="n">
        <v>45182</v>
      </c>
      <c r="D4383" t="inlineStr">
        <is>
          <t>JÄMTLANDS LÄN</t>
        </is>
      </c>
      <c r="E4383" t="inlineStr">
        <is>
          <t>STRÖMSUND</t>
        </is>
      </c>
      <c r="F4383" t="inlineStr">
        <is>
          <t>SCA</t>
        </is>
      </c>
      <c r="G4383" t="n">
        <v>6.9</v>
      </c>
      <c r="H4383" t="n">
        <v>0</v>
      </c>
      <c r="I4383" t="n">
        <v>0</v>
      </c>
      <c r="J4383" t="n">
        <v>0</v>
      </c>
      <c r="K4383" t="n">
        <v>0</v>
      </c>
      <c r="L4383" t="n">
        <v>0</v>
      </c>
      <c r="M4383" t="n">
        <v>0</v>
      </c>
      <c r="N4383" t="n">
        <v>0</v>
      </c>
      <c r="O4383" t="n">
        <v>0</v>
      </c>
      <c r="P4383" t="n">
        <v>0</v>
      </c>
      <c r="Q4383" t="n">
        <v>0</v>
      </c>
      <c r="R4383" s="2" t="inlineStr"/>
    </row>
    <row r="4384" ht="15" customHeight="1">
      <c r="A4384" t="inlineStr">
        <is>
          <t>A 61455-2021</t>
        </is>
      </c>
      <c r="B4384" s="1" t="n">
        <v>44500</v>
      </c>
      <c r="C4384" s="1" t="n">
        <v>45182</v>
      </c>
      <c r="D4384" t="inlineStr">
        <is>
          <t>JÄMTLANDS LÄN</t>
        </is>
      </c>
      <c r="E4384" t="inlineStr">
        <is>
          <t>STRÖMSUND</t>
        </is>
      </c>
      <c r="F4384" t="inlineStr">
        <is>
          <t>SCA</t>
        </is>
      </c>
      <c r="G4384" t="n">
        <v>6</v>
      </c>
      <c r="H4384" t="n">
        <v>0</v>
      </c>
      <c r="I4384" t="n">
        <v>0</v>
      </c>
      <c r="J4384" t="n">
        <v>0</v>
      </c>
      <c r="K4384" t="n">
        <v>0</v>
      </c>
      <c r="L4384" t="n">
        <v>0</v>
      </c>
      <c r="M4384" t="n">
        <v>0</v>
      </c>
      <c r="N4384" t="n">
        <v>0</v>
      </c>
      <c r="O4384" t="n">
        <v>0</v>
      </c>
      <c r="P4384" t="n">
        <v>0</v>
      </c>
      <c r="Q4384" t="n">
        <v>0</v>
      </c>
      <c r="R4384" s="2" t="inlineStr"/>
    </row>
    <row r="4385" ht="15" customHeight="1">
      <c r="A4385" t="inlineStr">
        <is>
          <t>A 61450-2021</t>
        </is>
      </c>
      <c r="B4385" s="1" t="n">
        <v>44500</v>
      </c>
      <c r="C4385" s="1" t="n">
        <v>45182</v>
      </c>
      <c r="D4385" t="inlineStr">
        <is>
          <t>JÄMTLANDS LÄN</t>
        </is>
      </c>
      <c r="E4385" t="inlineStr">
        <is>
          <t>STRÖMSUND</t>
        </is>
      </c>
      <c r="F4385" t="inlineStr">
        <is>
          <t>SCA</t>
        </is>
      </c>
      <c r="G4385" t="n">
        <v>2.4</v>
      </c>
      <c r="H4385" t="n">
        <v>0</v>
      </c>
      <c r="I4385" t="n">
        <v>0</v>
      </c>
      <c r="J4385" t="n">
        <v>0</v>
      </c>
      <c r="K4385" t="n">
        <v>0</v>
      </c>
      <c r="L4385" t="n">
        <v>0</v>
      </c>
      <c r="M4385" t="n">
        <v>0</v>
      </c>
      <c r="N4385" t="n">
        <v>0</v>
      </c>
      <c r="O4385" t="n">
        <v>0</v>
      </c>
      <c r="P4385" t="n">
        <v>0</v>
      </c>
      <c r="Q4385" t="n">
        <v>0</v>
      </c>
      <c r="R4385" s="2" t="inlineStr"/>
    </row>
    <row r="4386" ht="15" customHeight="1">
      <c r="A4386" t="inlineStr">
        <is>
          <t>A 61547-2021</t>
        </is>
      </c>
      <c r="B4386" s="1" t="n">
        <v>44501</v>
      </c>
      <c r="C4386" s="1" t="n">
        <v>45182</v>
      </c>
      <c r="D4386" t="inlineStr">
        <is>
          <t>JÄMTLANDS LÄN</t>
        </is>
      </c>
      <c r="E4386" t="inlineStr">
        <is>
          <t>HÄRJEDALEN</t>
        </is>
      </c>
      <c r="G4386" t="n">
        <v>2.1</v>
      </c>
      <c r="H4386" t="n">
        <v>0</v>
      </c>
      <c r="I4386" t="n">
        <v>0</v>
      </c>
      <c r="J4386" t="n">
        <v>0</v>
      </c>
      <c r="K4386" t="n">
        <v>0</v>
      </c>
      <c r="L4386" t="n">
        <v>0</v>
      </c>
      <c r="M4386" t="n">
        <v>0</v>
      </c>
      <c r="N4386" t="n">
        <v>0</v>
      </c>
      <c r="O4386" t="n">
        <v>0</v>
      </c>
      <c r="P4386" t="n">
        <v>0</v>
      </c>
      <c r="Q4386" t="n">
        <v>0</v>
      </c>
      <c r="R4386" s="2" t="inlineStr"/>
    </row>
    <row r="4387" ht="15" customHeight="1">
      <c r="A4387" t="inlineStr">
        <is>
          <t>A 61561-2021</t>
        </is>
      </c>
      <c r="B4387" s="1" t="n">
        <v>44501</v>
      </c>
      <c r="C4387" s="1" t="n">
        <v>45182</v>
      </c>
      <c r="D4387" t="inlineStr">
        <is>
          <t>JÄMTLANDS LÄN</t>
        </is>
      </c>
      <c r="E4387" t="inlineStr">
        <is>
          <t>HÄRJEDALEN</t>
        </is>
      </c>
      <c r="F4387" t="inlineStr">
        <is>
          <t>Bergvik skog väst AB</t>
        </is>
      </c>
      <c r="G4387" t="n">
        <v>16.2</v>
      </c>
      <c r="H4387" t="n">
        <v>0</v>
      </c>
      <c r="I4387" t="n">
        <v>0</v>
      </c>
      <c r="J4387" t="n">
        <v>0</v>
      </c>
      <c r="K4387" t="n">
        <v>0</v>
      </c>
      <c r="L4387" t="n">
        <v>0</v>
      </c>
      <c r="M4387" t="n">
        <v>0</v>
      </c>
      <c r="N4387" t="n">
        <v>0</v>
      </c>
      <c r="O4387" t="n">
        <v>0</v>
      </c>
      <c r="P4387" t="n">
        <v>0</v>
      </c>
      <c r="Q4387" t="n">
        <v>0</v>
      </c>
      <c r="R4387" s="2" t="inlineStr"/>
    </row>
    <row r="4388" ht="15" customHeight="1">
      <c r="A4388" t="inlineStr">
        <is>
          <t>A 61631-2021</t>
        </is>
      </c>
      <c r="B4388" s="1" t="n">
        <v>44501</v>
      </c>
      <c r="C4388" s="1" t="n">
        <v>45182</v>
      </c>
      <c r="D4388" t="inlineStr">
        <is>
          <t>JÄMTLANDS LÄN</t>
        </is>
      </c>
      <c r="E4388" t="inlineStr">
        <is>
          <t>ÖSTERSUND</t>
        </is>
      </c>
      <c r="G4388" t="n">
        <v>1</v>
      </c>
      <c r="H4388" t="n">
        <v>0</v>
      </c>
      <c r="I4388" t="n">
        <v>0</v>
      </c>
      <c r="J4388" t="n">
        <v>0</v>
      </c>
      <c r="K4388" t="n">
        <v>0</v>
      </c>
      <c r="L4388" t="n">
        <v>0</v>
      </c>
      <c r="M4388" t="n">
        <v>0</v>
      </c>
      <c r="N4388" t="n">
        <v>0</v>
      </c>
      <c r="O4388" t="n">
        <v>0</v>
      </c>
      <c r="P4388" t="n">
        <v>0</v>
      </c>
      <c r="Q4388" t="n">
        <v>0</v>
      </c>
      <c r="R4388" s="2" t="inlineStr"/>
    </row>
    <row r="4389" ht="15" customHeight="1">
      <c r="A4389" t="inlineStr">
        <is>
          <t>A 61731-2021</t>
        </is>
      </c>
      <c r="B4389" s="1" t="n">
        <v>44501</v>
      </c>
      <c r="C4389" s="1" t="n">
        <v>45182</v>
      </c>
      <c r="D4389" t="inlineStr">
        <is>
          <t>JÄMTLANDS LÄN</t>
        </is>
      </c>
      <c r="E4389" t="inlineStr">
        <is>
          <t>STRÖMSUND</t>
        </is>
      </c>
      <c r="F4389" t="inlineStr">
        <is>
          <t>Holmen skog AB</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62183-2021</t>
        </is>
      </c>
      <c r="B4390" s="1" t="n">
        <v>44502</v>
      </c>
      <c r="C4390" s="1" t="n">
        <v>45182</v>
      </c>
      <c r="D4390" t="inlineStr">
        <is>
          <t>JÄMTLANDS LÄN</t>
        </is>
      </c>
      <c r="E4390" t="inlineStr">
        <is>
          <t>ÅRE</t>
        </is>
      </c>
      <c r="G4390" t="n">
        <v>1.1</v>
      </c>
      <c r="H4390" t="n">
        <v>0</v>
      </c>
      <c r="I4390" t="n">
        <v>0</v>
      </c>
      <c r="J4390" t="n">
        <v>0</v>
      </c>
      <c r="K4390" t="n">
        <v>0</v>
      </c>
      <c r="L4390" t="n">
        <v>0</v>
      </c>
      <c r="M4390" t="n">
        <v>0</v>
      </c>
      <c r="N4390" t="n">
        <v>0</v>
      </c>
      <c r="O4390" t="n">
        <v>0</v>
      </c>
      <c r="P4390" t="n">
        <v>0</v>
      </c>
      <c r="Q4390" t="n">
        <v>0</v>
      </c>
      <c r="R4390" s="2" t="inlineStr"/>
    </row>
    <row r="4391" ht="15" customHeight="1">
      <c r="A4391" t="inlineStr">
        <is>
          <t>A 62201-2021</t>
        </is>
      </c>
      <c r="B4391" s="1" t="n">
        <v>44502</v>
      </c>
      <c r="C4391" s="1" t="n">
        <v>45182</v>
      </c>
      <c r="D4391" t="inlineStr">
        <is>
          <t>JÄMTLANDS LÄN</t>
        </is>
      </c>
      <c r="E4391" t="inlineStr">
        <is>
          <t>KROKOM</t>
        </is>
      </c>
      <c r="G4391" t="n">
        <v>1.8</v>
      </c>
      <c r="H4391" t="n">
        <v>0</v>
      </c>
      <c r="I4391" t="n">
        <v>0</v>
      </c>
      <c r="J4391" t="n">
        <v>0</v>
      </c>
      <c r="K4391" t="n">
        <v>0</v>
      </c>
      <c r="L4391" t="n">
        <v>0</v>
      </c>
      <c r="M4391" t="n">
        <v>0</v>
      </c>
      <c r="N4391" t="n">
        <v>0</v>
      </c>
      <c r="O4391" t="n">
        <v>0</v>
      </c>
      <c r="P4391" t="n">
        <v>0</v>
      </c>
      <c r="Q4391" t="n">
        <v>0</v>
      </c>
      <c r="R4391" s="2" t="inlineStr"/>
    </row>
    <row r="4392" ht="15" customHeight="1">
      <c r="A4392" t="inlineStr">
        <is>
          <t>A 62203-2021</t>
        </is>
      </c>
      <c r="B4392" s="1" t="n">
        <v>44502</v>
      </c>
      <c r="C4392" s="1" t="n">
        <v>45182</v>
      </c>
      <c r="D4392" t="inlineStr">
        <is>
          <t>JÄMTLANDS LÄN</t>
        </is>
      </c>
      <c r="E4392" t="inlineStr">
        <is>
          <t>STRÖMSUND</t>
        </is>
      </c>
      <c r="F4392" t="inlineStr">
        <is>
          <t>SCA</t>
        </is>
      </c>
      <c r="G4392" t="n">
        <v>2.3</v>
      </c>
      <c r="H4392" t="n">
        <v>0</v>
      </c>
      <c r="I4392" t="n">
        <v>0</v>
      </c>
      <c r="J4392" t="n">
        <v>0</v>
      </c>
      <c r="K4392" t="n">
        <v>0</v>
      </c>
      <c r="L4392" t="n">
        <v>0</v>
      </c>
      <c r="M4392" t="n">
        <v>0</v>
      </c>
      <c r="N4392" t="n">
        <v>0</v>
      </c>
      <c r="O4392" t="n">
        <v>0</v>
      </c>
      <c r="P4392" t="n">
        <v>0</v>
      </c>
      <c r="Q4392" t="n">
        <v>0</v>
      </c>
      <c r="R4392" s="2" t="inlineStr"/>
    </row>
    <row r="4393" ht="15" customHeight="1">
      <c r="A4393" t="inlineStr">
        <is>
          <t>A 62352-2021</t>
        </is>
      </c>
      <c r="B4393" s="1" t="n">
        <v>44502</v>
      </c>
      <c r="C4393" s="1" t="n">
        <v>45182</v>
      </c>
      <c r="D4393" t="inlineStr">
        <is>
          <t>JÄMTLANDS LÄN</t>
        </is>
      </c>
      <c r="E4393" t="inlineStr">
        <is>
          <t>ÅRE</t>
        </is>
      </c>
      <c r="F4393" t="inlineStr">
        <is>
          <t>Övriga statliga verk och myndigheter</t>
        </is>
      </c>
      <c r="G4393" t="n">
        <v>64.90000000000001</v>
      </c>
      <c r="H4393" t="n">
        <v>0</v>
      </c>
      <c r="I4393" t="n">
        <v>0</v>
      </c>
      <c r="J4393" t="n">
        <v>0</v>
      </c>
      <c r="K4393" t="n">
        <v>0</v>
      </c>
      <c r="L4393" t="n">
        <v>0</v>
      </c>
      <c r="M4393" t="n">
        <v>0</v>
      </c>
      <c r="N4393" t="n">
        <v>0</v>
      </c>
      <c r="O4393" t="n">
        <v>0</v>
      </c>
      <c r="P4393" t="n">
        <v>0</v>
      </c>
      <c r="Q4393" t="n">
        <v>0</v>
      </c>
      <c r="R4393" s="2" t="inlineStr"/>
    </row>
    <row r="4394" ht="15" customHeight="1">
      <c r="A4394" t="inlineStr">
        <is>
          <t>A 62270-2021</t>
        </is>
      </c>
      <c r="B4394" s="1" t="n">
        <v>44503</v>
      </c>
      <c r="C4394" s="1" t="n">
        <v>45182</v>
      </c>
      <c r="D4394" t="inlineStr">
        <is>
          <t>JÄMTLANDS LÄN</t>
        </is>
      </c>
      <c r="E4394" t="inlineStr">
        <is>
          <t>BRÄCKE</t>
        </is>
      </c>
      <c r="G4394" t="n">
        <v>6.6</v>
      </c>
      <c r="H4394" t="n">
        <v>0</v>
      </c>
      <c r="I4394" t="n">
        <v>0</v>
      </c>
      <c r="J4394" t="n">
        <v>0</v>
      </c>
      <c r="K4394" t="n">
        <v>0</v>
      </c>
      <c r="L4394" t="n">
        <v>0</v>
      </c>
      <c r="M4394" t="n">
        <v>0</v>
      </c>
      <c r="N4394" t="n">
        <v>0</v>
      </c>
      <c r="O4394" t="n">
        <v>0</v>
      </c>
      <c r="P4394" t="n">
        <v>0</v>
      </c>
      <c r="Q4394" t="n">
        <v>0</v>
      </c>
      <c r="R4394" s="2" t="inlineStr"/>
    </row>
    <row r="4395" ht="15" customHeight="1">
      <c r="A4395" t="inlineStr">
        <is>
          <t>A 62431-2021</t>
        </is>
      </c>
      <c r="B4395" s="1" t="n">
        <v>44503</v>
      </c>
      <c r="C4395" s="1" t="n">
        <v>45182</v>
      </c>
      <c r="D4395" t="inlineStr">
        <is>
          <t>JÄMTLANDS LÄN</t>
        </is>
      </c>
      <c r="E4395" t="inlineStr">
        <is>
          <t>STRÖMSUND</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62661-2021</t>
        </is>
      </c>
      <c r="B4396" s="1" t="n">
        <v>44503</v>
      </c>
      <c r="C4396" s="1" t="n">
        <v>45182</v>
      </c>
      <c r="D4396" t="inlineStr">
        <is>
          <t>JÄMTLANDS LÄN</t>
        </is>
      </c>
      <c r="E4396" t="inlineStr">
        <is>
          <t>BERG</t>
        </is>
      </c>
      <c r="F4396" t="inlineStr">
        <is>
          <t>SCA</t>
        </is>
      </c>
      <c r="G4396" t="n">
        <v>1.7</v>
      </c>
      <c r="H4396" t="n">
        <v>0</v>
      </c>
      <c r="I4396" t="n">
        <v>0</v>
      </c>
      <c r="J4396" t="n">
        <v>0</v>
      </c>
      <c r="K4396" t="n">
        <v>0</v>
      </c>
      <c r="L4396" t="n">
        <v>0</v>
      </c>
      <c r="M4396" t="n">
        <v>0</v>
      </c>
      <c r="N4396" t="n">
        <v>0</v>
      </c>
      <c r="O4396" t="n">
        <v>0</v>
      </c>
      <c r="P4396" t="n">
        <v>0</v>
      </c>
      <c r="Q4396" t="n">
        <v>0</v>
      </c>
      <c r="R4396" s="2" t="inlineStr"/>
    </row>
    <row r="4397" ht="15" customHeight="1">
      <c r="A4397" t="inlineStr">
        <is>
          <t>A 64760-2021</t>
        </is>
      </c>
      <c r="B4397" s="1" t="n">
        <v>44503</v>
      </c>
      <c r="C4397" s="1" t="n">
        <v>45182</v>
      </c>
      <c r="D4397" t="inlineStr">
        <is>
          <t>JÄMTLANDS LÄN</t>
        </is>
      </c>
      <c r="E4397" t="inlineStr">
        <is>
          <t>STRÖMSUND</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62249-2021</t>
        </is>
      </c>
      <c r="B4398" s="1" t="n">
        <v>44503</v>
      </c>
      <c r="C4398" s="1" t="n">
        <v>45182</v>
      </c>
      <c r="D4398" t="inlineStr">
        <is>
          <t>JÄMTLANDS LÄN</t>
        </is>
      </c>
      <c r="E4398" t="inlineStr">
        <is>
          <t>BRÄCKE</t>
        </is>
      </c>
      <c r="G4398" t="n">
        <v>2.9</v>
      </c>
      <c r="H4398" t="n">
        <v>0</v>
      </c>
      <c r="I4398" t="n">
        <v>0</v>
      </c>
      <c r="J4398" t="n">
        <v>0</v>
      </c>
      <c r="K4398" t="n">
        <v>0</v>
      </c>
      <c r="L4398" t="n">
        <v>0</v>
      </c>
      <c r="M4398" t="n">
        <v>0</v>
      </c>
      <c r="N4398" t="n">
        <v>0</v>
      </c>
      <c r="O4398" t="n">
        <v>0</v>
      </c>
      <c r="P4398" t="n">
        <v>0</v>
      </c>
      <c r="Q4398" t="n">
        <v>0</v>
      </c>
      <c r="R4398" s="2" t="inlineStr"/>
    </row>
    <row r="4399" ht="15" customHeight="1">
      <c r="A4399" t="inlineStr">
        <is>
          <t>A 64744-2021</t>
        </is>
      </c>
      <c r="B4399" s="1" t="n">
        <v>44503</v>
      </c>
      <c r="C4399" s="1" t="n">
        <v>45182</v>
      </c>
      <c r="D4399" t="inlineStr">
        <is>
          <t>JÄMTLANDS LÄN</t>
        </is>
      </c>
      <c r="E4399" t="inlineStr">
        <is>
          <t>STRÖMSUND</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62448-2021</t>
        </is>
      </c>
      <c r="B4400" s="1" t="n">
        <v>44503</v>
      </c>
      <c r="C4400" s="1" t="n">
        <v>45182</v>
      </c>
      <c r="D4400" t="inlineStr">
        <is>
          <t>JÄMTLANDS LÄN</t>
        </is>
      </c>
      <c r="E4400" t="inlineStr">
        <is>
          <t>STRÖMSUND</t>
        </is>
      </c>
      <c r="G4400" t="n">
        <v>13.4</v>
      </c>
      <c r="H4400" t="n">
        <v>0</v>
      </c>
      <c r="I4400" t="n">
        <v>0</v>
      </c>
      <c r="J4400" t="n">
        <v>0</v>
      </c>
      <c r="K4400" t="n">
        <v>0</v>
      </c>
      <c r="L4400" t="n">
        <v>0</v>
      </c>
      <c r="M4400" t="n">
        <v>0</v>
      </c>
      <c r="N4400" t="n">
        <v>0</v>
      </c>
      <c r="O4400" t="n">
        <v>0</v>
      </c>
      <c r="P4400" t="n">
        <v>0</v>
      </c>
      <c r="Q4400" t="n">
        <v>0</v>
      </c>
      <c r="R4400" s="2" t="inlineStr"/>
    </row>
    <row r="4401" ht="15" customHeight="1">
      <c r="A4401" t="inlineStr">
        <is>
          <t>A 62739-2021</t>
        </is>
      </c>
      <c r="B4401" s="1" t="n">
        <v>44504</v>
      </c>
      <c r="C4401" s="1" t="n">
        <v>45182</v>
      </c>
      <c r="D4401" t="inlineStr">
        <is>
          <t>JÄMTLANDS LÄN</t>
        </is>
      </c>
      <c r="E4401" t="inlineStr">
        <is>
          <t>KROKOM</t>
        </is>
      </c>
      <c r="G4401" t="n">
        <v>8.300000000000001</v>
      </c>
      <c r="H4401" t="n">
        <v>0</v>
      </c>
      <c r="I4401" t="n">
        <v>0</v>
      </c>
      <c r="J4401" t="n">
        <v>0</v>
      </c>
      <c r="K4401" t="n">
        <v>0</v>
      </c>
      <c r="L4401" t="n">
        <v>0</v>
      </c>
      <c r="M4401" t="n">
        <v>0</v>
      </c>
      <c r="N4401" t="n">
        <v>0</v>
      </c>
      <c r="O4401" t="n">
        <v>0</v>
      </c>
      <c r="P4401" t="n">
        <v>0</v>
      </c>
      <c r="Q4401" t="n">
        <v>0</v>
      </c>
      <c r="R4401" s="2" t="inlineStr"/>
    </row>
    <row r="4402" ht="15" customHeight="1">
      <c r="A4402" t="inlineStr">
        <is>
          <t>A 62954-2021</t>
        </is>
      </c>
      <c r="B4402" s="1" t="n">
        <v>44504</v>
      </c>
      <c r="C4402" s="1" t="n">
        <v>45182</v>
      </c>
      <c r="D4402" t="inlineStr">
        <is>
          <t>JÄMTLANDS LÄN</t>
        </is>
      </c>
      <c r="E4402" t="inlineStr">
        <is>
          <t>BRÄCKE</t>
        </is>
      </c>
      <c r="F4402" t="inlineStr">
        <is>
          <t>SCA</t>
        </is>
      </c>
      <c r="G4402" t="n">
        <v>2.7</v>
      </c>
      <c r="H4402" t="n">
        <v>0</v>
      </c>
      <c r="I4402" t="n">
        <v>0</v>
      </c>
      <c r="J4402" t="n">
        <v>0</v>
      </c>
      <c r="K4402" t="n">
        <v>0</v>
      </c>
      <c r="L4402" t="n">
        <v>0</v>
      </c>
      <c r="M4402" t="n">
        <v>0</v>
      </c>
      <c r="N4402" t="n">
        <v>0</v>
      </c>
      <c r="O4402" t="n">
        <v>0</v>
      </c>
      <c r="P4402" t="n">
        <v>0</v>
      </c>
      <c r="Q4402" t="n">
        <v>0</v>
      </c>
      <c r="R4402" s="2" t="inlineStr"/>
    </row>
    <row r="4403" ht="15" customHeight="1">
      <c r="A4403" t="inlineStr">
        <is>
          <t>A 62953-2021</t>
        </is>
      </c>
      <c r="B4403" s="1" t="n">
        <v>44504</v>
      </c>
      <c r="C4403" s="1" t="n">
        <v>45182</v>
      </c>
      <c r="D4403" t="inlineStr">
        <is>
          <t>JÄMTLANDS LÄN</t>
        </is>
      </c>
      <c r="E4403" t="inlineStr">
        <is>
          <t>BRÄCKE</t>
        </is>
      </c>
      <c r="F4403" t="inlineStr">
        <is>
          <t>SCA</t>
        </is>
      </c>
      <c r="G4403" t="n">
        <v>1.6</v>
      </c>
      <c r="H4403" t="n">
        <v>0</v>
      </c>
      <c r="I4403" t="n">
        <v>0</v>
      </c>
      <c r="J4403" t="n">
        <v>0</v>
      </c>
      <c r="K4403" t="n">
        <v>0</v>
      </c>
      <c r="L4403" t="n">
        <v>0</v>
      </c>
      <c r="M4403" t="n">
        <v>0</v>
      </c>
      <c r="N4403" t="n">
        <v>0</v>
      </c>
      <c r="O4403" t="n">
        <v>0</v>
      </c>
      <c r="P4403" t="n">
        <v>0</v>
      </c>
      <c r="Q4403" t="n">
        <v>0</v>
      </c>
      <c r="R4403" s="2" t="inlineStr"/>
    </row>
    <row r="4404" ht="15" customHeight="1">
      <c r="A4404" t="inlineStr">
        <is>
          <t>A 63226-2021</t>
        </is>
      </c>
      <c r="B4404" s="1" t="n">
        <v>44504</v>
      </c>
      <c r="C4404" s="1" t="n">
        <v>45182</v>
      </c>
      <c r="D4404" t="inlineStr">
        <is>
          <t>JÄMTLANDS LÄN</t>
        </is>
      </c>
      <c r="E4404" t="inlineStr">
        <is>
          <t>ÅRE</t>
        </is>
      </c>
      <c r="G4404" t="n">
        <v>1.7</v>
      </c>
      <c r="H4404" t="n">
        <v>0</v>
      </c>
      <c r="I4404" t="n">
        <v>0</v>
      </c>
      <c r="J4404" t="n">
        <v>0</v>
      </c>
      <c r="K4404" t="n">
        <v>0</v>
      </c>
      <c r="L4404" t="n">
        <v>0</v>
      </c>
      <c r="M4404" t="n">
        <v>0</v>
      </c>
      <c r="N4404" t="n">
        <v>0</v>
      </c>
      <c r="O4404" t="n">
        <v>0</v>
      </c>
      <c r="P4404" t="n">
        <v>0</v>
      </c>
      <c r="Q4404" t="n">
        <v>0</v>
      </c>
      <c r="R4404" s="2" t="inlineStr"/>
    </row>
    <row r="4405" ht="15" customHeight="1">
      <c r="A4405" t="inlineStr">
        <is>
          <t>A 63168-2021</t>
        </is>
      </c>
      <c r="B4405" s="1" t="n">
        <v>44505</v>
      </c>
      <c r="C4405" s="1" t="n">
        <v>45182</v>
      </c>
      <c r="D4405" t="inlineStr">
        <is>
          <t>JÄMTLANDS LÄN</t>
        </is>
      </c>
      <c r="E4405" t="inlineStr">
        <is>
          <t>RAGUNDA</t>
        </is>
      </c>
      <c r="F4405" t="inlineStr">
        <is>
          <t>SCA</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63169-2021</t>
        </is>
      </c>
      <c r="B4406" s="1" t="n">
        <v>44505</v>
      </c>
      <c r="C4406" s="1" t="n">
        <v>45182</v>
      </c>
      <c r="D4406" t="inlineStr">
        <is>
          <t>JÄMTLANDS LÄN</t>
        </is>
      </c>
      <c r="E4406" t="inlineStr">
        <is>
          <t>RAGUNDA</t>
        </is>
      </c>
      <c r="F4406" t="inlineStr">
        <is>
          <t>SCA</t>
        </is>
      </c>
      <c r="G4406" t="n">
        <v>3.8</v>
      </c>
      <c r="H4406" t="n">
        <v>0</v>
      </c>
      <c r="I4406" t="n">
        <v>0</v>
      </c>
      <c r="J4406" t="n">
        <v>0</v>
      </c>
      <c r="K4406" t="n">
        <v>0</v>
      </c>
      <c r="L4406" t="n">
        <v>0</v>
      </c>
      <c r="M4406" t="n">
        <v>0</v>
      </c>
      <c r="N4406" t="n">
        <v>0</v>
      </c>
      <c r="O4406" t="n">
        <v>0</v>
      </c>
      <c r="P4406" t="n">
        <v>0</v>
      </c>
      <c r="Q4406" t="n">
        <v>0</v>
      </c>
      <c r="R4406" s="2" t="inlineStr"/>
    </row>
    <row r="4407" ht="15" customHeight="1">
      <c r="A4407" t="inlineStr">
        <is>
          <t>A 63579-2021</t>
        </is>
      </c>
      <c r="B4407" s="1" t="n">
        <v>44508</v>
      </c>
      <c r="C4407" s="1" t="n">
        <v>45182</v>
      </c>
      <c r="D4407" t="inlineStr">
        <is>
          <t>JÄMTLANDS LÄN</t>
        </is>
      </c>
      <c r="E4407" t="inlineStr">
        <is>
          <t>BRÄCKE</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63774-2021</t>
        </is>
      </c>
      <c r="B4408" s="1" t="n">
        <v>44508</v>
      </c>
      <c r="C4408" s="1" t="n">
        <v>45182</v>
      </c>
      <c r="D4408" t="inlineStr">
        <is>
          <t>JÄMTLANDS LÄN</t>
        </is>
      </c>
      <c r="E4408" t="inlineStr">
        <is>
          <t>HÄRJEDALEN</t>
        </is>
      </c>
      <c r="F4408" t="inlineStr">
        <is>
          <t>Holmen skog AB</t>
        </is>
      </c>
      <c r="G4408" t="n">
        <v>14.8</v>
      </c>
      <c r="H4408" t="n">
        <v>0</v>
      </c>
      <c r="I4408" t="n">
        <v>0</v>
      </c>
      <c r="J4408" t="n">
        <v>0</v>
      </c>
      <c r="K4408" t="n">
        <v>0</v>
      </c>
      <c r="L4408" t="n">
        <v>0</v>
      </c>
      <c r="M4408" t="n">
        <v>0</v>
      </c>
      <c r="N4408" t="n">
        <v>0</v>
      </c>
      <c r="O4408" t="n">
        <v>0</v>
      </c>
      <c r="P4408" t="n">
        <v>0</v>
      </c>
      <c r="Q4408" t="n">
        <v>0</v>
      </c>
      <c r="R4408" s="2" t="inlineStr"/>
    </row>
    <row r="4409" ht="15" customHeight="1">
      <c r="A4409" t="inlineStr">
        <is>
          <t>A 63600-2021</t>
        </is>
      </c>
      <c r="B4409" s="1" t="n">
        <v>44508</v>
      </c>
      <c r="C4409" s="1" t="n">
        <v>45182</v>
      </c>
      <c r="D4409" t="inlineStr">
        <is>
          <t>JÄMTLANDS LÄN</t>
        </is>
      </c>
      <c r="E4409" t="inlineStr">
        <is>
          <t>BRÄCKE</t>
        </is>
      </c>
      <c r="F4409" t="inlineStr">
        <is>
          <t>SCA</t>
        </is>
      </c>
      <c r="G4409" t="n">
        <v>2.5</v>
      </c>
      <c r="H4409" t="n">
        <v>0</v>
      </c>
      <c r="I4409" t="n">
        <v>0</v>
      </c>
      <c r="J4409" t="n">
        <v>0</v>
      </c>
      <c r="K4409" t="n">
        <v>0</v>
      </c>
      <c r="L4409" t="n">
        <v>0</v>
      </c>
      <c r="M4409" t="n">
        <v>0</v>
      </c>
      <c r="N4409" t="n">
        <v>0</v>
      </c>
      <c r="O4409" t="n">
        <v>0</v>
      </c>
      <c r="P4409" t="n">
        <v>0</v>
      </c>
      <c r="Q4409" t="n">
        <v>0</v>
      </c>
      <c r="R4409" s="2" t="inlineStr"/>
    </row>
    <row r="4410" ht="15" customHeight="1">
      <c r="A4410" t="inlineStr">
        <is>
          <t>A 63988-2021</t>
        </is>
      </c>
      <c r="B4410" s="1" t="n">
        <v>44509</v>
      </c>
      <c r="C4410" s="1" t="n">
        <v>45182</v>
      </c>
      <c r="D4410" t="inlineStr">
        <is>
          <t>JÄMTLANDS LÄN</t>
        </is>
      </c>
      <c r="E4410" t="inlineStr">
        <is>
          <t>STRÖMSUND</t>
        </is>
      </c>
      <c r="F4410" t="inlineStr">
        <is>
          <t>SCA</t>
        </is>
      </c>
      <c r="G4410" t="n">
        <v>5.7</v>
      </c>
      <c r="H4410" t="n">
        <v>0</v>
      </c>
      <c r="I4410" t="n">
        <v>0</v>
      </c>
      <c r="J4410" t="n">
        <v>0</v>
      </c>
      <c r="K4410" t="n">
        <v>0</v>
      </c>
      <c r="L4410" t="n">
        <v>0</v>
      </c>
      <c r="M4410" t="n">
        <v>0</v>
      </c>
      <c r="N4410" t="n">
        <v>0</v>
      </c>
      <c r="O4410" t="n">
        <v>0</v>
      </c>
      <c r="P4410" t="n">
        <v>0</v>
      </c>
      <c r="Q4410" t="n">
        <v>0</v>
      </c>
      <c r="R4410" s="2" t="inlineStr"/>
    </row>
    <row r="4411" ht="15" customHeight="1">
      <c r="A4411" t="inlineStr">
        <is>
          <t>A 64001-2021</t>
        </is>
      </c>
      <c r="B4411" s="1" t="n">
        <v>44509</v>
      </c>
      <c r="C4411" s="1" t="n">
        <v>45182</v>
      </c>
      <c r="D4411" t="inlineStr">
        <is>
          <t>JÄMTLANDS LÄN</t>
        </is>
      </c>
      <c r="E4411" t="inlineStr">
        <is>
          <t>STRÖMSUND</t>
        </is>
      </c>
      <c r="F4411" t="inlineStr">
        <is>
          <t>SCA</t>
        </is>
      </c>
      <c r="G4411" t="n">
        <v>2.3</v>
      </c>
      <c r="H4411" t="n">
        <v>0</v>
      </c>
      <c r="I4411" t="n">
        <v>0</v>
      </c>
      <c r="J4411" t="n">
        <v>0</v>
      </c>
      <c r="K4411" t="n">
        <v>0</v>
      </c>
      <c r="L4411" t="n">
        <v>0</v>
      </c>
      <c r="M4411" t="n">
        <v>0</v>
      </c>
      <c r="N4411" t="n">
        <v>0</v>
      </c>
      <c r="O4411" t="n">
        <v>0</v>
      </c>
      <c r="P4411" t="n">
        <v>0</v>
      </c>
      <c r="Q4411" t="n">
        <v>0</v>
      </c>
      <c r="R4411" s="2" t="inlineStr"/>
    </row>
    <row r="4412" ht="15" customHeight="1">
      <c r="A4412" t="inlineStr">
        <is>
          <t>A 63875-2021</t>
        </is>
      </c>
      <c r="B4412" s="1" t="n">
        <v>44509</v>
      </c>
      <c r="C4412" s="1" t="n">
        <v>45182</v>
      </c>
      <c r="D4412" t="inlineStr">
        <is>
          <t>JÄMTLANDS LÄN</t>
        </is>
      </c>
      <c r="E4412" t="inlineStr">
        <is>
          <t>STRÖMSUND</t>
        </is>
      </c>
      <c r="G4412" t="n">
        <v>0.8</v>
      </c>
      <c r="H4412" t="n">
        <v>0</v>
      </c>
      <c r="I4412" t="n">
        <v>0</v>
      </c>
      <c r="J4412" t="n">
        <v>0</v>
      </c>
      <c r="K4412" t="n">
        <v>0</v>
      </c>
      <c r="L4412" t="n">
        <v>0</v>
      </c>
      <c r="M4412" t="n">
        <v>0</v>
      </c>
      <c r="N4412" t="n">
        <v>0</v>
      </c>
      <c r="O4412" t="n">
        <v>0</v>
      </c>
      <c r="P4412" t="n">
        <v>0</v>
      </c>
      <c r="Q4412" t="n">
        <v>0</v>
      </c>
      <c r="R4412" s="2" t="inlineStr"/>
    </row>
    <row r="4413" ht="15" customHeight="1">
      <c r="A4413" t="inlineStr">
        <is>
          <t>A 63982-2021</t>
        </is>
      </c>
      <c r="B4413" s="1" t="n">
        <v>44509</v>
      </c>
      <c r="C4413" s="1" t="n">
        <v>45182</v>
      </c>
      <c r="D4413" t="inlineStr">
        <is>
          <t>JÄMTLANDS LÄN</t>
        </is>
      </c>
      <c r="E4413" t="inlineStr">
        <is>
          <t>STRÖMSUND</t>
        </is>
      </c>
      <c r="G4413" t="n">
        <v>9.4</v>
      </c>
      <c r="H4413" t="n">
        <v>0</v>
      </c>
      <c r="I4413" t="n">
        <v>0</v>
      </c>
      <c r="J4413" t="n">
        <v>0</v>
      </c>
      <c r="K4413" t="n">
        <v>0</v>
      </c>
      <c r="L4413" t="n">
        <v>0</v>
      </c>
      <c r="M4413" t="n">
        <v>0</v>
      </c>
      <c r="N4413" t="n">
        <v>0</v>
      </c>
      <c r="O4413" t="n">
        <v>0</v>
      </c>
      <c r="P4413" t="n">
        <v>0</v>
      </c>
      <c r="Q4413" t="n">
        <v>0</v>
      </c>
      <c r="R4413" s="2" t="inlineStr"/>
    </row>
    <row r="4414" ht="15" customHeight="1">
      <c r="A4414" t="inlineStr">
        <is>
          <t>A 63995-2021</t>
        </is>
      </c>
      <c r="B4414" s="1" t="n">
        <v>44509</v>
      </c>
      <c r="C4414" s="1" t="n">
        <v>45182</v>
      </c>
      <c r="D4414" t="inlineStr">
        <is>
          <t>JÄMTLANDS LÄN</t>
        </is>
      </c>
      <c r="E4414" t="inlineStr">
        <is>
          <t>BRÄCKE</t>
        </is>
      </c>
      <c r="F4414" t="inlineStr">
        <is>
          <t>SCA</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64200-2021</t>
        </is>
      </c>
      <c r="B4415" s="1" t="n">
        <v>44510</v>
      </c>
      <c r="C4415" s="1" t="n">
        <v>45182</v>
      </c>
      <c r="D4415" t="inlineStr">
        <is>
          <t>JÄMTLANDS LÄN</t>
        </is>
      </c>
      <c r="E4415" t="inlineStr">
        <is>
          <t>STRÖMSUND</t>
        </is>
      </c>
      <c r="G4415" t="n">
        <v>2.1</v>
      </c>
      <c r="H4415" t="n">
        <v>0</v>
      </c>
      <c r="I4415" t="n">
        <v>0</v>
      </c>
      <c r="J4415" t="n">
        <v>0</v>
      </c>
      <c r="K4415" t="n">
        <v>0</v>
      </c>
      <c r="L4415" t="n">
        <v>0</v>
      </c>
      <c r="M4415" t="n">
        <v>0</v>
      </c>
      <c r="N4415" t="n">
        <v>0</v>
      </c>
      <c r="O4415" t="n">
        <v>0</v>
      </c>
      <c r="P4415" t="n">
        <v>0</v>
      </c>
      <c r="Q4415" t="n">
        <v>0</v>
      </c>
      <c r="R4415" s="2" t="inlineStr"/>
    </row>
    <row r="4416" ht="15" customHeight="1">
      <c r="A4416" t="inlineStr">
        <is>
          <t>A 64219-2021</t>
        </is>
      </c>
      <c r="B4416" s="1" t="n">
        <v>44510</v>
      </c>
      <c r="C4416" s="1" t="n">
        <v>45182</v>
      </c>
      <c r="D4416" t="inlineStr">
        <is>
          <t>JÄMTLANDS LÄN</t>
        </is>
      </c>
      <c r="E4416" t="inlineStr">
        <is>
          <t>ÅRE</t>
        </is>
      </c>
      <c r="G4416" t="n">
        <v>5.1</v>
      </c>
      <c r="H4416" t="n">
        <v>0</v>
      </c>
      <c r="I4416" t="n">
        <v>0</v>
      </c>
      <c r="J4416" t="n">
        <v>0</v>
      </c>
      <c r="K4416" t="n">
        <v>0</v>
      </c>
      <c r="L4416" t="n">
        <v>0</v>
      </c>
      <c r="M4416" t="n">
        <v>0</v>
      </c>
      <c r="N4416" t="n">
        <v>0</v>
      </c>
      <c r="O4416" t="n">
        <v>0</v>
      </c>
      <c r="P4416" t="n">
        <v>0</v>
      </c>
      <c r="Q4416" t="n">
        <v>0</v>
      </c>
      <c r="R4416" s="2" t="inlineStr"/>
    </row>
    <row r="4417" ht="15" customHeight="1">
      <c r="A4417" t="inlineStr">
        <is>
          <t>A 64245-2021</t>
        </is>
      </c>
      <c r="B4417" s="1" t="n">
        <v>44510</v>
      </c>
      <c r="C4417" s="1" t="n">
        <v>45182</v>
      </c>
      <c r="D4417" t="inlineStr">
        <is>
          <t>JÄMTLANDS LÄN</t>
        </is>
      </c>
      <c r="E4417" t="inlineStr">
        <is>
          <t>ÅRE</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64171-2021</t>
        </is>
      </c>
      <c r="B4418" s="1" t="n">
        <v>44510</v>
      </c>
      <c r="C4418" s="1" t="n">
        <v>45182</v>
      </c>
      <c r="D4418" t="inlineStr">
        <is>
          <t>JÄMTLANDS LÄN</t>
        </is>
      </c>
      <c r="E4418" t="inlineStr">
        <is>
          <t>KROKOM</t>
        </is>
      </c>
      <c r="G4418" t="n">
        <v>11.4</v>
      </c>
      <c r="H4418" t="n">
        <v>0</v>
      </c>
      <c r="I4418" t="n">
        <v>0</v>
      </c>
      <c r="J4418" t="n">
        <v>0</v>
      </c>
      <c r="K4418" t="n">
        <v>0</v>
      </c>
      <c r="L4418" t="n">
        <v>0</v>
      </c>
      <c r="M4418" t="n">
        <v>0</v>
      </c>
      <c r="N4418" t="n">
        <v>0</v>
      </c>
      <c r="O4418" t="n">
        <v>0</v>
      </c>
      <c r="P4418" t="n">
        <v>0</v>
      </c>
      <c r="Q4418" t="n">
        <v>0</v>
      </c>
      <c r="R4418" s="2" t="inlineStr"/>
    </row>
    <row r="4419" ht="15" customHeight="1">
      <c r="A4419" t="inlineStr">
        <is>
          <t>A 64291-2021</t>
        </is>
      </c>
      <c r="B4419" s="1" t="n">
        <v>44510</v>
      </c>
      <c r="C4419" s="1" t="n">
        <v>45182</v>
      </c>
      <c r="D4419" t="inlineStr">
        <is>
          <t>JÄMTLANDS LÄN</t>
        </is>
      </c>
      <c r="E4419" t="inlineStr">
        <is>
          <t>STRÖMSUND</t>
        </is>
      </c>
      <c r="G4419" t="n">
        <v>3.2</v>
      </c>
      <c r="H4419" t="n">
        <v>0</v>
      </c>
      <c r="I4419" t="n">
        <v>0</v>
      </c>
      <c r="J4419" t="n">
        <v>0</v>
      </c>
      <c r="K4419" t="n">
        <v>0</v>
      </c>
      <c r="L4419" t="n">
        <v>0</v>
      </c>
      <c r="M4419" t="n">
        <v>0</v>
      </c>
      <c r="N4419" t="n">
        <v>0</v>
      </c>
      <c r="O4419" t="n">
        <v>0</v>
      </c>
      <c r="P4419" t="n">
        <v>0</v>
      </c>
      <c r="Q4419" t="n">
        <v>0</v>
      </c>
      <c r="R4419" s="2" t="inlineStr"/>
    </row>
    <row r="4420" ht="15" customHeight="1">
      <c r="A4420" t="inlineStr">
        <is>
          <t>A 64309-2021</t>
        </is>
      </c>
      <c r="B4420" s="1" t="n">
        <v>44510</v>
      </c>
      <c r="C4420" s="1" t="n">
        <v>45182</v>
      </c>
      <c r="D4420" t="inlineStr">
        <is>
          <t>JÄMTLANDS LÄN</t>
        </is>
      </c>
      <c r="E4420" t="inlineStr">
        <is>
          <t>STRÖMSUND</t>
        </is>
      </c>
      <c r="F4420" t="inlineStr">
        <is>
          <t>SCA</t>
        </is>
      </c>
      <c r="G4420" t="n">
        <v>1.5</v>
      </c>
      <c r="H4420" t="n">
        <v>0</v>
      </c>
      <c r="I4420" t="n">
        <v>0</v>
      </c>
      <c r="J4420" t="n">
        <v>0</v>
      </c>
      <c r="K4420" t="n">
        <v>0</v>
      </c>
      <c r="L4420" t="n">
        <v>0</v>
      </c>
      <c r="M4420" t="n">
        <v>0</v>
      </c>
      <c r="N4420" t="n">
        <v>0</v>
      </c>
      <c r="O4420" t="n">
        <v>0</v>
      </c>
      <c r="P4420" t="n">
        <v>0</v>
      </c>
      <c r="Q4420" t="n">
        <v>0</v>
      </c>
      <c r="R4420" s="2" t="inlineStr"/>
    </row>
    <row r="4421" ht="15" customHeight="1">
      <c r="A4421" t="inlineStr">
        <is>
          <t>A 64186-2021</t>
        </is>
      </c>
      <c r="B4421" s="1" t="n">
        <v>44510</v>
      </c>
      <c r="C4421" s="1" t="n">
        <v>45182</v>
      </c>
      <c r="D4421" t="inlineStr">
        <is>
          <t>JÄMTLANDS LÄN</t>
        </is>
      </c>
      <c r="E4421" t="inlineStr">
        <is>
          <t>STRÖMSUND</t>
        </is>
      </c>
      <c r="G4421" t="n">
        <v>18.2</v>
      </c>
      <c r="H4421" t="n">
        <v>0</v>
      </c>
      <c r="I4421" t="n">
        <v>0</v>
      </c>
      <c r="J4421" t="n">
        <v>0</v>
      </c>
      <c r="K4421" t="n">
        <v>0</v>
      </c>
      <c r="L4421" t="n">
        <v>0</v>
      </c>
      <c r="M4421" t="n">
        <v>0</v>
      </c>
      <c r="N4421" t="n">
        <v>0</v>
      </c>
      <c r="O4421" t="n">
        <v>0</v>
      </c>
      <c r="P4421" t="n">
        <v>0</v>
      </c>
      <c r="Q4421" t="n">
        <v>0</v>
      </c>
      <c r="R4421" s="2" t="inlineStr"/>
    </row>
    <row r="4422" ht="15" customHeight="1">
      <c r="A4422" t="inlineStr">
        <is>
          <t>A 64237-2021</t>
        </is>
      </c>
      <c r="B4422" s="1" t="n">
        <v>44510</v>
      </c>
      <c r="C4422" s="1" t="n">
        <v>45182</v>
      </c>
      <c r="D4422" t="inlineStr">
        <is>
          <t>JÄMTLANDS LÄN</t>
        </is>
      </c>
      <c r="E4422" t="inlineStr">
        <is>
          <t>ÅRE</t>
        </is>
      </c>
      <c r="G4422" t="n">
        <v>2.7</v>
      </c>
      <c r="H4422" t="n">
        <v>0</v>
      </c>
      <c r="I4422" t="n">
        <v>0</v>
      </c>
      <c r="J4422" t="n">
        <v>0</v>
      </c>
      <c r="K4422" t="n">
        <v>0</v>
      </c>
      <c r="L4422" t="n">
        <v>0</v>
      </c>
      <c r="M4422" t="n">
        <v>0</v>
      </c>
      <c r="N4422" t="n">
        <v>0</v>
      </c>
      <c r="O4422" t="n">
        <v>0</v>
      </c>
      <c r="P4422" t="n">
        <v>0</v>
      </c>
      <c r="Q4422" t="n">
        <v>0</v>
      </c>
      <c r="R4422" s="2" t="inlineStr"/>
    </row>
    <row r="4423" ht="15" customHeight="1">
      <c r="A4423" t="inlineStr">
        <is>
          <t>A 64196-2021</t>
        </is>
      </c>
      <c r="B4423" s="1" t="n">
        <v>44510</v>
      </c>
      <c r="C4423" s="1" t="n">
        <v>45182</v>
      </c>
      <c r="D4423" t="inlineStr">
        <is>
          <t>JÄMTLANDS LÄN</t>
        </is>
      </c>
      <c r="E4423" t="inlineStr">
        <is>
          <t>ÅRE</t>
        </is>
      </c>
      <c r="G4423" t="n">
        <v>0.8</v>
      </c>
      <c r="H4423" t="n">
        <v>0</v>
      </c>
      <c r="I4423" t="n">
        <v>0</v>
      </c>
      <c r="J4423" t="n">
        <v>0</v>
      </c>
      <c r="K4423" t="n">
        <v>0</v>
      </c>
      <c r="L4423" t="n">
        <v>0</v>
      </c>
      <c r="M4423" t="n">
        <v>0</v>
      </c>
      <c r="N4423" t="n">
        <v>0</v>
      </c>
      <c r="O4423" t="n">
        <v>0</v>
      </c>
      <c r="P4423" t="n">
        <v>0</v>
      </c>
      <c r="Q4423" t="n">
        <v>0</v>
      </c>
      <c r="R4423" s="2" t="inlineStr"/>
    </row>
    <row r="4424" ht="15" customHeight="1">
      <c r="A4424" t="inlineStr">
        <is>
          <t>A 64660-2021</t>
        </is>
      </c>
      <c r="B4424" s="1" t="n">
        <v>44511</v>
      </c>
      <c r="C4424" s="1" t="n">
        <v>45182</v>
      </c>
      <c r="D4424" t="inlineStr">
        <is>
          <t>JÄMTLANDS LÄN</t>
        </is>
      </c>
      <c r="E4424" t="inlineStr">
        <is>
          <t>STRÖMSUND</t>
        </is>
      </c>
      <c r="F4424" t="inlineStr">
        <is>
          <t>SCA</t>
        </is>
      </c>
      <c r="G4424" t="n">
        <v>2.8</v>
      </c>
      <c r="H4424" t="n">
        <v>0</v>
      </c>
      <c r="I4424" t="n">
        <v>0</v>
      </c>
      <c r="J4424" t="n">
        <v>0</v>
      </c>
      <c r="K4424" t="n">
        <v>0</v>
      </c>
      <c r="L4424" t="n">
        <v>0</v>
      </c>
      <c r="M4424" t="n">
        <v>0</v>
      </c>
      <c r="N4424" t="n">
        <v>0</v>
      </c>
      <c r="O4424" t="n">
        <v>0</v>
      </c>
      <c r="P4424" t="n">
        <v>0</v>
      </c>
      <c r="Q4424" t="n">
        <v>0</v>
      </c>
      <c r="R4424" s="2" t="inlineStr"/>
    </row>
    <row r="4425" ht="15" customHeight="1">
      <c r="A4425" t="inlineStr">
        <is>
          <t>A 64505-2021</t>
        </is>
      </c>
      <c r="B4425" s="1" t="n">
        <v>44511</v>
      </c>
      <c r="C4425" s="1" t="n">
        <v>45182</v>
      </c>
      <c r="D4425" t="inlineStr">
        <is>
          <t>JÄMTLANDS LÄN</t>
        </is>
      </c>
      <c r="E4425" t="inlineStr">
        <is>
          <t>STRÖMSUND</t>
        </is>
      </c>
      <c r="G4425" t="n">
        <v>0.7</v>
      </c>
      <c r="H4425" t="n">
        <v>0</v>
      </c>
      <c r="I4425" t="n">
        <v>0</v>
      </c>
      <c r="J4425" t="n">
        <v>0</v>
      </c>
      <c r="K4425" t="n">
        <v>0</v>
      </c>
      <c r="L4425" t="n">
        <v>0</v>
      </c>
      <c r="M4425" t="n">
        <v>0</v>
      </c>
      <c r="N4425" t="n">
        <v>0</v>
      </c>
      <c r="O4425" t="n">
        <v>0</v>
      </c>
      <c r="P4425" t="n">
        <v>0</v>
      </c>
      <c r="Q4425" t="n">
        <v>0</v>
      </c>
      <c r="R4425" s="2" t="inlineStr"/>
    </row>
    <row r="4426" ht="15" customHeight="1">
      <c r="A4426" t="inlineStr">
        <is>
          <t>A 64511-2021</t>
        </is>
      </c>
      <c r="B4426" s="1" t="n">
        <v>44511</v>
      </c>
      <c r="C4426" s="1" t="n">
        <v>45182</v>
      </c>
      <c r="D4426" t="inlineStr">
        <is>
          <t>JÄMTLANDS LÄN</t>
        </is>
      </c>
      <c r="E4426" t="inlineStr">
        <is>
          <t>RAGUNDA</t>
        </is>
      </c>
      <c r="G4426" t="n">
        <v>19.4</v>
      </c>
      <c r="H4426" t="n">
        <v>0</v>
      </c>
      <c r="I4426" t="n">
        <v>0</v>
      </c>
      <c r="J4426" t="n">
        <v>0</v>
      </c>
      <c r="K4426" t="n">
        <v>0</v>
      </c>
      <c r="L4426" t="n">
        <v>0</v>
      </c>
      <c r="M4426" t="n">
        <v>0</v>
      </c>
      <c r="N4426" t="n">
        <v>0</v>
      </c>
      <c r="O4426" t="n">
        <v>0</v>
      </c>
      <c r="P4426" t="n">
        <v>0</v>
      </c>
      <c r="Q4426" t="n">
        <v>0</v>
      </c>
      <c r="R4426" s="2" t="inlineStr"/>
    </row>
    <row r="4427" ht="15" customHeight="1">
      <c r="A4427" t="inlineStr">
        <is>
          <t>A 64655-2021</t>
        </is>
      </c>
      <c r="B4427" s="1" t="n">
        <v>44511</v>
      </c>
      <c r="C4427" s="1" t="n">
        <v>45182</v>
      </c>
      <c r="D4427" t="inlineStr">
        <is>
          <t>JÄMTLANDS LÄN</t>
        </is>
      </c>
      <c r="E4427" t="inlineStr">
        <is>
          <t>STRÖMSUND</t>
        </is>
      </c>
      <c r="F4427" t="inlineStr">
        <is>
          <t>SCA</t>
        </is>
      </c>
      <c r="G4427" t="n">
        <v>10.2</v>
      </c>
      <c r="H4427" t="n">
        <v>0</v>
      </c>
      <c r="I4427" t="n">
        <v>0</v>
      </c>
      <c r="J4427" t="n">
        <v>0</v>
      </c>
      <c r="K4427" t="n">
        <v>0</v>
      </c>
      <c r="L4427" t="n">
        <v>0</v>
      </c>
      <c r="M4427" t="n">
        <v>0</v>
      </c>
      <c r="N4427" t="n">
        <v>0</v>
      </c>
      <c r="O4427" t="n">
        <v>0</v>
      </c>
      <c r="P4427" t="n">
        <v>0</v>
      </c>
      <c r="Q4427" t="n">
        <v>0</v>
      </c>
      <c r="R4427" s="2" t="inlineStr"/>
    </row>
    <row r="4428" ht="15" customHeight="1">
      <c r="A4428" t="inlineStr">
        <is>
          <t>A 64723-2021</t>
        </is>
      </c>
      <c r="B4428" s="1" t="n">
        <v>44512</v>
      </c>
      <c r="C4428" s="1" t="n">
        <v>45182</v>
      </c>
      <c r="D4428" t="inlineStr">
        <is>
          <t>JÄMTLANDS LÄN</t>
        </is>
      </c>
      <c r="E4428" t="inlineStr">
        <is>
          <t>STRÖMSUND</t>
        </is>
      </c>
      <c r="F4428" t="inlineStr">
        <is>
          <t>Holmen skog AB</t>
        </is>
      </c>
      <c r="G4428" t="n">
        <v>3.2</v>
      </c>
      <c r="H4428" t="n">
        <v>0</v>
      </c>
      <c r="I4428" t="n">
        <v>0</v>
      </c>
      <c r="J4428" t="n">
        <v>0</v>
      </c>
      <c r="K4428" t="n">
        <v>0</v>
      </c>
      <c r="L4428" t="n">
        <v>0</v>
      </c>
      <c r="M4428" t="n">
        <v>0</v>
      </c>
      <c r="N4428" t="n">
        <v>0</v>
      </c>
      <c r="O4428" t="n">
        <v>0</v>
      </c>
      <c r="P4428" t="n">
        <v>0</v>
      </c>
      <c r="Q4428" t="n">
        <v>0</v>
      </c>
      <c r="R4428" s="2" t="inlineStr"/>
    </row>
    <row r="4429" ht="15" customHeight="1">
      <c r="A4429" t="inlineStr">
        <is>
          <t>A 64913-2021</t>
        </is>
      </c>
      <c r="B4429" s="1" t="n">
        <v>44512</v>
      </c>
      <c r="C4429" s="1" t="n">
        <v>45182</v>
      </c>
      <c r="D4429" t="inlineStr">
        <is>
          <t>JÄMTLANDS LÄN</t>
        </is>
      </c>
      <c r="E4429" t="inlineStr">
        <is>
          <t>STRÖMSUND</t>
        </is>
      </c>
      <c r="G4429" t="n">
        <v>0.5</v>
      </c>
      <c r="H4429" t="n">
        <v>0</v>
      </c>
      <c r="I4429" t="n">
        <v>0</v>
      </c>
      <c r="J4429" t="n">
        <v>0</v>
      </c>
      <c r="K4429" t="n">
        <v>0</v>
      </c>
      <c r="L4429" t="n">
        <v>0</v>
      </c>
      <c r="M4429" t="n">
        <v>0</v>
      </c>
      <c r="N4429" t="n">
        <v>0</v>
      </c>
      <c r="O4429" t="n">
        <v>0</v>
      </c>
      <c r="P4429" t="n">
        <v>0</v>
      </c>
      <c r="Q4429" t="n">
        <v>0</v>
      </c>
      <c r="R4429" s="2" t="inlineStr"/>
    </row>
    <row r="4430" ht="15" customHeight="1">
      <c r="A4430" t="inlineStr">
        <is>
          <t>A 64966-2021</t>
        </is>
      </c>
      <c r="B4430" s="1" t="n">
        <v>44512</v>
      </c>
      <c r="C4430" s="1" t="n">
        <v>45182</v>
      </c>
      <c r="D4430" t="inlineStr">
        <is>
          <t>JÄMTLANDS LÄN</t>
        </is>
      </c>
      <c r="E4430" t="inlineStr">
        <is>
          <t>KROKOM</t>
        </is>
      </c>
      <c r="F4430" t="inlineStr">
        <is>
          <t>SCA</t>
        </is>
      </c>
      <c r="G4430" t="n">
        <v>3.6</v>
      </c>
      <c r="H4430" t="n">
        <v>0</v>
      </c>
      <c r="I4430" t="n">
        <v>0</v>
      </c>
      <c r="J4430" t="n">
        <v>0</v>
      </c>
      <c r="K4430" t="n">
        <v>0</v>
      </c>
      <c r="L4430" t="n">
        <v>0</v>
      </c>
      <c r="M4430" t="n">
        <v>0</v>
      </c>
      <c r="N4430" t="n">
        <v>0</v>
      </c>
      <c r="O4430" t="n">
        <v>0</v>
      </c>
      <c r="P4430" t="n">
        <v>0</v>
      </c>
      <c r="Q4430" t="n">
        <v>0</v>
      </c>
      <c r="R4430" s="2" t="inlineStr"/>
    </row>
    <row r="4431" ht="15" customHeight="1">
      <c r="A4431" t="inlineStr">
        <is>
          <t>A 65017-2021</t>
        </is>
      </c>
      <c r="B4431" s="1" t="n">
        <v>44512</v>
      </c>
      <c r="C4431" s="1" t="n">
        <v>45182</v>
      </c>
      <c r="D4431" t="inlineStr">
        <is>
          <t>JÄMTLANDS LÄN</t>
        </is>
      </c>
      <c r="E4431" t="inlineStr">
        <is>
          <t>RAGUNDA</t>
        </is>
      </c>
      <c r="G4431" t="n">
        <v>2.3</v>
      </c>
      <c r="H4431" t="n">
        <v>0</v>
      </c>
      <c r="I4431" t="n">
        <v>0</v>
      </c>
      <c r="J4431" t="n">
        <v>0</v>
      </c>
      <c r="K4431" t="n">
        <v>0</v>
      </c>
      <c r="L4431" t="n">
        <v>0</v>
      </c>
      <c r="M4431" t="n">
        <v>0</v>
      </c>
      <c r="N4431" t="n">
        <v>0</v>
      </c>
      <c r="O4431" t="n">
        <v>0</v>
      </c>
      <c r="P4431" t="n">
        <v>0</v>
      </c>
      <c r="Q4431" t="n">
        <v>0</v>
      </c>
      <c r="R4431" s="2" t="inlineStr"/>
    </row>
    <row r="4432" ht="15" customHeight="1">
      <c r="A4432" t="inlineStr">
        <is>
          <t>A 64709-2021</t>
        </is>
      </c>
      <c r="B4432" s="1" t="n">
        <v>44512</v>
      </c>
      <c r="C4432" s="1" t="n">
        <v>45182</v>
      </c>
      <c r="D4432" t="inlineStr">
        <is>
          <t>JÄMTLANDS LÄN</t>
        </is>
      </c>
      <c r="E4432" t="inlineStr">
        <is>
          <t>BERG</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65428-2021</t>
        </is>
      </c>
      <c r="B4433" s="1" t="n">
        <v>44515</v>
      </c>
      <c r="C4433" s="1" t="n">
        <v>45182</v>
      </c>
      <c r="D4433" t="inlineStr">
        <is>
          <t>JÄMTLANDS LÄN</t>
        </is>
      </c>
      <c r="E4433" t="inlineStr">
        <is>
          <t>ÖSTERSUND</t>
        </is>
      </c>
      <c r="F4433" t="inlineStr">
        <is>
          <t>SCA</t>
        </is>
      </c>
      <c r="G4433" t="n">
        <v>8.800000000000001</v>
      </c>
      <c r="H4433" t="n">
        <v>0</v>
      </c>
      <c r="I4433" t="n">
        <v>0</v>
      </c>
      <c r="J4433" t="n">
        <v>0</v>
      </c>
      <c r="K4433" t="n">
        <v>0</v>
      </c>
      <c r="L4433" t="n">
        <v>0</v>
      </c>
      <c r="M4433" t="n">
        <v>0</v>
      </c>
      <c r="N4433" t="n">
        <v>0</v>
      </c>
      <c r="O4433" t="n">
        <v>0</v>
      </c>
      <c r="P4433" t="n">
        <v>0</v>
      </c>
      <c r="Q4433" t="n">
        <v>0</v>
      </c>
      <c r="R4433" s="2" t="inlineStr"/>
    </row>
    <row r="4434" ht="15" customHeight="1">
      <c r="A4434" t="inlineStr">
        <is>
          <t>A 65239-2021</t>
        </is>
      </c>
      <c r="B4434" s="1" t="n">
        <v>44515</v>
      </c>
      <c r="C4434" s="1" t="n">
        <v>45182</v>
      </c>
      <c r="D4434" t="inlineStr">
        <is>
          <t>JÄMTLANDS LÄN</t>
        </is>
      </c>
      <c r="E4434" t="inlineStr">
        <is>
          <t>ÅRE</t>
        </is>
      </c>
      <c r="G4434" t="n">
        <v>0</v>
      </c>
      <c r="H4434" t="n">
        <v>0</v>
      </c>
      <c r="I4434" t="n">
        <v>0</v>
      </c>
      <c r="J4434" t="n">
        <v>0</v>
      </c>
      <c r="K4434" t="n">
        <v>0</v>
      </c>
      <c r="L4434" t="n">
        <v>0</v>
      </c>
      <c r="M4434" t="n">
        <v>0</v>
      </c>
      <c r="N4434" t="n">
        <v>0</v>
      </c>
      <c r="O4434" t="n">
        <v>0</v>
      </c>
      <c r="P4434" t="n">
        <v>0</v>
      </c>
      <c r="Q4434" t="n">
        <v>0</v>
      </c>
      <c r="R4434" s="2" t="inlineStr"/>
    </row>
    <row r="4435" ht="15" customHeight="1">
      <c r="A4435" t="inlineStr">
        <is>
          <t>A 65415-2021</t>
        </is>
      </c>
      <c r="B4435" s="1" t="n">
        <v>44515</v>
      </c>
      <c r="C4435" s="1" t="n">
        <v>45182</v>
      </c>
      <c r="D4435" t="inlineStr">
        <is>
          <t>JÄMTLANDS LÄN</t>
        </is>
      </c>
      <c r="E4435" t="inlineStr">
        <is>
          <t>ÅRE</t>
        </is>
      </c>
      <c r="G4435" t="n">
        <v>2.7</v>
      </c>
      <c r="H4435" t="n">
        <v>0</v>
      </c>
      <c r="I4435" t="n">
        <v>0</v>
      </c>
      <c r="J4435" t="n">
        <v>0</v>
      </c>
      <c r="K4435" t="n">
        <v>0</v>
      </c>
      <c r="L4435" t="n">
        <v>0</v>
      </c>
      <c r="M4435" t="n">
        <v>0</v>
      </c>
      <c r="N4435" t="n">
        <v>0</v>
      </c>
      <c r="O4435" t="n">
        <v>0</v>
      </c>
      <c r="P4435" t="n">
        <v>0</v>
      </c>
      <c r="Q4435" t="n">
        <v>0</v>
      </c>
      <c r="R4435" s="2" t="inlineStr"/>
    </row>
    <row r="4436" ht="15" customHeight="1">
      <c r="A4436" t="inlineStr">
        <is>
          <t>A 65508-2021</t>
        </is>
      </c>
      <c r="B4436" s="1" t="n">
        <v>44516</v>
      </c>
      <c r="C4436" s="1" t="n">
        <v>45182</v>
      </c>
      <c r="D4436" t="inlineStr">
        <is>
          <t>JÄMTLANDS LÄN</t>
        </is>
      </c>
      <c r="E4436" t="inlineStr">
        <is>
          <t>KROKOM</t>
        </is>
      </c>
      <c r="G4436" t="n">
        <v>0.3</v>
      </c>
      <c r="H4436" t="n">
        <v>0</v>
      </c>
      <c r="I4436" t="n">
        <v>0</v>
      </c>
      <c r="J4436" t="n">
        <v>0</v>
      </c>
      <c r="K4436" t="n">
        <v>0</v>
      </c>
      <c r="L4436" t="n">
        <v>0</v>
      </c>
      <c r="M4436" t="n">
        <v>0</v>
      </c>
      <c r="N4436" t="n">
        <v>0</v>
      </c>
      <c r="O4436" t="n">
        <v>0</v>
      </c>
      <c r="P4436" t="n">
        <v>0</v>
      </c>
      <c r="Q4436" t="n">
        <v>0</v>
      </c>
      <c r="R4436" s="2" t="inlineStr"/>
    </row>
    <row r="4437" ht="15" customHeight="1">
      <c r="A4437" t="inlineStr">
        <is>
          <t>A 65776-2021</t>
        </is>
      </c>
      <c r="B4437" s="1" t="n">
        <v>44516</v>
      </c>
      <c r="C4437" s="1" t="n">
        <v>45182</v>
      </c>
      <c r="D4437" t="inlineStr">
        <is>
          <t>JÄMTLANDS LÄN</t>
        </is>
      </c>
      <c r="E4437" t="inlineStr">
        <is>
          <t>STRÖMSUND</t>
        </is>
      </c>
      <c r="F4437" t="inlineStr">
        <is>
          <t>SCA</t>
        </is>
      </c>
      <c r="G4437" t="n">
        <v>0.9</v>
      </c>
      <c r="H4437" t="n">
        <v>0</v>
      </c>
      <c r="I4437" t="n">
        <v>0</v>
      </c>
      <c r="J4437" t="n">
        <v>0</v>
      </c>
      <c r="K4437" t="n">
        <v>0</v>
      </c>
      <c r="L4437" t="n">
        <v>0</v>
      </c>
      <c r="M4437" t="n">
        <v>0</v>
      </c>
      <c r="N4437" t="n">
        <v>0</v>
      </c>
      <c r="O4437" t="n">
        <v>0</v>
      </c>
      <c r="P4437" t="n">
        <v>0</v>
      </c>
      <c r="Q4437" t="n">
        <v>0</v>
      </c>
      <c r="R4437" s="2" t="inlineStr"/>
    </row>
    <row r="4438" ht="15" customHeight="1">
      <c r="A4438" t="inlineStr">
        <is>
          <t>A 65866-2021</t>
        </is>
      </c>
      <c r="B4438" s="1" t="n">
        <v>44516</v>
      </c>
      <c r="C4438" s="1" t="n">
        <v>45182</v>
      </c>
      <c r="D4438" t="inlineStr">
        <is>
          <t>JÄMTLANDS LÄN</t>
        </is>
      </c>
      <c r="E4438" t="inlineStr">
        <is>
          <t>ÖSTERSUND</t>
        </is>
      </c>
      <c r="G4438" t="n">
        <v>2.6</v>
      </c>
      <c r="H4438" t="n">
        <v>0</v>
      </c>
      <c r="I4438" t="n">
        <v>0</v>
      </c>
      <c r="J4438" t="n">
        <v>0</v>
      </c>
      <c r="K4438" t="n">
        <v>0</v>
      </c>
      <c r="L4438" t="n">
        <v>0</v>
      </c>
      <c r="M4438" t="n">
        <v>0</v>
      </c>
      <c r="N4438" t="n">
        <v>0</v>
      </c>
      <c r="O4438" t="n">
        <v>0</v>
      </c>
      <c r="P4438" t="n">
        <v>0</v>
      </c>
      <c r="Q4438" t="n">
        <v>0</v>
      </c>
      <c r="R4438" s="2" t="inlineStr"/>
    </row>
    <row r="4439" ht="15" customHeight="1">
      <c r="A4439" t="inlineStr">
        <is>
          <t>A 65782-2021</t>
        </is>
      </c>
      <c r="B4439" s="1" t="n">
        <v>44516</v>
      </c>
      <c r="C4439" s="1" t="n">
        <v>45182</v>
      </c>
      <c r="D4439" t="inlineStr">
        <is>
          <t>JÄMTLANDS LÄN</t>
        </is>
      </c>
      <c r="E4439" t="inlineStr">
        <is>
          <t>ÅRE</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66147-2021</t>
        </is>
      </c>
      <c r="B4440" s="1" t="n">
        <v>44517</v>
      </c>
      <c r="C4440" s="1" t="n">
        <v>45182</v>
      </c>
      <c r="D4440" t="inlineStr">
        <is>
          <t>JÄMTLANDS LÄN</t>
        </is>
      </c>
      <c r="E4440" t="inlineStr">
        <is>
          <t>RAGUNDA</t>
        </is>
      </c>
      <c r="G4440" t="n">
        <v>1.2</v>
      </c>
      <c r="H4440" t="n">
        <v>0</v>
      </c>
      <c r="I4440" t="n">
        <v>0</v>
      </c>
      <c r="J4440" t="n">
        <v>0</v>
      </c>
      <c r="K4440" t="n">
        <v>0</v>
      </c>
      <c r="L4440" t="n">
        <v>0</v>
      </c>
      <c r="M4440" t="n">
        <v>0</v>
      </c>
      <c r="N4440" t="n">
        <v>0</v>
      </c>
      <c r="O4440" t="n">
        <v>0</v>
      </c>
      <c r="P4440" t="n">
        <v>0</v>
      </c>
      <c r="Q4440" t="n">
        <v>0</v>
      </c>
      <c r="R4440" s="2" t="inlineStr"/>
    </row>
    <row r="4441" ht="15" customHeight="1">
      <c r="A4441" t="inlineStr">
        <is>
          <t>A 66059-2021</t>
        </is>
      </c>
      <c r="B4441" s="1" t="n">
        <v>44517</v>
      </c>
      <c r="C4441" s="1" t="n">
        <v>45182</v>
      </c>
      <c r="D4441" t="inlineStr">
        <is>
          <t>JÄMTLANDS LÄN</t>
        </is>
      </c>
      <c r="E4441" t="inlineStr">
        <is>
          <t>RAGUNDA</t>
        </is>
      </c>
      <c r="G4441" t="n">
        <v>0.6</v>
      </c>
      <c r="H4441" t="n">
        <v>0</v>
      </c>
      <c r="I4441" t="n">
        <v>0</v>
      </c>
      <c r="J4441" t="n">
        <v>0</v>
      </c>
      <c r="K4441" t="n">
        <v>0</v>
      </c>
      <c r="L4441" t="n">
        <v>0</v>
      </c>
      <c r="M4441" t="n">
        <v>0</v>
      </c>
      <c r="N4441" t="n">
        <v>0</v>
      </c>
      <c r="O4441" t="n">
        <v>0</v>
      </c>
      <c r="P4441" t="n">
        <v>0</v>
      </c>
      <c r="Q4441" t="n">
        <v>0</v>
      </c>
      <c r="R4441" s="2" t="inlineStr"/>
    </row>
    <row r="4442" ht="15" customHeight="1">
      <c r="A4442" t="inlineStr">
        <is>
          <t>A 66177-2021</t>
        </is>
      </c>
      <c r="B4442" s="1" t="n">
        <v>44517</v>
      </c>
      <c r="C4442" s="1" t="n">
        <v>45182</v>
      </c>
      <c r="D4442" t="inlineStr">
        <is>
          <t>JÄMTLANDS LÄN</t>
        </is>
      </c>
      <c r="E4442" t="inlineStr">
        <is>
          <t>BRÄCKE</t>
        </is>
      </c>
      <c r="G4442" t="n">
        <v>24.8</v>
      </c>
      <c r="H4442" t="n">
        <v>0</v>
      </c>
      <c r="I4442" t="n">
        <v>0</v>
      </c>
      <c r="J4442" t="n">
        <v>0</v>
      </c>
      <c r="K4442" t="n">
        <v>0</v>
      </c>
      <c r="L4442" t="n">
        <v>0</v>
      </c>
      <c r="M4442" t="n">
        <v>0</v>
      </c>
      <c r="N4442" t="n">
        <v>0</v>
      </c>
      <c r="O4442" t="n">
        <v>0</v>
      </c>
      <c r="P4442" t="n">
        <v>0</v>
      </c>
      <c r="Q4442" t="n">
        <v>0</v>
      </c>
      <c r="R4442" s="2" t="inlineStr"/>
    </row>
    <row r="4443" ht="15" customHeight="1">
      <c r="A4443" t="inlineStr">
        <is>
          <t>A 66285-2021</t>
        </is>
      </c>
      <c r="B4443" s="1" t="n">
        <v>44518</v>
      </c>
      <c r="C4443" s="1" t="n">
        <v>45182</v>
      </c>
      <c r="D4443" t="inlineStr">
        <is>
          <t>JÄMTLANDS LÄN</t>
        </is>
      </c>
      <c r="E4443" t="inlineStr">
        <is>
          <t>BRÄCKE</t>
        </is>
      </c>
      <c r="G4443" t="n">
        <v>11.9</v>
      </c>
      <c r="H4443" t="n">
        <v>0</v>
      </c>
      <c r="I4443" t="n">
        <v>0</v>
      </c>
      <c r="J4443" t="n">
        <v>0</v>
      </c>
      <c r="K4443" t="n">
        <v>0</v>
      </c>
      <c r="L4443" t="n">
        <v>0</v>
      </c>
      <c r="M4443" t="n">
        <v>0</v>
      </c>
      <c r="N4443" t="n">
        <v>0</v>
      </c>
      <c r="O4443" t="n">
        <v>0</v>
      </c>
      <c r="P4443" t="n">
        <v>0</v>
      </c>
      <c r="Q4443" t="n">
        <v>0</v>
      </c>
      <c r="R4443" s="2" t="inlineStr"/>
    </row>
    <row r="4444" ht="15" customHeight="1">
      <c r="A4444" t="inlineStr">
        <is>
          <t>A 66475-2021</t>
        </is>
      </c>
      <c r="B4444" s="1" t="n">
        <v>44518</v>
      </c>
      <c r="C4444" s="1" t="n">
        <v>45182</v>
      </c>
      <c r="D4444" t="inlineStr">
        <is>
          <t>JÄMTLANDS LÄN</t>
        </is>
      </c>
      <c r="E4444" t="inlineStr">
        <is>
          <t>STRÖMSUND</t>
        </is>
      </c>
      <c r="F4444" t="inlineStr">
        <is>
          <t>SCA</t>
        </is>
      </c>
      <c r="G4444" t="n">
        <v>3.8</v>
      </c>
      <c r="H4444" t="n">
        <v>0</v>
      </c>
      <c r="I4444" t="n">
        <v>0</v>
      </c>
      <c r="J4444" t="n">
        <v>0</v>
      </c>
      <c r="K4444" t="n">
        <v>0</v>
      </c>
      <c r="L4444" t="n">
        <v>0</v>
      </c>
      <c r="M4444" t="n">
        <v>0</v>
      </c>
      <c r="N4444" t="n">
        <v>0</v>
      </c>
      <c r="O4444" t="n">
        <v>0</v>
      </c>
      <c r="P4444" t="n">
        <v>0</v>
      </c>
      <c r="Q4444" t="n">
        <v>0</v>
      </c>
      <c r="R4444" s="2" t="inlineStr"/>
    </row>
    <row r="4445" ht="15" customHeight="1">
      <c r="A4445" t="inlineStr">
        <is>
          <t>A 66485-2021</t>
        </is>
      </c>
      <c r="B4445" s="1" t="n">
        <v>44518</v>
      </c>
      <c r="C4445" s="1" t="n">
        <v>45182</v>
      </c>
      <c r="D4445" t="inlineStr">
        <is>
          <t>JÄMTLANDS LÄN</t>
        </is>
      </c>
      <c r="E4445" t="inlineStr">
        <is>
          <t>STRÖMSUND</t>
        </is>
      </c>
      <c r="F4445" t="inlineStr">
        <is>
          <t>SCA</t>
        </is>
      </c>
      <c r="G4445" t="n">
        <v>3.7</v>
      </c>
      <c r="H4445" t="n">
        <v>0</v>
      </c>
      <c r="I4445" t="n">
        <v>0</v>
      </c>
      <c r="J4445" t="n">
        <v>0</v>
      </c>
      <c r="K4445" t="n">
        <v>0</v>
      </c>
      <c r="L4445" t="n">
        <v>0</v>
      </c>
      <c r="M4445" t="n">
        <v>0</v>
      </c>
      <c r="N4445" t="n">
        <v>0</v>
      </c>
      <c r="O4445" t="n">
        <v>0</v>
      </c>
      <c r="P4445" t="n">
        <v>0</v>
      </c>
      <c r="Q4445" t="n">
        <v>0</v>
      </c>
      <c r="R4445" s="2" t="inlineStr"/>
    </row>
    <row r="4446" ht="15" customHeight="1">
      <c r="A4446" t="inlineStr">
        <is>
          <t>A 66487-2021</t>
        </is>
      </c>
      <c r="B4446" s="1" t="n">
        <v>44518</v>
      </c>
      <c r="C4446" s="1" t="n">
        <v>45182</v>
      </c>
      <c r="D4446" t="inlineStr">
        <is>
          <t>JÄMTLANDS LÄN</t>
        </is>
      </c>
      <c r="E4446" t="inlineStr">
        <is>
          <t>STRÖMSUND</t>
        </is>
      </c>
      <c r="F4446" t="inlineStr">
        <is>
          <t>SCA</t>
        </is>
      </c>
      <c r="G4446" t="n">
        <v>3.1</v>
      </c>
      <c r="H4446" t="n">
        <v>0</v>
      </c>
      <c r="I4446" t="n">
        <v>0</v>
      </c>
      <c r="J4446" t="n">
        <v>0</v>
      </c>
      <c r="K4446" t="n">
        <v>0</v>
      </c>
      <c r="L4446" t="n">
        <v>0</v>
      </c>
      <c r="M4446" t="n">
        <v>0</v>
      </c>
      <c r="N4446" t="n">
        <v>0</v>
      </c>
      <c r="O4446" t="n">
        <v>0</v>
      </c>
      <c r="P4446" t="n">
        <v>0</v>
      </c>
      <c r="Q4446" t="n">
        <v>0</v>
      </c>
      <c r="R4446" s="2" t="inlineStr"/>
    </row>
    <row r="4447" ht="15" customHeight="1">
      <c r="A4447" t="inlineStr">
        <is>
          <t>A 66471-2021</t>
        </is>
      </c>
      <c r="B4447" s="1" t="n">
        <v>44518</v>
      </c>
      <c r="C4447" s="1" t="n">
        <v>45182</v>
      </c>
      <c r="D4447" t="inlineStr">
        <is>
          <t>JÄMTLANDS LÄN</t>
        </is>
      </c>
      <c r="E4447" t="inlineStr">
        <is>
          <t>RAGUNDA</t>
        </is>
      </c>
      <c r="G4447" t="n">
        <v>13.4</v>
      </c>
      <c r="H4447" t="n">
        <v>0</v>
      </c>
      <c r="I4447" t="n">
        <v>0</v>
      </c>
      <c r="J4447" t="n">
        <v>0</v>
      </c>
      <c r="K4447" t="n">
        <v>0</v>
      </c>
      <c r="L4447" t="n">
        <v>0</v>
      </c>
      <c r="M4447" t="n">
        <v>0</v>
      </c>
      <c r="N4447" t="n">
        <v>0</v>
      </c>
      <c r="O4447" t="n">
        <v>0</v>
      </c>
      <c r="P4447" t="n">
        <v>0</v>
      </c>
      <c r="Q4447" t="n">
        <v>0</v>
      </c>
      <c r="R4447" s="2" t="inlineStr"/>
    </row>
    <row r="4448" ht="15" customHeight="1">
      <c r="A4448" t="inlineStr">
        <is>
          <t>A 66489-2021</t>
        </is>
      </c>
      <c r="B4448" s="1" t="n">
        <v>44518</v>
      </c>
      <c r="C4448" s="1" t="n">
        <v>45182</v>
      </c>
      <c r="D4448" t="inlineStr">
        <is>
          <t>JÄMTLANDS LÄN</t>
        </is>
      </c>
      <c r="E4448" t="inlineStr">
        <is>
          <t>RAGUNDA</t>
        </is>
      </c>
      <c r="F4448" t="inlineStr">
        <is>
          <t>SCA</t>
        </is>
      </c>
      <c r="G4448" t="n">
        <v>2.3</v>
      </c>
      <c r="H4448" t="n">
        <v>0</v>
      </c>
      <c r="I4448" t="n">
        <v>0</v>
      </c>
      <c r="J4448" t="n">
        <v>0</v>
      </c>
      <c r="K4448" t="n">
        <v>0</v>
      </c>
      <c r="L4448" t="n">
        <v>0</v>
      </c>
      <c r="M4448" t="n">
        <v>0</v>
      </c>
      <c r="N4448" t="n">
        <v>0</v>
      </c>
      <c r="O4448" t="n">
        <v>0</v>
      </c>
      <c r="P4448" t="n">
        <v>0</v>
      </c>
      <c r="Q4448" t="n">
        <v>0</v>
      </c>
      <c r="R4448" s="2" t="inlineStr"/>
    </row>
    <row r="4449" ht="15" customHeight="1">
      <c r="A4449" t="inlineStr">
        <is>
          <t>A 66486-2021</t>
        </is>
      </c>
      <c r="B4449" s="1" t="n">
        <v>44518</v>
      </c>
      <c r="C4449" s="1" t="n">
        <v>45182</v>
      </c>
      <c r="D4449" t="inlineStr">
        <is>
          <t>JÄMTLANDS LÄN</t>
        </is>
      </c>
      <c r="E4449" t="inlineStr">
        <is>
          <t>STRÖMSUND</t>
        </is>
      </c>
      <c r="F4449" t="inlineStr">
        <is>
          <t>SCA</t>
        </is>
      </c>
      <c r="G4449" t="n">
        <v>1.7</v>
      </c>
      <c r="H4449" t="n">
        <v>0</v>
      </c>
      <c r="I4449" t="n">
        <v>0</v>
      </c>
      <c r="J4449" t="n">
        <v>0</v>
      </c>
      <c r="K4449" t="n">
        <v>0</v>
      </c>
      <c r="L4449" t="n">
        <v>0</v>
      </c>
      <c r="M4449" t="n">
        <v>0</v>
      </c>
      <c r="N4449" t="n">
        <v>0</v>
      </c>
      <c r="O4449" t="n">
        <v>0</v>
      </c>
      <c r="P4449" t="n">
        <v>0</v>
      </c>
      <c r="Q4449" t="n">
        <v>0</v>
      </c>
      <c r="R4449" s="2" t="inlineStr"/>
    </row>
    <row r="4450" ht="15" customHeight="1">
      <c r="A4450" t="inlineStr">
        <is>
          <t>A 66784-2021</t>
        </is>
      </c>
      <c r="B4450" s="1" t="n">
        <v>44519</v>
      </c>
      <c r="C4450" s="1" t="n">
        <v>45182</v>
      </c>
      <c r="D4450" t="inlineStr">
        <is>
          <t>JÄMTLANDS LÄN</t>
        </is>
      </c>
      <c r="E4450" t="inlineStr">
        <is>
          <t>STRÖMSUND</t>
        </is>
      </c>
      <c r="G4450" t="n">
        <v>3</v>
      </c>
      <c r="H4450" t="n">
        <v>0</v>
      </c>
      <c r="I4450" t="n">
        <v>0</v>
      </c>
      <c r="J4450" t="n">
        <v>0</v>
      </c>
      <c r="K4450" t="n">
        <v>0</v>
      </c>
      <c r="L4450" t="n">
        <v>0</v>
      </c>
      <c r="M4450" t="n">
        <v>0</v>
      </c>
      <c r="N4450" t="n">
        <v>0</v>
      </c>
      <c r="O4450" t="n">
        <v>0</v>
      </c>
      <c r="P4450" t="n">
        <v>0</v>
      </c>
      <c r="Q4450" t="n">
        <v>0</v>
      </c>
      <c r="R4450" s="2" t="inlineStr"/>
    </row>
    <row r="4451" ht="15" customHeight="1">
      <c r="A4451" t="inlineStr">
        <is>
          <t>A 66742-2021</t>
        </is>
      </c>
      <c r="B4451" s="1" t="n">
        <v>44520</v>
      </c>
      <c r="C4451" s="1" t="n">
        <v>45182</v>
      </c>
      <c r="D4451" t="inlineStr">
        <is>
          <t>JÄMTLANDS LÄN</t>
        </is>
      </c>
      <c r="E4451" t="inlineStr">
        <is>
          <t>STRÖMSUND</t>
        </is>
      </c>
      <c r="F4451" t="inlineStr">
        <is>
          <t>SCA</t>
        </is>
      </c>
      <c r="G4451" t="n">
        <v>3.7</v>
      </c>
      <c r="H4451" t="n">
        <v>0</v>
      </c>
      <c r="I4451" t="n">
        <v>0</v>
      </c>
      <c r="J4451" t="n">
        <v>0</v>
      </c>
      <c r="K4451" t="n">
        <v>0</v>
      </c>
      <c r="L4451" t="n">
        <v>0</v>
      </c>
      <c r="M4451" t="n">
        <v>0</v>
      </c>
      <c r="N4451" t="n">
        <v>0</v>
      </c>
      <c r="O4451" t="n">
        <v>0</v>
      </c>
      <c r="P4451" t="n">
        <v>0</v>
      </c>
      <c r="Q4451" t="n">
        <v>0</v>
      </c>
      <c r="R4451" s="2" t="inlineStr"/>
    </row>
    <row r="4452" ht="15" customHeight="1">
      <c r="A4452" t="inlineStr">
        <is>
          <t>A 66940-2021</t>
        </is>
      </c>
      <c r="B4452" s="1" t="n">
        <v>44522</v>
      </c>
      <c r="C4452" s="1" t="n">
        <v>45182</v>
      </c>
      <c r="D4452" t="inlineStr">
        <is>
          <t>JÄMTLANDS LÄN</t>
        </is>
      </c>
      <c r="E4452" t="inlineStr">
        <is>
          <t>ÖSTERSUND</t>
        </is>
      </c>
      <c r="G4452" t="n">
        <v>3.6</v>
      </c>
      <c r="H4452" t="n">
        <v>0</v>
      </c>
      <c r="I4452" t="n">
        <v>0</v>
      </c>
      <c r="J4452" t="n">
        <v>0</v>
      </c>
      <c r="K4452" t="n">
        <v>0</v>
      </c>
      <c r="L4452" t="n">
        <v>0</v>
      </c>
      <c r="M4452" t="n">
        <v>0</v>
      </c>
      <c r="N4452" t="n">
        <v>0</v>
      </c>
      <c r="O4452" t="n">
        <v>0</v>
      </c>
      <c r="P4452" t="n">
        <v>0</v>
      </c>
      <c r="Q4452" t="n">
        <v>0</v>
      </c>
      <c r="R4452" s="2" t="inlineStr"/>
    </row>
    <row r="4453" ht="15" customHeight="1">
      <c r="A4453" t="inlineStr">
        <is>
          <t>A 67097-2021</t>
        </is>
      </c>
      <c r="B4453" s="1" t="n">
        <v>44522</v>
      </c>
      <c r="C4453" s="1" t="n">
        <v>45182</v>
      </c>
      <c r="D4453" t="inlineStr">
        <is>
          <t>JÄMTLANDS LÄN</t>
        </is>
      </c>
      <c r="E4453" t="inlineStr">
        <is>
          <t>STRÖMSUND</t>
        </is>
      </c>
      <c r="F4453" t="inlineStr">
        <is>
          <t>SCA</t>
        </is>
      </c>
      <c r="G4453" t="n">
        <v>6.2</v>
      </c>
      <c r="H4453" t="n">
        <v>0</v>
      </c>
      <c r="I4453" t="n">
        <v>0</v>
      </c>
      <c r="J4453" t="n">
        <v>0</v>
      </c>
      <c r="K4453" t="n">
        <v>0</v>
      </c>
      <c r="L4453" t="n">
        <v>0</v>
      </c>
      <c r="M4453" t="n">
        <v>0</v>
      </c>
      <c r="N4453" t="n">
        <v>0</v>
      </c>
      <c r="O4453" t="n">
        <v>0</v>
      </c>
      <c r="P4453" t="n">
        <v>0</v>
      </c>
      <c r="Q4453" t="n">
        <v>0</v>
      </c>
      <c r="R4453" s="2" t="inlineStr"/>
    </row>
    <row r="4454" ht="15" customHeight="1">
      <c r="A4454" t="inlineStr">
        <is>
          <t>A 67096-2021</t>
        </is>
      </c>
      <c r="B4454" s="1" t="n">
        <v>44522</v>
      </c>
      <c r="C4454" s="1" t="n">
        <v>45182</v>
      </c>
      <c r="D4454" t="inlineStr">
        <is>
          <t>JÄMTLANDS LÄN</t>
        </is>
      </c>
      <c r="E4454" t="inlineStr">
        <is>
          <t>STRÖMSUND</t>
        </is>
      </c>
      <c r="F4454" t="inlineStr">
        <is>
          <t>SCA</t>
        </is>
      </c>
      <c r="G4454" t="n">
        <v>9.300000000000001</v>
      </c>
      <c r="H4454" t="n">
        <v>0</v>
      </c>
      <c r="I4454" t="n">
        <v>0</v>
      </c>
      <c r="J4454" t="n">
        <v>0</v>
      </c>
      <c r="K4454" t="n">
        <v>0</v>
      </c>
      <c r="L4454" t="n">
        <v>0</v>
      </c>
      <c r="M4454" t="n">
        <v>0</v>
      </c>
      <c r="N4454" t="n">
        <v>0</v>
      </c>
      <c r="O4454" t="n">
        <v>0</v>
      </c>
      <c r="P4454" t="n">
        <v>0</v>
      </c>
      <c r="Q4454" t="n">
        <v>0</v>
      </c>
      <c r="R4454" s="2" t="inlineStr"/>
    </row>
    <row r="4455" ht="15" customHeight="1">
      <c r="A4455" t="inlineStr">
        <is>
          <t>A 67541-2021</t>
        </is>
      </c>
      <c r="B4455" s="1" t="n">
        <v>44524</v>
      </c>
      <c r="C4455" s="1" t="n">
        <v>45182</v>
      </c>
      <c r="D4455" t="inlineStr">
        <is>
          <t>JÄMTLANDS LÄN</t>
        </is>
      </c>
      <c r="E4455" t="inlineStr">
        <is>
          <t>ÅRE</t>
        </is>
      </c>
      <c r="G4455" t="n">
        <v>3</v>
      </c>
      <c r="H4455" t="n">
        <v>0</v>
      </c>
      <c r="I4455" t="n">
        <v>0</v>
      </c>
      <c r="J4455" t="n">
        <v>0</v>
      </c>
      <c r="K4455" t="n">
        <v>0</v>
      </c>
      <c r="L4455" t="n">
        <v>0</v>
      </c>
      <c r="M4455" t="n">
        <v>0</v>
      </c>
      <c r="N4455" t="n">
        <v>0</v>
      </c>
      <c r="O4455" t="n">
        <v>0</v>
      </c>
      <c r="P4455" t="n">
        <v>0</v>
      </c>
      <c r="Q4455" t="n">
        <v>0</v>
      </c>
      <c r="R4455" s="2" t="inlineStr"/>
    </row>
    <row r="4456" ht="15" customHeight="1">
      <c r="A4456" t="inlineStr">
        <is>
          <t>A 67738-2021</t>
        </is>
      </c>
      <c r="B4456" s="1" t="n">
        <v>44524</v>
      </c>
      <c r="C4456" s="1" t="n">
        <v>45182</v>
      </c>
      <c r="D4456" t="inlineStr">
        <is>
          <t>JÄMTLANDS LÄN</t>
        </is>
      </c>
      <c r="E4456" t="inlineStr">
        <is>
          <t>KROKOM</t>
        </is>
      </c>
      <c r="G4456" t="n">
        <v>3.1</v>
      </c>
      <c r="H4456" t="n">
        <v>0</v>
      </c>
      <c r="I4456" t="n">
        <v>0</v>
      </c>
      <c r="J4456" t="n">
        <v>0</v>
      </c>
      <c r="K4456" t="n">
        <v>0</v>
      </c>
      <c r="L4456" t="n">
        <v>0</v>
      </c>
      <c r="M4456" t="n">
        <v>0</v>
      </c>
      <c r="N4456" t="n">
        <v>0</v>
      </c>
      <c r="O4456" t="n">
        <v>0</v>
      </c>
      <c r="P4456" t="n">
        <v>0</v>
      </c>
      <c r="Q4456" t="n">
        <v>0</v>
      </c>
      <c r="R4456" s="2" t="inlineStr"/>
    </row>
    <row r="4457" ht="15" customHeight="1">
      <c r="A4457" t="inlineStr">
        <is>
          <t>A 67488-2021</t>
        </is>
      </c>
      <c r="B4457" s="1" t="n">
        <v>44524</v>
      </c>
      <c r="C4457" s="1" t="n">
        <v>45182</v>
      </c>
      <c r="D4457" t="inlineStr">
        <is>
          <t>JÄMTLANDS LÄN</t>
        </is>
      </c>
      <c r="E4457" t="inlineStr">
        <is>
          <t>KROKOM</t>
        </is>
      </c>
      <c r="G4457" t="n">
        <v>0.5</v>
      </c>
      <c r="H4457" t="n">
        <v>0</v>
      </c>
      <c r="I4457" t="n">
        <v>0</v>
      </c>
      <c r="J4457" t="n">
        <v>0</v>
      </c>
      <c r="K4457" t="n">
        <v>0</v>
      </c>
      <c r="L4457" t="n">
        <v>0</v>
      </c>
      <c r="M4457" t="n">
        <v>0</v>
      </c>
      <c r="N4457" t="n">
        <v>0</v>
      </c>
      <c r="O4457" t="n">
        <v>0</v>
      </c>
      <c r="P4457" t="n">
        <v>0</v>
      </c>
      <c r="Q4457" t="n">
        <v>0</v>
      </c>
      <c r="R4457" s="2" t="inlineStr"/>
    </row>
    <row r="4458" ht="15" customHeight="1">
      <c r="A4458" t="inlineStr">
        <is>
          <t>A 67740-2021</t>
        </is>
      </c>
      <c r="B4458" s="1" t="n">
        <v>44524</v>
      </c>
      <c r="C4458" s="1" t="n">
        <v>45182</v>
      </c>
      <c r="D4458" t="inlineStr">
        <is>
          <t>JÄMTLANDS LÄN</t>
        </is>
      </c>
      <c r="E4458" t="inlineStr">
        <is>
          <t>KROKOM</t>
        </is>
      </c>
      <c r="G4458" t="n">
        <v>12.3</v>
      </c>
      <c r="H4458" t="n">
        <v>0</v>
      </c>
      <c r="I4458" t="n">
        <v>0</v>
      </c>
      <c r="J4458" t="n">
        <v>0</v>
      </c>
      <c r="K4458" t="n">
        <v>0</v>
      </c>
      <c r="L4458" t="n">
        <v>0</v>
      </c>
      <c r="M4458" t="n">
        <v>0</v>
      </c>
      <c r="N4458" t="n">
        <v>0</v>
      </c>
      <c r="O4458" t="n">
        <v>0</v>
      </c>
      <c r="P4458" t="n">
        <v>0</v>
      </c>
      <c r="Q4458" t="n">
        <v>0</v>
      </c>
      <c r="R4458" s="2" t="inlineStr"/>
    </row>
    <row r="4459" ht="15" customHeight="1">
      <c r="A4459" t="inlineStr">
        <is>
          <t>A 67797-2021</t>
        </is>
      </c>
      <c r="B4459" s="1" t="n">
        <v>44524</v>
      </c>
      <c r="C4459" s="1" t="n">
        <v>45182</v>
      </c>
      <c r="D4459" t="inlineStr">
        <is>
          <t>JÄMTLANDS LÄN</t>
        </is>
      </c>
      <c r="E4459" t="inlineStr">
        <is>
          <t>KROKOM</t>
        </is>
      </c>
      <c r="G4459" t="n">
        <v>0.7</v>
      </c>
      <c r="H4459" t="n">
        <v>0</v>
      </c>
      <c r="I4459" t="n">
        <v>0</v>
      </c>
      <c r="J4459" t="n">
        <v>0</v>
      </c>
      <c r="K4459" t="n">
        <v>0</v>
      </c>
      <c r="L4459" t="n">
        <v>0</v>
      </c>
      <c r="M4459" t="n">
        <v>0</v>
      </c>
      <c r="N4459" t="n">
        <v>0</v>
      </c>
      <c r="O4459" t="n">
        <v>0</v>
      </c>
      <c r="P4459" t="n">
        <v>0</v>
      </c>
      <c r="Q4459" t="n">
        <v>0</v>
      </c>
      <c r="R4459" s="2" t="inlineStr"/>
    </row>
    <row r="4460" ht="15" customHeight="1">
      <c r="A4460" t="inlineStr">
        <is>
          <t>A 67903-2021</t>
        </is>
      </c>
      <c r="B4460" s="1" t="n">
        <v>44525</v>
      </c>
      <c r="C4460" s="1" t="n">
        <v>45182</v>
      </c>
      <c r="D4460" t="inlineStr">
        <is>
          <t>JÄMTLANDS LÄN</t>
        </is>
      </c>
      <c r="E4460" t="inlineStr">
        <is>
          <t>STRÖMSUND</t>
        </is>
      </c>
      <c r="G4460" t="n">
        <v>9.1</v>
      </c>
      <c r="H4460" t="n">
        <v>0</v>
      </c>
      <c r="I4460" t="n">
        <v>0</v>
      </c>
      <c r="J4460" t="n">
        <v>0</v>
      </c>
      <c r="K4460" t="n">
        <v>0</v>
      </c>
      <c r="L4460" t="n">
        <v>0</v>
      </c>
      <c r="M4460" t="n">
        <v>0</v>
      </c>
      <c r="N4460" t="n">
        <v>0</v>
      </c>
      <c r="O4460" t="n">
        <v>0</v>
      </c>
      <c r="P4460" t="n">
        <v>0</v>
      </c>
      <c r="Q4460" t="n">
        <v>0</v>
      </c>
      <c r="R4460" s="2" t="inlineStr"/>
    </row>
    <row r="4461" ht="15" customHeight="1">
      <c r="A4461" t="inlineStr">
        <is>
          <t>A 68047-2021</t>
        </is>
      </c>
      <c r="B4461" s="1" t="n">
        <v>44525</v>
      </c>
      <c r="C4461" s="1" t="n">
        <v>45182</v>
      </c>
      <c r="D4461" t="inlineStr">
        <is>
          <t>JÄMTLANDS LÄN</t>
        </is>
      </c>
      <c r="E4461" t="inlineStr">
        <is>
          <t>KROKOM</t>
        </is>
      </c>
      <c r="F4461" t="inlineStr">
        <is>
          <t>SCA</t>
        </is>
      </c>
      <c r="G4461" t="n">
        <v>11.5</v>
      </c>
      <c r="H4461" t="n">
        <v>0</v>
      </c>
      <c r="I4461" t="n">
        <v>0</v>
      </c>
      <c r="J4461" t="n">
        <v>0</v>
      </c>
      <c r="K4461" t="n">
        <v>0</v>
      </c>
      <c r="L4461" t="n">
        <v>0</v>
      </c>
      <c r="M4461" t="n">
        <v>0</v>
      </c>
      <c r="N4461" t="n">
        <v>0</v>
      </c>
      <c r="O4461" t="n">
        <v>0</v>
      </c>
      <c r="P4461" t="n">
        <v>0</v>
      </c>
      <c r="Q4461" t="n">
        <v>0</v>
      </c>
      <c r="R4461" s="2" t="inlineStr"/>
    </row>
    <row r="4462" ht="15" customHeight="1">
      <c r="A4462" t="inlineStr">
        <is>
          <t>A 68060-2021</t>
        </is>
      </c>
      <c r="B4462" s="1" t="n">
        <v>44525</v>
      </c>
      <c r="C4462" s="1" t="n">
        <v>45182</v>
      </c>
      <c r="D4462" t="inlineStr">
        <is>
          <t>JÄMTLANDS LÄN</t>
        </is>
      </c>
      <c r="E4462" t="inlineStr">
        <is>
          <t>STRÖMSUND</t>
        </is>
      </c>
      <c r="F4462" t="inlineStr">
        <is>
          <t>SCA</t>
        </is>
      </c>
      <c r="G4462" t="n">
        <v>3.8</v>
      </c>
      <c r="H4462" t="n">
        <v>0</v>
      </c>
      <c r="I4462" t="n">
        <v>0</v>
      </c>
      <c r="J4462" t="n">
        <v>0</v>
      </c>
      <c r="K4462" t="n">
        <v>0</v>
      </c>
      <c r="L4462" t="n">
        <v>0</v>
      </c>
      <c r="M4462" t="n">
        <v>0</v>
      </c>
      <c r="N4462" t="n">
        <v>0</v>
      </c>
      <c r="O4462" t="n">
        <v>0</v>
      </c>
      <c r="P4462" t="n">
        <v>0</v>
      </c>
      <c r="Q4462" t="n">
        <v>0</v>
      </c>
      <c r="R4462" s="2" t="inlineStr"/>
    </row>
    <row r="4463" ht="15" customHeight="1">
      <c r="A4463" t="inlineStr">
        <is>
          <t>A 67722-2021</t>
        </is>
      </c>
      <c r="B4463" s="1" t="n">
        <v>44525</v>
      </c>
      <c r="C4463" s="1" t="n">
        <v>45182</v>
      </c>
      <c r="D4463" t="inlineStr">
        <is>
          <t>JÄMTLANDS LÄN</t>
        </is>
      </c>
      <c r="E4463" t="inlineStr">
        <is>
          <t>KROKOM</t>
        </is>
      </c>
      <c r="G4463" t="n">
        <v>1.7</v>
      </c>
      <c r="H4463" t="n">
        <v>0</v>
      </c>
      <c r="I4463" t="n">
        <v>0</v>
      </c>
      <c r="J4463" t="n">
        <v>0</v>
      </c>
      <c r="K4463" t="n">
        <v>0</v>
      </c>
      <c r="L4463" t="n">
        <v>0</v>
      </c>
      <c r="M4463" t="n">
        <v>0</v>
      </c>
      <c r="N4463" t="n">
        <v>0</v>
      </c>
      <c r="O4463" t="n">
        <v>0</v>
      </c>
      <c r="P4463" t="n">
        <v>0</v>
      </c>
      <c r="Q4463" t="n">
        <v>0</v>
      </c>
      <c r="R4463" s="2" t="inlineStr"/>
    </row>
    <row r="4464" ht="15" customHeight="1">
      <c r="A4464" t="inlineStr">
        <is>
          <t>A 67906-2021</t>
        </is>
      </c>
      <c r="B4464" s="1" t="n">
        <v>44525</v>
      </c>
      <c r="C4464" s="1" t="n">
        <v>45182</v>
      </c>
      <c r="D4464" t="inlineStr">
        <is>
          <t>JÄMTLANDS LÄN</t>
        </is>
      </c>
      <c r="E4464" t="inlineStr">
        <is>
          <t>STRÖMSUND</t>
        </is>
      </c>
      <c r="G4464" t="n">
        <v>6.7</v>
      </c>
      <c r="H4464" t="n">
        <v>0</v>
      </c>
      <c r="I4464" t="n">
        <v>0</v>
      </c>
      <c r="J4464" t="n">
        <v>0</v>
      </c>
      <c r="K4464" t="n">
        <v>0</v>
      </c>
      <c r="L4464" t="n">
        <v>0</v>
      </c>
      <c r="M4464" t="n">
        <v>0</v>
      </c>
      <c r="N4464" t="n">
        <v>0</v>
      </c>
      <c r="O4464" t="n">
        <v>0</v>
      </c>
      <c r="P4464" t="n">
        <v>0</v>
      </c>
      <c r="Q4464" t="n">
        <v>0</v>
      </c>
      <c r="R4464" s="2" t="inlineStr"/>
    </row>
    <row r="4465" ht="15" customHeight="1">
      <c r="A4465" t="inlineStr">
        <is>
          <t>A 68048-2021</t>
        </is>
      </c>
      <c r="B4465" s="1" t="n">
        <v>44525</v>
      </c>
      <c r="C4465" s="1" t="n">
        <v>45182</v>
      </c>
      <c r="D4465" t="inlineStr">
        <is>
          <t>JÄMTLANDS LÄN</t>
        </is>
      </c>
      <c r="E4465" t="inlineStr">
        <is>
          <t>KROKOM</t>
        </is>
      </c>
      <c r="F4465" t="inlineStr">
        <is>
          <t>SCA</t>
        </is>
      </c>
      <c r="G4465" t="n">
        <v>10.8</v>
      </c>
      <c r="H4465" t="n">
        <v>0</v>
      </c>
      <c r="I4465" t="n">
        <v>0</v>
      </c>
      <c r="J4465" t="n">
        <v>0</v>
      </c>
      <c r="K4465" t="n">
        <v>0</v>
      </c>
      <c r="L4465" t="n">
        <v>0</v>
      </c>
      <c r="M4465" t="n">
        <v>0</v>
      </c>
      <c r="N4465" t="n">
        <v>0</v>
      </c>
      <c r="O4465" t="n">
        <v>0</v>
      </c>
      <c r="P4465" t="n">
        <v>0</v>
      </c>
      <c r="Q4465" t="n">
        <v>0</v>
      </c>
      <c r="R4465" s="2" t="inlineStr"/>
    </row>
    <row r="4466" ht="15" customHeight="1">
      <c r="A4466" t="inlineStr">
        <is>
          <t>A 68686-2021</t>
        </is>
      </c>
      <c r="B4466" s="1" t="n">
        <v>44526</v>
      </c>
      <c r="C4466" s="1" t="n">
        <v>45182</v>
      </c>
      <c r="D4466" t="inlineStr">
        <is>
          <t>JÄMTLANDS LÄN</t>
        </is>
      </c>
      <c r="E4466" t="inlineStr">
        <is>
          <t>KROKOM</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68319-2021</t>
        </is>
      </c>
      <c r="B4467" s="1" t="n">
        <v>44526</v>
      </c>
      <c r="C4467" s="1" t="n">
        <v>45182</v>
      </c>
      <c r="D4467" t="inlineStr">
        <is>
          <t>JÄMTLANDS LÄN</t>
        </is>
      </c>
      <c r="E4467" t="inlineStr">
        <is>
          <t>BRÄCKE</t>
        </is>
      </c>
      <c r="F4467" t="inlineStr">
        <is>
          <t>SCA</t>
        </is>
      </c>
      <c r="G4467" t="n">
        <v>1.9</v>
      </c>
      <c r="H4467" t="n">
        <v>0</v>
      </c>
      <c r="I4467" t="n">
        <v>0</v>
      </c>
      <c r="J4467" t="n">
        <v>0</v>
      </c>
      <c r="K4467" t="n">
        <v>0</v>
      </c>
      <c r="L4467" t="n">
        <v>0</v>
      </c>
      <c r="M4467" t="n">
        <v>0</v>
      </c>
      <c r="N4467" t="n">
        <v>0</v>
      </c>
      <c r="O4467" t="n">
        <v>0</v>
      </c>
      <c r="P4467" t="n">
        <v>0</v>
      </c>
      <c r="Q4467" t="n">
        <v>0</v>
      </c>
      <c r="R4467" s="2" t="inlineStr"/>
    </row>
    <row r="4468" ht="15" customHeight="1">
      <c r="A4468" t="inlineStr">
        <is>
          <t>A 68901-2021</t>
        </is>
      </c>
      <c r="B4468" s="1" t="n">
        <v>44526</v>
      </c>
      <c r="C4468" s="1" t="n">
        <v>45182</v>
      </c>
      <c r="D4468" t="inlineStr">
        <is>
          <t>JÄMTLANDS LÄN</t>
        </is>
      </c>
      <c r="E4468" t="inlineStr">
        <is>
          <t>BRÄCKE</t>
        </is>
      </c>
      <c r="G4468" t="n">
        <v>1.4</v>
      </c>
      <c r="H4468" t="n">
        <v>0</v>
      </c>
      <c r="I4468" t="n">
        <v>0</v>
      </c>
      <c r="J4468" t="n">
        <v>0</v>
      </c>
      <c r="K4468" t="n">
        <v>0</v>
      </c>
      <c r="L4468" t="n">
        <v>0</v>
      </c>
      <c r="M4468" t="n">
        <v>0</v>
      </c>
      <c r="N4468" t="n">
        <v>0</v>
      </c>
      <c r="O4468" t="n">
        <v>0</v>
      </c>
      <c r="P4468" t="n">
        <v>0</v>
      </c>
      <c r="Q4468" t="n">
        <v>0</v>
      </c>
      <c r="R4468" s="2" t="inlineStr"/>
    </row>
    <row r="4469" ht="15" customHeight="1">
      <c r="A4469" t="inlineStr">
        <is>
          <t>A 68769-2021</t>
        </is>
      </c>
      <c r="B4469" s="1" t="n">
        <v>44529</v>
      </c>
      <c r="C4469" s="1" t="n">
        <v>45182</v>
      </c>
      <c r="D4469" t="inlineStr">
        <is>
          <t>JÄMTLANDS LÄN</t>
        </is>
      </c>
      <c r="E4469" t="inlineStr">
        <is>
          <t>BRÄCKE</t>
        </is>
      </c>
      <c r="G4469" t="n">
        <v>2.3</v>
      </c>
      <c r="H4469" t="n">
        <v>0</v>
      </c>
      <c r="I4469" t="n">
        <v>0</v>
      </c>
      <c r="J4469" t="n">
        <v>0</v>
      </c>
      <c r="K4469" t="n">
        <v>0</v>
      </c>
      <c r="L4469" t="n">
        <v>0</v>
      </c>
      <c r="M4469" t="n">
        <v>0</v>
      </c>
      <c r="N4469" t="n">
        <v>0</v>
      </c>
      <c r="O4469" t="n">
        <v>0</v>
      </c>
      <c r="P4469" t="n">
        <v>0</v>
      </c>
      <c r="Q4469" t="n">
        <v>0</v>
      </c>
      <c r="R4469" s="2" t="inlineStr"/>
    </row>
    <row r="4470" ht="15" customHeight="1">
      <c r="A4470" t="inlineStr">
        <is>
          <t>A 69170-2021</t>
        </is>
      </c>
      <c r="B4470" s="1" t="n">
        <v>44529</v>
      </c>
      <c r="C4470" s="1" t="n">
        <v>45182</v>
      </c>
      <c r="D4470" t="inlineStr">
        <is>
          <t>JÄMTLANDS LÄN</t>
        </is>
      </c>
      <c r="E4470" t="inlineStr">
        <is>
          <t>ÅRE</t>
        </is>
      </c>
      <c r="G4470" t="n">
        <v>114.4</v>
      </c>
      <c r="H4470" t="n">
        <v>0</v>
      </c>
      <c r="I4470" t="n">
        <v>0</v>
      </c>
      <c r="J4470" t="n">
        <v>0</v>
      </c>
      <c r="K4470" t="n">
        <v>0</v>
      </c>
      <c r="L4470" t="n">
        <v>0</v>
      </c>
      <c r="M4470" t="n">
        <v>0</v>
      </c>
      <c r="N4470" t="n">
        <v>0</v>
      </c>
      <c r="O4470" t="n">
        <v>0</v>
      </c>
      <c r="P4470" t="n">
        <v>0</v>
      </c>
      <c r="Q4470" t="n">
        <v>0</v>
      </c>
      <c r="R4470" s="2" t="inlineStr"/>
    </row>
    <row r="4471" ht="15" customHeight="1">
      <c r="A4471" t="inlineStr">
        <is>
          <t>A 68441-2021</t>
        </is>
      </c>
      <c r="B4471" s="1" t="n">
        <v>44529</v>
      </c>
      <c r="C4471" s="1" t="n">
        <v>45182</v>
      </c>
      <c r="D4471" t="inlineStr">
        <is>
          <t>JÄMTLANDS LÄN</t>
        </is>
      </c>
      <c r="E4471" t="inlineStr">
        <is>
          <t>BERG</t>
        </is>
      </c>
      <c r="G4471" t="n">
        <v>2.6</v>
      </c>
      <c r="H4471" t="n">
        <v>0</v>
      </c>
      <c r="I4471" t="n">
        <v>0</v>
      </c>
      <c r="J4471" t="n">
        <v>0</v>
      </c>
      <c r="K4471" t="n">
        <v>0</v>
      </c>
      <c r="L4471" t="n">
        <v>0</v>
      </c>
      <c r="M4471" t="n">
        <v>0</v>
      </c>
      <c r="N4471" t="n">
        <v>0</v>
      </c>
      <c r="O4471" t="n">
        <v>0</v>
      </c>
      <c r="P4471" t="n">
        <v>0</v>
      </c>
      <c r="Q4471" t="n">
        <v>0</v>
      </c>
      <c r="R4471" s="2" t="inlineStr"/>
    </row>
    <row r="4472" ht="15" customHeight="1">
      <c r="A4472" t="inlineStr">
        <is>
          <t>A 68483-2021</t>
        </is>
      </c>
      <c r="B4472" s="1" t="n">
        <v>44529</v>
      </c>
      <c r="C4472" s="1" t="n">
        <v>45182</v>
      </c>
      <c r="D4472" t="inlineStr">
        <is>
          <t>JÄMTLANDS LÄN</t>
        </is>
      </c>
      <c r="E4472" t="inlineStr">
        <is>
          <t>BERG</t>
        </is>
      </c>
      <c r="G4472" t="n">
        <v>1.2</v>
      </c>
      <c r="H4472" t="n">
        <v>0</v>
      </c>
      <c r="I4472" t="n">
        <v>0</v>
      </c>
      <c r="J4472" t="n">
        <v>0</v>
      </c>
      <c r="K4472" t="n">
        <v>0</v>
      </c>
      <c r="L4472" t="n">
        <v>0</v>
      </c>
      <c r="M4472" t="n">
        <v>0</v>
      </c>
      <c r="N4472" t="n">
        <v>0</v>
      </c>
      <c r="O4472" t="n">
        <v>0</v>
      </c>
      <c r="P4472" t="n">
        <v>0</v>
      </c>
      <c r="Q4472" t="n">
        <v>0</v>
      </c>
      <c r="R4472" s="2" t="inlineStr"/>
    </row>
    <row r="4473" ht="15" customHeight="1">
      <c r="A4473" t="inlineStr">
        <is>
          <t>A 68468-2021</t>
        </is>
      </c>
      <c r="B4473" s="1" t="n">
        <v>44529</v>
      </c>
      <c r="C4473" s="1" t="n">
        <v>45182</v>
      </c>
      <c r="D4473" t="inlineStr">
        <is>
          <t>JÄMTLANDS LÄN</t>
        </is>
      </c>
      <c r="E4473" t="inlineStr">
        <is>
          <t>BERG</t>
        </is>
      </c>
      <c r="G4473" t="n">
        <v>4.6</v>
      </c>
      <c r="H4473" t="n">
        <v>0</v>
      </c>
      <c r="I4473" t="n">
        <v>0</v>
      </c>
      <c r="J4473" t="n">
        <v>0</v>
      </c>
      <c r="K4473" t="n">
        <v>0</v>
      </c>
      <c r="L4473" t="n">
        <v>0</v>
      </c>
      <c r="M4473" t="n">
        <v>0</v>
      </c>
      <c r="N4473" t="n">
        <v>0</v>
      </c>
      <c r="O4473" t="n">
        <v>0</v>
      </c>
      <c r="P4473" t="n">
        <v>0</v>
      </c>
      <c r="Q4473" t="n">
        <v>0</v>
      </c>
      <c r="R4473" s="2" t="inlineStr"/>
    </row>
    <row r="4474" ht="15" customHeight="1">
      <c r="A4474" t="inlineStr">
        <is>
          <t>A 68675-2021</t>
        </is>
      </c>
      <c r="B4474" s="1" t="n">
        <v>44529</v>
      </c>
      <c r="C4474" s="1" t="n">
        <v>45182</v>
      </c>
      <c r="D4474" t="inlineStr">
        <is>
          <t>JÄMTLANDS LÄN</t>
        </is>
      </c>
      <c r="E4474" t="inlineStr">
        <is>
          <t>STRÖMSUND</t>
        </is>
      </c>
      <c r="G4474" t="n">
        <v>1</v>
      </c>
      <c r="H4474" t="n">
        <v>0</v>
      </c>
      <c r="I4474" t="n">
        <v>0</v>
      </c>
      <c r="J4474" t="n">
        <v>0</v>
      </c>
      <c r="K4474" t="n">
        <v>0</v>
      </c>
      <c r="L4474" t="n">
        <v>0</v>
      </c>
      <c r="M4474" t="n">
        <v>0</v>
      </c>
      <c r="N4474" t="n">
        <v>0</v>
      </c>
      <c r="O4474" t="n">
        <v>0</v>
      </c>
      <c r="P4474" t="n">
        <v>0</v>
      </c>
      <c r="Q4474" t="n">
        <v>0</v>
      </c>
      <c r="R4474" s="2" t="inlineStr"/>
    </row>
    <row r="4475" ht="15" customHeight="1">
      <c r="A4475" t="inlineStr">
        <is>
          <t>A 69190-2021</t>
        </is>
      </c>
      <c r="B4475" s="1" t="n">
        <v>44529</v>
      </c>
      <c r="C4475" s="1" t="n">
        <v>45182</v>
      </c>
      <c r="D4475" t="inlineStr">
        <is>
          <t>JÄMTLANDS LÄN</t>
        </is>
      </c>
      <c r="E4475" t="inlineStr">
        <is>
          <t>ÖSTERSUND</t>
        </is>
      </c>
      <c r="G4475" t="n">
        <v>4.2</v>
      </c>
      <c r="H4475" t="n">
        <v>0</v>
      </c>
      <c r="I4475" t="n">
        <v>0</v>
      </c>
      <c r="J4475" t="n">
        <v>0</v>
      </c>
      <c r="K4475" t="n">
        <v>0</v>
      </c>
      <c r="L4475" t="n">
        <v>0</v>
      </c>
      <c r="M4475" t="n">
        <v>0</v>
      </c>
      <c r="N4475" t="n">
        <v>0</v>
      </c>
      <c r="O4475" t="n">
        <v>0</v>
      </c>
      <c r="P4475" t="n">
        <v>0</v>
      </c>
      <c r="Q4475" t="n">
        <v>0</v>
      </c>
      <c r="R4475" s="2" t="inlineStr"/>
    </row>
    <row r="4476" ht="15" customHeight="1">
      <c r="A4476" t="inlineStr">
        <is>
          <t>A 68450-2021</t>
        </is>
      </c>
      <c r="B4476" s="1" t="n">
        <v>44529</v>
      </c>
      <c r="C4476" s="1" t="n">
        <v>45182</v>
      </c>
      <c r="D4476" t="inlineStr">
        <is>
          <t>JÄMTLANDS LÄN</t>
        </is>
      </c>
      <c r="E4476" t="inlineStr">
        <is>
          <t>BERG</t>
        </is>
      </c>
      <c r="G4476" t="n">
        <v>7.3</v>
      </c>
      <c r="H4476" t="n">
        <v>0</v>
      </c>
      <c r="I4476" t="n">
        <v>0</v>
      </c>
      <c r="J4476" t="n">
        <v>0</v>
      </c>
      <c r="K4476" t="n">
        <v>0</v>
      </c>
      <c r="L4476" t="n">
        <v>0</v>
      </c>
      <c r="M4476" t="n">
        <v>0</v>
      </c>
      <c r="N4476" t="n">
        <v>0</v>
      </c>
      <c r="O4476" t="n">
        <v>0</v>
      </c>
      <c r="P4476" t="n">
        <v>0</v>
      </c>
      <c r="Q4476" t="n">
        <v>0</v>
      </c>
      <c r="R4476" s="2" t="inlineStr"/>
    </row>
    <row r="4477" ht="15" customHeight="1">
      <c r="A4477" t="inlineStr">
        <is>
          <t>A 68763-2021</t>
        </is>
      </c>
      <c r="B4477" s="1" t="n">
        <v>44529</v>
      </c>
      <c r="C4477" s="1" t="n">
        <v>45182</v>
      </c>
      <c r="D4477" t="inlineStr">
        <is>
          <t>JÄMTLANDS LÄN</t>
        </is>
      </c>
      <c r="E4477" t="inlineStr">
        <is>
          <t>BRÄCKE</t>
        </is>
      </c>
      <c r="G4477" t="n">
        <v>1.7</v>
      </c>
      <c r="H4477" t="n">
        <v>0</v>
      </c>
      <c r="I4477" t="n">
        <v>0</v>
      </c>
      <c r="J4477" t="n">
        <v>0</v>
      </c>
      <c r="K4477" t="n">
        <v>0</v>
      </c>
      <c r="L4477" t="n">
        <v>0</v>
      </c>
      <c r="M4477" t="n">
        <v>0</v>
      </c>
      <c r="N4477" t="n">
        <v>0</v>
      </c>
      <c r="O4477" t="n">
        <v>0</v>
      </c>
      <c r="P4477" t="n">
        <v>0</v>
      </c>
      <c r="Q4477" t="n">
        <v>0</v>
      </c>
      <c r="R4477" s="2" t="inlineStr"/>
    </row>
    <row r="4478" ht="15" customHeight="1">
      <c r="A4478" t="inlineStr">
        <is>
          <t>A 68854-2021</t>
        </is>
      </c>
      <c r="B4478" s="1" t="n">
        <v>44530</v>
      </c>
      <c r="C4478" s="1" t="n">
        <v>45182</v>
      </c>
      <c r="D4478" t="inlineStr">
        <is>
          <t>JÄMTLANDS LÄN</t>
        </is>
      </c>
      <c r="E4478" t="inlineStr">
        <is>
          <t>BERG</t>
        </is>
      </c>
      <c r="G4478" t="n">
        <v>3.3</v>
      </c>
      <c r="H4478" t="n">
        <v>0</v>
      </c>
      <c r="I4478" t="n">
        <v>0</v>
      </c>
      <c r="J4478" t="n">
        <v>0</v>
      </c>
      <c r="K4478" t="n">
        <v>0</v>
      </c>
      <c r="L4478" t="n">
        <v>0</v>
      </c>
      <c r="M4478" t="n">
        <v>0</v>
      </c>
      <c r="N4478" t="n">
        <v>0</v>
      </c>
      <c r="O4478" t="n">
        <v>0</v>
      </c>
      <c r="P4478" t="n">
        <v>0</v>
      </c>
      <c r="Q4478" t="n">
        <v>0</v>
      </c>
      <c r="R4478" s="2" t="inlineStr"/>
    </row>
    <row r="4479" ht="15" customHeight="1">
      <c r="A4479" t="inlineStr">
        <is>
          <t>A 69132-2021</t>
        </is>
      </c>
      <c r="B4479" s="1" t="n">
        <v>44530</v>
      </c>
      <c r="C4479" s="1" t="n">
        <v>45182</v>
      </c>
      <c r="D4479" t="inlineStr">
        <is>
          <t>JÄMTLANDS LÄN</t>
        </is>
      </c>
      <c r="E4479" t="inlineStr">
        <is>
          <t>STRÖMSUND</t>
        </is>
      </c>
      <c r="G4479" t="n">
        <v>4.5</v>
      </c>
      <c r="H4479" t="n">
        <v>0</v>
      </c>
      <c r="I4479" t="n">
        <v>0</v>
      </c>
      <c r="J4479" t="n">
        <v>0</v>
      </c>
      <c r="K4479" t="n">
        <v>0</v>
      </c>
      <c r="L4479" t="n">
        <v>0</v>
      </c>
      <c r="M4479" t="n">
        <v>0</v>
      </c>
      <c r="N4479" t="n">
        <v>0</v>
      </c>
      <c r="O4479" t="n">
        <v>0</v>
      </c>
      <c r="P4479" t="n">
        <v>0</v>
      </c>
      <c r="Q4479" t="n">
        <v>0</v>
      </c>
      <c r="R4479" s="2" t="inlineStr"/>
    </row>
    <row r="4480" ht="15" customHeight="1">
      <c r="A4480" t="inlineStr">
        <is>
          <t>A 69144-2021</t>
        </is>
      </c>
      <c r="B4480" s="1" t="n">
        <v>44530</v>
      </c>
      <c r="C4480" s="1" t="n">
        <v>45182</v>
      </c>
      <c r="D4480" t="inlineStr">
        <is>
          <t>JÄMTLANDS LÄN</t>
        </is>
      </c>
      <c r="E4480" t="inlineStr">
        <is>
          <t>STRÖMSUND</t>
        </is>
      </c>
      <c r="F4480" t="inlineStr">
        <is>
          <t>SCA</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69316-2021</t>
        </is>
      </c>
      <c r="B4481" s="1" t="n">
        <v>44530</v>
      </c>
      <c r="C4481" s="1" t="n">
        <v>45182</v>
      </c>
      <c r="D4481" t="inlineStr">
        <is>
          <t>JÄMTLANDS LÄN</t>
        </is>
      </c>
      <c r="E4481" t="inlineStr">
        <is>
          <t>RAGUNDA</t>
        </is>
      </c>
      <c r="G4481" t="n">
        <v>2.3</v>
      </c>
      <c r="H4481" t="n">
        <v>0</v>
      </c>
      <c r="I4481" t="n">
        <v>0</v>
      </c>
      <c r="J4481" t="n">
        <v>0</v>
      </c>
      <c r="K4481" t="n">
        <v>0</v>
      </c>
      <c r="L4481" t="n">
        <v>0</v>
      </c>
      <c r="M4481" t="n">
        <v>0</v>
      </c>
      <c r="N4481" t="n">
        <v>0</v>
      </c>
      <c r="O4481" t="n">
        <v>0</v>
      </c>
      <c r="P4481" t="n">
        <v>0</v>
      </c>
      <c r="Q4481" t="n">
        <v>0</v>
      </c>
      <c r="R4481" s="2" t="inlineStr"/>
    </row>
    <row r="4482" ht="15" customHeight="1">
      <c r="A4482" t="inlineStr">
        <is>
          <t>A 69143-2021</t>
        </is>
      </c>
      <c r="B4482" s="1" t="n">
        <v>44530</v>
      </c>
      <c r="C4482" s="1" t="n">
        <v>45182</v>
      </c>
      <c r="D4482" t="inlineStr">
        <is>
          <t>JÄMTLANDS LÄN</t>
        </is>
      </c>
      <c r="E4482" t="inlineStr">
        <is>
          <t>STRÖMSUND</t>
        </is>
      </c>
      <c r="F4482" t="inlineStr">
        <is>
          <t>SCA</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69499-2021</t>
        </is>
      </c>
      <c r="B4483" s="1" t="n">
        <v>44531</v>
      </c>
      <c r="C4483" s="1" t="n">
        <v>45182</v>
      </c>
      <c r="D4483" t="inlineStr">
        <is>
          <t>JÄMTLANDS LÄN</t>
        </is>
      </c>
      <c r="E4483" t="inlineStr">
        <is>
          <t>HÄRJEDALEN</t>
        </is>
      </c>
      <c r="G4483" t="n">
        <v>7.5</v>
      </c>
      <c r="H4483" t="n">
        <v>0</v>
      </c>
      <c r="I4483" t="n">
        <v>0</v>
      </c>
      <c r="J4483" t="n">
        <v>0</v>
      </c>
      <c r="K4483" t="n">
        <v>0</v>
      </c>
      <c r="L4483" t="n">
        <v>0</v>
      </c>
      <c r="M4483" t="n">
        <v>0</v>
      </c>
      <c r="N4483" t="n">
        <v>0</v>
      </c>
      <c r="O4483" t="n">
        <v>0</v>
      </c>
      <c r="P4483" t="n">
        <v>0</v>
      </c>
      <c r="Q4483" t="n">
        <v>0</v>
      </c>
      <c r="R4483" s="2" t="inlineStr"/>
    </row>
    <row r="4484" ht="15" customHeight="1">
      <c r="A4484" t="inlineStr">
        <is>
          <t>A 69568-2021</t>
        </is>
      </c>
      <c r="B4484" s="1" t="n">
        <v>44531</v>
      </c>
      <c r="C4484" s="1" t="n">
        <v>45182</v>
      </c>
      <c r="D4484" t="inlineStr">
        <is>
          <t>JÄMTLANDS LÄN</t>
        </is>
      </c>
      <c r="E4484" t="inlineStr">
        <is>
          <t>ÅRE</t>
        </is>
      </c>
      <c r="G4484" t="n">
        <v>2.9</v>
      </c>
      <c r="H4484" t="n">
        <v>0</v>
      </c>
      <c r="I4484" t="n">
        <v>0</v>
      </c>
      <c r="J4484" t="n">
        <v>0</v>
      </c>
      <c r="K4484" t="n">
        <v>0</v>
      </c>
      <c r="L4484" t="n">
        <v>0</v>
      </c>
      <c r="M4484" t="n">
        <v>0</v>
      </c>
      <c r="N4484" t="n">
        <v>0</v>
      </c>
      <c r="O4484" t="n">
        <v>0</v>
      </c>
      <c r="P4484" t="n">
        <v>0</v>
      </c>
      <c r="Q4484" t="n">
        <v>0</v>
      </c>
      <c r="R4484" s="2" t="inlineStr"/>
    </row>
    <row r="4485" ht="15" customHeight="1">
      <c r="A4485" t="inlineStr">
        <is>
          <t>A 69592-2021</t>
        </is>
      </c>
      <c r="B4485" s="1" t="n">
        <v>44531</v>
      </c>
      <c r="C4485" s="1" t="n">
        <v>45182</v>
      </c>
      <c r="D4485" t="inlineStr">
        <is>
          <t>JÄMTLANDS LÄN</t>
        </is>
      </c>
      <c r="E4485" t="inlineStr">
        <is>
          <t>ÅRE</t>
        </is>
      </c>
      <c r="G4485" t="n">
        <v>4.7</v>
      </c>
      <c r="H4485" t="n">
        <v>0</v>
      </c>
      <c r="I4485" t="n">
        <v>0</v>
      </c>
      <c r="J4485" t="n">
        <v>0</v>
      </c>
      <c r="K4485" t="n">
        <v>0</v>
      </c>
      <c r="L4485" t="n">
        <v>0</v>
      </c>
      <c r="M4485" t="n">
        <v>0</v>
      </c>
      <c r="N4485" t="n">
        <v>0</v>
      </c>
      <c r="O4485" t="n">
        <v>0</v>
      </c>
      <c r="P4485" t="n">
        <v>0</v>
      </c>
      <c r="Q4485" t="n">
        <v>0</v>
      </c>
      <c r="R4485" s="2" t="inlineStr"/>
    </row>
    <row r="4486" ht="15" customHeight="1">
      <c r="A4486" t="inlineStr">
        <is>
          <t>A 69501-2021</t>
        </is>
      </c>
      <c r="B4486" s="1" t="n">
        <v>44531</v>
      </c>
      <c r="C4486" s="1" t="n">
        <v>45182</v>
      </c>
      <c r="D4486" t="inlineStr">
        <is>
          <t>JÄMTLANDS LÄN</t>
        </is>
      </c>
      <c r="E4486" t="inlineStr">
        <is>
          <t>HÄRJEDALEN</t>
        </is>
      </c>
      <c r="G4486" t="n">
        <v>1.9</v>
      </c>
      <c r="H4486" t="n">
        <v>0</v>
      </c>
      <c r="I4486" t="n">
        <v>0</v>
      </c>
      <c r="J4486" t="n">
        <v>0</v>
      </c>
      <c r="K4486" t="n">
        <v>0</v>
      </c>
      <c r="L4486" t="n">
        <v>0</v>
      </c>
      <c r="M4486" t="n">
        <v>0</v>
      </c>
      <c r="N4486" t="n">
        <v>0</v>
      </c>
      <c r="O4486" t="n">
        <v>0</v>
      </c>
      <c r="P4486" t="n">
        <v>0</v>
      </c>
      <c r="Q4486" t="n">
        <v>0</v>
      </c>
      <c r="R4486" s="2" t="inlineStr"/>
    </row>
    <row r="4487" ht="15" customHeight="1">
      <c r="A4487" t="inlineStr">
        <is>
          <t>A 69553-2021</t>
        </is>
      </c>
      <c r="B4487" s="1" t="n">
        <v>44531</v>
      </c>
      <c r="C4487" s="1" t="n">
        <v>45182</v>
      </c>
      <c r="D4487" t="inlineStr">
        <is>
          <t>JÄMTLANDS LÄN</t>
        </is>
      </c>
      <c r="E4487" t="inlineStr">
        <is>
          <t>STRÖMSUND</t>
        </is>
      </c>
      <c r="F4487" t="inlineStr">
        <is>
          <t>SCA</t>
        </is>
      </c>
      <c r="G4487" t="n">
        <v>8.699999999999999</v>
      </c>
      <c r="H4487" t="n">
        <v>0</v>
      </c>
      <c r="I4487" t="n">
        <v>0</v>
      </c>
      <c r="J4487" t="n">
        <v>0</v>
      </c>
      <c r="K4487" t="n">
        <v>0</v>
      </c>
      <c r="L4487" t="n">
        <v>0</v>
      </c>
      <c r="M4487" t="n">
        <v>0</v>
      </c>
      <c r="N4487" t="n">
        <v>0</v>
      </c>
      <c r="O4487" t="n">
        <v>0</v>
      </c>
      <c r="P4487" t="n">
        <v>0</v>
      </c>
      <c r="Q4487" t="n">
        <v>0</v>
      </c>
      <c r="R4487" s="2" t="inlineStr"/>
    </row>
    <row r="4488" ht="15" customHeight="1">
      <c r="A4488" t="inlineStr">
        <is>
          <t>A 69490-2021</t>
        </is>
      </c>
      <c r="B4488" s="1" t="n">
        <v>44531</v>
      </c>
      <c r="C4488" s="1" t="n">
        <v>45182</v>
      </c>
      <c r="D4488" t="inlineStr">
        <is>
          <t>JÄMTLANDS LÄN</t>
        </is>
      </c>
      <c r="E4488" t="inlineStr">
        <is>
          <t>HÄRJEDALEN</t>
        </is>
      </c>
      <c r="G4488" t="n">
        <v>1.9</v>
      </c>
      <c r="H4488" t="n">
        <v>0</v>
      </c>
      <c r="I4488" t="n">
        <v>0</v>
      </c>
      <c r="J4488" t="n">
        <v>0</v>
      </c>
      <c r="K4488" t="n">
        <v>0</v>
      </c>
      <c r="L4488" t="n">
        <v>0</v>
      </c>
      <c r="M4488" t="n">
        <v>0</v>
      </c>
      <c r="N4488" t="n">
        <v>0</v>
      </c>
      <c r="O4488" t="n">
        <v>0</v>
      </c>
      <c r="P4488" t="n">
        <v>0</v>
      </c>
      <c r="Q4488" t="n">
        <v>0</v>
      </c>
      <c r="R4488" s="2" t="inlineStr"/>
    </row>
    <row r="4489" ht="15" customHeight="1">
      <c r="A4489" t="inlineStr">
        <is>
          <t>A 69504-2021</t>
        </is>
      </c>
      <c r="B4489" s="1" t="n">
        <v>44531</v>
      </c>
      <c r="C4489" s="1" t="n">
        <v>45182</v>
      </c>
      <c r="D4489" t="inlineStr">
        <is>
          <t>JÄMTLANDS LÄN</t>
        </is>
      </c>
      <c r="E4489" t="inlineStr">
        <is>
          <t>HÄRJEDALEN</t>
        </is>
      </c>
      <c r="G4489" t="n">
        <v>11.5</v>
      </c>
      <c r="H4489" t="n">
        <v>0</v>
      </c>
      <c r="I4489" t="n">
        <v>0</v>
      </c>
      <c r="J4489" t="n">
        <v>0</v>
      </c>
      <c r="K4489" t="n">
        <v>0</v>
      </c>
      <c r="L4489" t="n">
        <v>0</v>
      </c>
      <c r="M4489" t="n">
        <v>0</v>
      </c>
      <c r="N4489" t="n">
        <v>0</v>
      </c>
      <c r="O4489" t="n">
        <v>0</v>
      </c>
      <c r="P4489" t="n">
        <v>0</v>
      </c>
      <c r="Q4489" t="n">
        <v>0</v>
      </c>
      <c r="R4489" s="2" t="inlineStr"/>
    </row>
    <row r="4490" ht="15" customHeight="1">
      <c r="A4490" t="inlineStr">
        <is>
          <t>A 69751-2021</t>
        </is>
      </c>
      <c r="B4490" s="1" t="n">
        <v>44532</v>
      </c>
      <c r="C4490" s="1" t="n">
        <v>45182</v>
      </c>
      <c r="D4490" t="inlineStr">
        <is>
          <t>JÄMTLANDS LÄN</t>
        </is>
      </c>
      <c r="E4490" t="inlineStr">
        <is>
          <t>KROKOM</t>
        </is>
      </c>
      <c r="F4490" t="inlineStr">
        <is>
          <t>Övriga Aktiebolag</t>
        </is>
      </c>
      <c r="G4490" t="n">
        <v>2.6</v>
      </c>
      <c r="H4490" t="n">
        <v>0</v>
      </c>
      <c r="I4490" t="n">
        <v>0</v>
      </c>
      <c r="J4490" t="n">
        <v>0</v>
      </c>
      <c r="K4490" t="n">
        <v>0</v>
      </c>
      <c r="L4490" t="n">
        <v>0</v>
      </c>
      <c r="M4490" t="n">
        <v>0</v>
      </c>
      <c r="N4490" t="n">
        <v>0</v>
      </c>
      <c r="O4490" t="n">
        <v>0</v>
      </c>
      <c r="P4490" t="n">
        <v>0</v>
      </c>
      <c r="Q4490" t="n">
        <v>0</v>
      </c>
      <c r="R4490" s="2" t="inlineStr"/>
    </row>
    <row r="4491" ht="15" customHeight="1">
      <c r="A4491" t="inlineStr">
        <is>
          <t>A 69801-2021</t>
        </is>
      </c>
      <c r="B4491" s="1" t="n">
        <v>44532</v>
      </c>
      <c r="C4491" s="1" t="n">
        <v>45182</v>
      </c>
      <c r="D4491" t="inlineStr">
        <is>
          <t>JÄMTLANDS LÄN</t>
        </is>
      </c>
      <c r="E4491" t="inlineStr">
        <is>
          <t>ÅRE</t>
        </is>
      </c>
      <c r="G4491" t="n">
        <v>4</v>
      </c>
      <c r="H4491" t="n">
        <v>0</v>
      </c>
      <c r="I4491" t="n">
        <v>0</v>
      </c>
      <c r="J4491" t="n">
        <v>0</v>
      </c>
      <c r="K4491" t="n">
        <v>0</v>
      </c>
      <c r="L4491" t="n">
        <v>0</v>
      </c>
      <c r="M4491" t="n">
        <v>0</v>
      </c>
      <c r="N4491" t="n">
        <v>0</v>
      </c>
      <c r="O4491" t="n">
        <v>0</v>
      </c>
      <c r="P4491" t="n">
        <v>0</v>
      </c>
      <c r="Q4491" t="n">
        <v>0</v>
      </c>
      <c r="R4491" s="2" t="inlineStr"/>
    </row>
    <row r="4492" ht="15" customHeight="1">
      <c r="A4492" t="inlineStr">
        <is>
          <t>A 69949-2021</t>
        </is>
      </c>
      <c r="B4492" s="1" t="n">
        <v>44533</v>
      </c>
      <c r="C4492" s="1" t="n">
        <v>45182</v>
      </c>
      <c r="D4492" t="inlineStr">
        <is>
          <t>JÄMTLANDS LÄN</t>
        </is>
      </c>
      <c r="E4492" t="inlineStr">
        <is>
          <t>KROKOM</t>
        </is>
      </c>
      <c r="G4492" t="n">
        <v>15.8</v>
      </c>
      <c r="H4492" t="n">
        <v>0</v>
      </c>
      <c r="I4492" t="n">
        <v>0</v>
      </c>
      <c r="J4492" t="n">
        <v>0</v>
      </c>
      <c r="K4492" t="n">
        <v>0</v>
      </c>
      <c r="L4492" t="n">
        <v>0</v>
      </c>
      <c r="M4492" t="n">
        <v>0</v>
      </c>
      <c r="N4492" t="n">
        <v>0</v>
      </c>
      <c r="O4492" t="n">
        <v>0</v>
      </c>
      <c r="P4492" t="n">
        <v>0</v>
      </c>
      <c r="Q4492" t="n">
        <v>0</v>
      </c>
      <c r="R4492" s="2" t="inlineStr"/>
    </row>
    <row r="4493" ht="15" customHeight="1">
      <c r="A4493" t="inlineStr">
        <is>
          <t>A 70256-2021</t>
        </is>
      </c>
      <c r="B4493" s="1" t="n">
        <v>44533</v>
      </c>
      <c r="C4493" s="1" t="n">
        <v>45182</v>
      </c>
      <c r="D4493" t="inlineStr">
        <is>
          <t>JÄMTLANDS LÄN</t>
        </is>
      </c>
      <c r="E4493" t="inlineStr">
        <is>
          <t>ÖSTERSUND</t>
        </is>
      </c>
      <c r="G4493" t="n">
        <v>8.199999999999999</v>
      </c>
      <c r="H4493" t="n">
        <v>0</v>
      </c>
      <c r="I4493" t="n">
        <v>0</v>
      </c>
      <c r="J4493" t="n">
        <v>0</v>
      </c>
      <c r="K4493" t="n">
        <v>0</v>
      </c>
      <c r="L4493" t="n">
        <v>0</v>
      </c>
      <c r="M4493" t="n">
        <v>0</v>
      </c>
      <c r="N4493" t="n">
        <v>0</v>
      </c>
      <c r="O4493" t="n">
        <v>0</v>
      </c>
      <c r="P4493" t="n">
        <v>0</v>
      </c>
      <c r="Q4493" t="n">
        <v>0</v>
      </c>
      <c r="R4493" s="2" t="inlineStr"/>
    </row>
    <row r="4494" ht="15" customHeight="1">
      <c r="A4494" t="inlineStr">
        <is>
          <t>A 70222-2021</t>
        </is>
      </c>
      <c r="B4494" s="1" t="n">
        <v>44535</v>
      </c>
      <c r="C4494" s="1" t="n">
        <v>45182</v>
      </c>
      <c r="D4494" t="inlineStr">
        <is>
          <t>JÄMTLANDS LÄN</t>
        </is>
      </c>
      <c r="E4494" t="inlineStr">
        <is>
          <t>KROKOM</t>
        </is>
      </c>
      <c r="G4494" t="n">
        <v>2.3</v>
      </c>
      <c r="H4494" t="n">
        <v>0</v>
      </c>
      <c r="I4494" t="n">
        <v>0</v>
      </c>
      <c r="J4494" t="n">
        <v>0</v>
      </c>
      <c r="K4494" t="n">
        <v>0</v>
      </c>
      <c r="L4494" t="n">
        <v>0</v>
      </c>
      <c r="M4494" t="n">
        <v>0</v>
      </c>
      <c r="N4494" t="n">
        <v>0</v>
      </c>
      <c r="O4494" t="n">
        <v>0</v>
      </c>
      <c r="P4494" t="n">
        <v>0</v>
      </c>
      <c r="Q4494" t="n">
        <v>0</v>
      </c>
      <c r="R4494" s="2" t="inlineStr"/>
    </row>
    <row r="4495" ht="15" customHeight="1">
      <c r="A4495" t="inlineStr">
        <is>
          <t>A 70398-2021</t>
        </is>
      </c>
      <c r="B4495" s="1" t="n">
        <v>44536</v>
      </c>
      <c r="C4495" s="1" t="n">
        <v>45182</v>
      </c>
      <c r="D4495" t="inlineStr">
        <is>
          <t>JÄMTLANDS LÄN</t>
        </is>
      </c>
      <c r="E4495" t="inlineStr">
        <is>
          <t>RAGUNDA</t>
        </is>
      </c>
      <c r="G4495" t="n">
        <v>3.6</v>
      </c>
      <c r="H4495" t="n">
        <v>0</v>
      </c>
      <c r="I4495" t="n">
        <v>0</v>
      </c>
      <c r="J4495" t="n">
        <v>0</v>
      </c>
      <c r="K4495" t="n">
        <v>0</v>
      </c>
      <c r="L4495" t="n">
        <v>0</v>
      </c>
      <c r="M4495" t="n">
        <v>0</v>
      </c>
      <c r="N4495" t="n">
        <v>0</v>
      </c>
      <c r="O4495" t="n">
        <v>0</v>
      </c>
      <c r="P4495" t="n">
        <v>0</v>
      </c>
      <c r="Q4495" t="n">
        <v>0</v>
      </c>
      <c r="R4495" s="2" t="inlineStr"/>
    </row>
    <row r="4496" ht="15" customHeight="1">
      <c r="A4496" t="inlineStr">
        <is>
          <t>A 70531-2021</t>
        </is>
      </c>
      <c r="B4496" s="1" t="n">
        <v>44536</v>
      </c>
      <c r="C4496" s="1" t="n">
        <v>45182</v>
      </c>
      <c r="D4496" t="inlineStr">
        <is>
          <t>JÄMTLANDS LÄN</t>
        </is>
      </c>
      <c r="E4496" t="inlineStr">
        <is>
          <t>STRÖMSUND</t>
        </is>
      </c>
      <c r="F4496" t="inlineStr">
        <is>
          <t>SCA</t>
        </is>
      </c>
      <c r="G4496" t="n">
        <v>3</v>
      </c>
      <c r="H4496" t="n">
        <v>0</v>
      </c>
      <c r="I4496" t="n">
        <v>0</v>
      </c>
      <c r="J4496" t="n">
        <v>0</v>
      </c>
      <c r="K4496" t="n">
        <v>0</v>
      </c>
      <c r="L4496" t="n">
        <v>0</v>
      </c>
      <c r="M4496" t="n">
        <v>0</v>
      </c>
      <c r="N4496" t="n">
        <v>0</v>
      </c>
      <c r="O4496" t="n">
        <v>0</v>
      </c>
      <c r="P4496" t="n">
        <v>0</v>
      </c>
      <c r="Q4496" t="n">
        <v>0</v>
      </c>
      <c r="R4496" s="2" t="inlineStr"/>
    </row>
    <row r="4497" ht="15" customHeight="1">
      <c r="A4497" t="inlineStr">
        <is>
          <t>A 70529-2021</t>
        </is>
      </c>
      <c r="B4497" s="1" t="n">
        <v>44536</v>
      </c>
      <c r="C4497" s="1" t="n">
        <v>45182</v>
      </c>
      <c r="D4497" t="inlineStr">
        <is>
          <t>JÄMTLANDS LÄN</t>
        </is>
      </c>
      <c r="E4497" t="inlineStr">
        <is>
          <t>STRÖMSUND</t>
        </is>
      </c>
      <c r="F4497" t="inlineStr">
        <is>
          <t>SCA</t>
        </is>
      </c>
      <c r="G4497" t="n">
        <v>1.7</v>
      </c>
      <c r="H4497" t="n">
        <v>0</v>
      </c>
      <c r="I4497" t="n">
        <v>0</v>
      </c>
      <c r="J4497" t="n">
        <v>0</v>
      </c>
      <c r="K4497" t="n">
        <v>0</v>
      </c>
      <c r="L4497" t="n">
        <v>0</v>
      </c>
      <c r="M4497" t="n">
        <v>0</v>
      </c>
      <c r="N4497" t="n">
        <v>0</v>
      </c>
      <c r="O4497" t="n">
        <v>0</v>
      </c>
      <c r="P4497" t="n">
        <v>0</v>
      </c>
      <c r="Q4497" t="n">
        <v>0</v>
      </c>
      <c r="R4497" s="2" t="inlineStr"/>
    </row>
    <row r="4498" ht="15" customHeight="1">
      <c r="A4498" t="inlineStr">
        <is>
          <t>A 70570-2021</t>
        </is>
      </c>
      <c r="B4498" s="1" t="n">
        <v>44536</v>
      </c>
      <c r="C4498" s="1" t="n">
        <v>45182</v>
      </c>
      <c r="D4498" t="inlineStr">
        <is>
          <t>JÄMTLANDS LÄN</t>
        </is>
      </c>
      <c r="E4498" t="inlineStr">
        <is>
          <t>BERG</t>
        </is>
      </c>
      <c r="G4498" t="n">
        <v>2.7</v>
      </c>
      <c r="H4498" t="n">
        <v>0</v>
      </c>
      <c r="I4498" t="n">
        <v>0</v>
      </c>
      <c r="J4498" t="n">
        <v>0</v>
      </c>
      <c r="K4498" t="n">
        <v>0</v>
      </c>
      <c r="L4498" t="n">
        <v>0</v>
      </c>
      <c r="M4498" t="n">
        <v>0</v>
      </c>
      <c r="N4498" t="n">
        <v>0</v>
      </c>
      <c r="O4498" t="n">
        <v>0</v>
      </c>
      <c r="P4498" t="n">
        <v>0</v>
      </c>
      <c r="Q4498" t="n">
        <v>0</v>
      </c>
      <c r="R4498" s="2" t="inlineStr"/>
    </row>
    <row r="4499" ht="15" customHeight="1">
      <c r="A4499" t="inlineStr">
        <is>
          <t>A 70511-2021</t>
        </is>
      </c>
      <c r="B4499" s="1" t="n">
        <v>44536</v>
      </c>
      <c r="C4499" s="1" t="n">
        <v>45182</v>
      </c>
      <c r="D4499" t="inlineStr">
        <is>
          <t>JÄMTLANDS LÄN</t>
        </is>
      </c>
      <c r="E4499" t="inlineStr">
        <is>
          <t>STRÖMSUND</t>
        </is>
      </c>
      <c r="F4499" t="inlineStr">
        <is>
          <t>SCA</t>
        </is>
      </c>
      <c r="G4499" t="n">
        <v>401.6</v>
      </c>
      <c r="H4499" t="n">
        <v>0</v>
      </c>
      <c r="I4499" t="n">
        <v>0</v>
      </c>
      <c r="J4499" t="n">
        <v>0</v>
      </c>
      <c r="K4499" t="n">
        <v>0</v>
      </c>
      <c r="L4499" t="n">
        <v>0</v>
      </c>
      <c r="M4499" t="n">
        <v>0</v>
      </c>
      <c r="N4499" t="n">
        <v>0</v>
      </c>
      <c r="O4499" t="n">
        <v>0</v>
      </c>
      <c r="P4499" t="n">
        <v>0</v>
      </c>
      <c r="Q4499" t="n">
        <v>0</v>
      </c>
      <c r="R4499" s="2" t="inlineStr"/>
    </row>
    <row r="4500" ht="15" customHeight="1">
      <c r="A4500" t="inlineStr">
        <is>
          <t>A 70807-2021</t>
        </is>
      </c>
      <c r="B4500" s="1" t="n">
        <v>44537</v>
      </c>
      <c r="C4500" s="1" t="n">
        <v>45182</v>
      </c>
      <c r="D4500" t="inlineStr">
        <is>
          <t>JÄMTLANDS LÄN</t>
        </is>
      </c>
      <c r="E4500" t="inlineStr">
        <is>
          <t>BRÄCKE</t>
        </is>
      </c>
      <c r="G4500" t="n">
        <v>0.9</v>
      </c>
      <c r="H4500" t="n">
        <v>0</v>
      </c>
      <c r="I4500" t="n">
        <v>0</v>
      </c>
      <c r="J4500" t="n">
        <v>0</v>
      </c>
      <c r="K4500" t="n">
        <v>0</v>
      </c>
      <c r="L4500" t="n">
        <v>0</v>
      </c>
      <c r="M4500" t="n">
        <v>0</v>
      </c>
      <c r="N4500" t="n">
        <v>0</v>
      </c>
      <c r="O4500" t="n">
        <v>0</v>
      </c>
      <c r="P4500" t="n">
        <v>0</v>
      </c>
      <c r="Q4500" t="n">
        <v>0</v>
      </c>
      <c r="R4500" s="2" t="inlineStr"/>
    </row>
    <row r="4501" ht="15" customHeight="1">
      <c r="A4501" t="inlineStr">
        <is>
          <t>A 70813-2021</t>
        </is>
      </c>
      <c r="B4501" s="1" t="n">
        <v>44537</v>
      </c>
      <c r="C4501" s="1" t="n">
        <v>45182</v>
      </c>
      <c r="D4501" t="inlineStr">
        <is>
          <t>JÄMTLANDS LÄN</t>
        </is>
      </c>
      <c r="E4501" t="inlineStr">
        <is>
          <t>BRÄCKE</t>
        </is>
      </c>
      <c r="G4501" t="n">
        <v>5.2</v>
      </c>
      <c r="H4501" t="n">
        <v>0</v>
      </c>
      <c r="I4501" t="n">
        <v>0</v>
      </c>
      <c r="J4501" t="n">
        <v>0</v>
      </c>
      <c r="K4501" t="n">
        <v>0</v>
      </c>
      <c r="L4501" t="n">
        <v>0</v>
      </c>
      <c r="M4501" t="n">
        <v>0</v>
      </c>
      <c r="N4501" t="n">
        <v>0</v>
      </c>
      <c r="O4501" t="n">
        <v>0</v>
      </c>
      <c r="P4501" t="n">
        <v>0</v>
      </c>
      <c r="Q4501" t="n">
        <v>0</v>
      </c>
      <c r="R4501" s="2" t="inlineStr"/>
    </row>
    <row r="4502" ht="15" customHeight="1">
      <c r="A4502" t="inlineStr">
        <is>
          <t>A 70678-2021</t>
        </is>
      </c>
      <c r="B4502" s="1" t="n">
        <v>44537</v>
      </c>
      <c r="C4502" s="1" t="n">
        <v>45182</v>
      </c>
      <c r="D4502" t="inlineStr">
        <is>
          <t>JÄMTLANDS LÄN</t>
        </is>
      </c>
      <c r="E4502" t="inlineStr">
        <is>
          <t>ÖSTERSUND</t>
        </is>
      </c>
      <c r="G4502" t="n">
        <v>21</v>
      </c>
      <c r="H4502" t="n">
        <v>0</v>
      </c>
      <c r="I4502" t="n">
        <v>0</v>
      </c>
      <c r="J4502" t="n">
        <v>0</v>
      </c>
      <c r="K4502" t="n">
        <v>0</v>
      </c>
      <c r="L4502" t="n">
        <v>0</v>
      </c>
      <c r="M4502" t="n">
        <v>0</v>
      </c>
      <c r="N4502" t="n">
        <v>0</v>
      </c>
      <c r="O4502" t="n">
        <v>0</v>
      </c>
      <c r="P4502" t="n">
        <v>0</v>
      </c>
      <c r="Q4502" t="n">
        <v>0</v>
      </c>
      <c r="R4502" s="2" t="inlineStr"/>
    </row>
    <row r="4503" ht="15" customHeight="1">
      <c r="A4503" t="inlineStr">
        <is>
          <t>A 70609-2021</t>
        </is>
      </c>
      <c r="B4503" s="1" t="n">
        <v>44537</v>
      </c>
      <c r="C4503" s="1" t="n">
        <v>45182</v>
      </c>
      <c r="D4503" t="inlineStr">
        <is>
          <t>JÄMTLANDS LÄN</t>
        </is>
      </c>
      <c r="E4503" t="inlineStr">
        <is>
          <t>RAGUNDA</t>
        </is>
      </c>
      <c r="G4503" t="n">
        <v>4.5</v>
      </c>
      <c r="H4503" t="n">
        <v>0</v>
      </c>
      <c r="I4503" t="n">
        <v>0</v>
      </c>
      <c r="J4503" t="n">
        <v>0</v>
      </c>
      <c r="K4503" t="n">
        <v>0</v>
      </c>
      <c r="L4503" t="n">
        <v>0</v>
      </c>
      <c r="M4503" t="n">
        <v>0</v>
      </c>
      <c r="N4503" t="n">
        <v>0</v>
      </c>
      <c r="O4503" t="n">
        <v>0</v>
      </c>
      <c r="P4503" t="n">
        <v>0</v>
      </c>
      <c r="Q4503" t="n">
        <v>0</v>
      </c>
      <c r="R4503" s="2" t="inlineStr"/>
    </row>
    <row r="4504" ht="15" customHeight="1">
      <c r="A4504" t="inlineStr">
        <is>
          <t>A 70812-2021</t>
        </is>
      </c>
      <c r="B4504" s="1" t="n">
        <v>44537</v>
      </c>
      <c r="C4504" s="1" t="n">
        <v>45182</v>
      </c>
      <c r="D4504" t="inlineStr">
        <is>
          <t>JÄMTLANDS LÄN</t>
        </is>
      </c>
      <c r="E4504" t="inlineStr">
        <is>
          <t>BRÄCKE</t>
        </is>
      </c>
      <c r="G4504" t="n">
        <v>3.4</v>
      </c>
      <c r="H4504" t="n">
        <v>0</v>
      </c>
      <c r="I4504" t="n">
        <v>0</v>
      </c>
      <c r="J4504" t="n">
        <v>0</v>
      </c>
      <c r="K4504" t="n">
        <v>0</v>
      </c>
      <c r="L4504" t="n">
        <v>0</v>
      </c>
      <c r="M4504" t="n">
        <v>0</v>
      </c>
      <c r="N4504" t="n">
        <v>0</v>
      </c>
      <c r="O4504" t="n">
        <v>0</v>
      </c>
      <c r="P4504" t="n">
        <v>0</v>
      </c>
      <c r="Q4504" t="n">
        <v>0</v>
      </c>
      <c r="R4504" s="2" t="inlineStr"/>
    </row>
    <row r="4505" ht="15" customHeight="1">
      <c r="A4505" t="inlineStr">
        <is>
          <t>A 70977-2021</t>
        </is>
      </c>
      <c r="B4505" s="1" t="n">
        <v>44537</v>
      </c>
      <c r="C4505" s="1" t="n">
        <v>45182</v>
      </c>
      <c r="D4505" t="inlineStr">
        <is>
          <t>JÄMTLANDS LÄN</t>
        </is>
      </c>
      <c r="E4505" t="inlineStr">
        <is>
          <t>BERG</t>
        </is>
      </c>
      <c r="G4505" t="n">
        <v>0.8</v>
      </c>
      <c r="H4505" t="n">
        <v>0</v>
      </c>
      <c r="I4505" t="n">
        <v>0</v>
      </c>
      <c r="J4505" t="n">
        <v>0</v>
      </c>
      <c r="K4505" t="n">
        <v>0</v>
      </c>
      <c r="L4505" t="n">
        <v>0</v>
      </c>
      <c r="M4505" t="n">
        <v>0</v>
      </c>
      <c r="N4505" t="n">
        <v>0</v>
      </c>
      <c r="O4505" t="n">
        <v>0</v>
      </c>
      <c r="P4505" t="n">
        <v>0</v>
      </c>
      <c r="Q4505" t="n">
        <v>0</v>
      </c>
      <c r="R4505" s="2" t="inlineStr"/>
    </row>
    <row r="4506" ht="15" customHeight="1">
      <c r="A4506" t="inlineStr">
        <is>
          <t>A 71638-2021</t>
        </is>
      </c>
      <c r="B4506" s="1" t="n">
        <v>44538</v>
      </c>
      <c r="C4506" s="1" t="n">
        <v>45182</v>
      </c>
      <c r="D4506" t="inlineStr">
        <is>
          <t>JÄMTLANDS LÄN</t>
        </is>
      </c>
      <c r="E4506" t="inlineStr">
        <is>
          <t>HÄRJEDALEN</t>
        </is>
      </c>
      <c r="F4506" t="inlineStr">
        <is>
          <t>Övriga statliga verk och myndigheter</t>
        </is>
      </c>
      <c r="G4506" t="n">
        <v>1.2</v>
      </c>
      <c r="H4506" t="n">
        <v>0</v>
      </c>
      <c r="I4506" t="n">
        <v>0</v>
      </c>
      <c r="J4506" t="n">
        <v>0</v>
      </c>
      <c r="K4506" t="n">
        <v>0</v>
      </c>
      <c r="L4506" t="n">
        <v>0</v>
      </c>
      <c r="M4506" t="n">
        <v>0</v>
      </c>
      <c r="N4506" t="n">
        <v>0</v>
      </c>
      <c r="O4506" t="n">
        <v>0</v>
      </c>
      <c r="P4506" t="n">
        <v>0</v>
      </c>
      <c r="Q4506" t="n">
        <v>0</v>
      </c>
      <c r="R4506" s="2" t="inlineStr"/>
    </row>
    <row r="4507" ht="15" customHeight="1">
      <c r="A4507" t="inlineStr">
        <is>
          <t>A 71043-2021</t>
        </is>
      </c>
      <c r="B4507" s="1" t="n">
        <v>44538</v>
      </c>
      <c r="C4507" s="1" t="n">
        <v>45182</v>
      </c>
      <c r="D4507" t="inlineStr">
        <is>
          <t>JÄMTLANDS LÄN</t>
        </is>
      </c>
      <c r="E4507" t="inlineStr">
        <is>
          <t>ÅRE</t>
        </is>
      </c>
      <c r="G4507" t="n">
        <v>0.4</v>
      </c>
      <c r="H4507" t="n">
        <v>0</v>
      </c>
      <c r="I4507" t="n">
        <v>0</v>
      </c>
      <c r="J4507" t="n">
        <v>0</v>
      </c>
      <c r="K4507" t="n">
        <v>0</v>
      </c>
      <c r="L4507" t="n">
        <v>0</v>
      </c>
      <c r="M4507" t="n">
        <v>0</v>
      </c>
      <c r="N4507" t="n">
        <v>0</v>
      </c>
      <c r="O4507" t="n">
        <v>0</v>
      </c>
      <c r="P4507" t="n">
        <v>0</v>
      </c>
      <c r="Q4507" t="n">
        <v>0</v>
      </c>
      <c r="R4507" s="2" t="inlineStr"/>
    </row>
    <row r="4508" ht="15" customHeight="1">
      <c r="A4508" t="inlineStr">
        <is>
          <t>A 71668-2021</t>
        </is>
      </c>
      <c r="B4508" s="1" t="n">
        <v>44538</v>
      </c>
      <c r="C4508" s="1" t="n">
        <v>45182</v>
      </c>
      <c r="D4508" t="inlineStr">
        <is>
          <t>JÄMTLANDS LÄN</t>
        </is>
      </c>
      <c r="E4508" t="inlineStr">
        <is>
          <t>HÄRJEDALEN</t>
        </is>
      </c>
      <c r="F4508" t="inlineStr">
        <is>
          <t>Övriga statliga verk och myndigheter</t>
        </is>
      </c>
      <c r="G4508" t="n">
        <v>3.1</v>
      </c>
      <c r="H4508" t="n">
        <v>0</v>
      </c>
      <c r="I4508" t="n">
        <v>0</v>
      </c>
      <c r="J4508" t="n">
        <v>0</v>
      </c>
      <c r="K4508" t="n">
        <v>0</v>
      </c>
      <c r="L4508" t="n">
        <v>0</v>
      </c>
      <c r="M4508" t="n">
        <v>0</v>
      </c>
      <c r="N4508" t="n">
        <v>0</v>
      </c>
      <c r="O4508" t="n">
        <v>0</v>
      </c>
      <c r="P4508" t="n">
        <v>0</v>
      </c>
      <c r="Q4508" t="n">
        <v>0</v>
      </c>
      <c r="R4508" s="2" t="inlineStr"/>
    </row>
    <row r="4509" ht="15" customHeight="1">
      <c r="A4509" t="inlineStr">
        <is>
          <t>A 71209-2021</t>
        </is>
      </c>
      <c r="B4509" s="1" t="n">
        <v>44538</v>
      </c>
      <c r="C4509" s="1" t="n">
        <v>45182</v>
      </c>
      <c r="D4509" t="inlineStr">
        <is>
          <t>JÄMTLANDS LÄN</t>
        </is>
      </c>
      <c r="E4509" t="inlineStr">
        <is>
          <t>RAGUNDA</t>
        </is>
      </c>
      <c r="G4509" t="n">
        <v>8</v>
      </c>
      <c r="H4509" t="n">
        <v>0</v>
      </c>
      <c r="I4509" t="n">
        <v>0</v>
      </c>
      <c r="J4509" t="n">
        <v>0</v>
      </c>
      <c r="K4509" t="n">
        <v>0</v>
      </c>
      <c r="L4509" t="n">
        <v>0</v>
      </c>
      <c r="M4509" t="n">
        <v>0</v>
      </c>
      <c r="N4509" t="n">
        <v>0</v>
      </c>
      <c r="O4509" t="n">
        <v>0</v>
      </c>
      <c r="P4509" t="n">
        <v>0</v>
      </c>
      <c r="Q4509" t="n">
        <v>0</v>
      </c>
      <c r="R4509" s="2" t="inlineStr"/>
    </row>
    <row r="4510" ht="15" customHeight="1">
      <c r="A4510" t="inlineStr">
        <is>
          <t>A 71649-2021</t>
        </is>
      </c>
      <c r="B4510" s="1" t="n">
        <v>44538</v>
      </c>
      <c r="C4510" s="1" t="n">
        <v>45182</v>
      </c>
      <c r="D4510" t="inlineStr">
        <is>
          <t>JÄMTLANDS LÄN</t>
        </is>
      </c>
      <c r="E4510" t="inlineStr">
        <is>
          <t>HÄRJEDALEN</t>
        </is>
      </c>
      <c r="F4510" t="inlineStr">
        <is>
          <t>Övriga statliga verk och myndigheter</t>
        </is>
      </c>
      <c r="G4510" t="n">
        <v>3.7</v>
      </c>
      <c r="H4510" t="n">
        <v>0</v>
      </c>
      <c r="I4510" t="n">
        <v>0</v>
      </c>
      <c r="J4510" t="n">
        <v>0</v>
      </c>
      <c r="K4510" t="n">
        <v>0</v>
      </c>
      <c r="L4510" t="n">
        <v>0</v>
      </c>
      <c r="M4510" t="n">
        <v>0</v>
      </c>
      <c r="N4510" t="n">
        <v>0</v>
      </c>
      <c r="O4510" t="n">
        <v>0</v>
      </c>
      <c r="P4510" t="n">
        <v>0</v>
      </c>
      <c r="Q4510" t="n">
        <v>0</v>
      </c>
      <c r="R4510" s="2" t="inlineStr"/>
    </row>
    <row r="4511" ht="15" customHeight="1">
      <c r="A4511" t="inlineStr">
        <is>
          <t>A 71307-2021</t>
        </is>
      </c>
      <c r="B4511" s="1" t="n">
        <v>44539</v>
      </c>
      <c r="C4511" s="1" t="n">
        <v>45182</v>
      </c>
      <c r="D4511" t="inlineStr">
        <is>
          <t>JÄMTLANDS LÄN</t>
        </is>
      </c>
      <c r="E4511" t="inlineStr">
        <is>
          <t>KROKOM</t>
        </is>
      </c>
      <c r="G4511" t="n">
        <v>21.5</v>
      </c>
      <c r="H4511" t="n">
        <v>0</v>
      </c>
      <c r="I4511" t="n">
        <v>0</v>
      </c>
      <c r="J4511" t="n">
        <v>0</v>
      </c>
      <c r="K4511" t="n">
        <v>0</v>
      </c>
      <c r="L4511" t="n">
        <v>0</v>
      </c>
      <c r="M4511" t="n">
        <v>0</v>
      </c>
      <c r="N4511" t="n">
        <v>0</v>
      </c>
      <c r="O4511" t="n">
        <v>0</v>
      </c>
      <c r="P4511" t="n">
        <v>0</v>
      </c>
      <c r="Q4511" t="n">
        <v>0</v>
      </c>
      <c r="R4511" s="2" t="inlineStr"/>
    </row>
    <row r="4512" ht="15" customHeight="1">
      <c r="A4512" t="inlineStr">
        <is>
          <t>A 71353-2021</t>
        </is>
      </c>
      <c r="B4512" s="1" t="n">
        <v>44539</v>
      </c>
      <c r="C4512" s="1" t="n">
        <v>45182</v>
      </c>
      <c r="D4512" t="inlineStr">
        <is>
          <t>JÄMTLANDS LÄN</t>
        </is>
      </c>
      <c r="E4512" t="inlineStr">
        <is>
          <t>STRÖMSUND</t>
        </is>
      </c>
      <c r="G4512" t="n">
        <v>0.2</v>
      </c>
      <c r="H4512" t="n">
        <v>0</v>
      </c>
      <c r="I4512" t="n">
        <v>0</v>
      </c>
      <c r="J4512" t="n">
        <v>0</v>
      </c>
      <c r="K4512" t="n">
        <v>0</v>
      </c>
      <c r="L4512" t="n">
        <v>0</v>
      </c>
      <c r="M4512" t="n">
        <v>0</v>
      </c>
      <c r="N4512" t="n">
        <v>0</v>
      </c>
      <c r="O4512" t="n">
        <v>0</v>
      </c>
      <c r="P4512" t="n">
        <v>0</v>
      </c>
      <c r="Q4512" t="n">
        <v>0</v>
      </c>
      <c r="R4512" s="2" t="inlineStr"/>
    </row>
    <row r="4513" ht="15" customHeight="1">
      <c r="A4513" t="inlineStr">
        <is>
          <t>A 71246-2021</t>
        </is>
      </c>
      <c r="B4513" s="1" t="n">
        <v>44539</v>
      </c>
      <c r="C4513" s="1" t="n">
        <v>45182</v>
      </c>
      <c r="D4513" t="inlineStr">
        <is>
          <t>JÄMTLANDS LÄN</t>
        </is>
      </c>
      <c r="E4513" t="inlineStr">
        <is>
          <t>KROKOM</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71823-2021</t>
        </is>
      </c>
      <c r="B4514" s="1" t="n">
        <v>44539</v>
      </c>
      <c r="C4514" s="1" t="n">
        <v>45182</v>
      </c>
      <c r="D4514" t="inlineStr">
        <is>
          <t>JÄMTLANDS LÄN</t>
        </is>
      </c>
      <c r="E4514" t="inlineStr">
        <is>
          <t>ÖSTERSUND</t>
        </is>
      </c>
      <c r="G4514" t="n">
        <v>10.5</v>
      </c>
      <c r="H4514" t="n">
        <v>0</v>
      </c>
      <c r="I4514" t="n">
        <v>0</v>
      </c>
      <c r="J4514" t="n">
        <v>0</v>
      </c>
      <c r="K4514" t="n">
        <v>0</v>
      </c>
      <c r="L4514" t="n">
        <v>0</v>
      </c>
      <c r="M4514" t="n">
        <v>0</v>
      </c>
      <c r="N4514" t="n">
        <v>0</v>
      </c>
      <c r="O4514" t="n">
        <v>0</v>
      </c>
      <c r="P4514" t="n">
        <v>0</v>
      </c>
      <c r="Q4514" t="n">
        <v>0</v>
      </c>
      <c r="R4514" s="2" t="inlineStr"/>
    </row>
    <row r="4515" ht="15" customHeight="1">
      <c r="A4515" t="inlineStr">
        <is>
          <t>A 71352-2021</t>
        </is>
      </c>
      <c r="B4515" s="1" t="n">
        <v>44539</v>
      </c>
      <c r="C4515" s="1" t="n">
        <v>45182</v>
      </c>
      <c r="D4515" t="inlineStr">
        <is>
          <t>JÄMTLANDS LÄN</t>
        </is>
      </c>
      <c r="E4515" t="inlineStr">
        <is>
          <t>STRÖMSUND</t>
        </is>
      </c>
      <c r="G4515" t="n">
        <v>0.2</v>
      </c>
      <c r="H4515" t="n">
        <v>0</v>
      </c>
      <c r="I4515" t="n">
        <v>0</v>
      </c>
      <c r="J4515" t="n">
        <v>0</v>
      </c>
      <c r="K4515" t="n">
        <v>0</v>
      </c>
      <c r="L4515" t="n">
        <v>0</v>
      </c>
      <c r="M4515" t="n">
        <v>0</v>
      </c>
      <c r="N4515" t="n">
        <v>0</v>
      </c>
      <c r="O4515" t="n">
        <v>0</v>
      </c>
      <c r="P4515" t="n">
        <v>0</v>
      </c>
      <c r="Q4515" t="n">
        <v>0</v>
      </c>
      <c r="R4515" s="2" t="inlineStr"/>
      <c r="U4515">
        <f>HYPERLINK("https://klasma.github.io/Logging_STROMSUND/knärot/A 71352-2021.png")</f>
        <v/>
      </c>
      <c r="V4515">
        <f>HYPERLINK("https://klasma.github.io/Logging_STROMSUND/klagomål/A 71352-2021.docx")</f>
        <v/>
      </c>
      <c r="W4515">
        <f>HYPERLINK("https://klasma.github.io/Logging_STROMSUND/klagomålsmail/A 71352-2021.docx")</f>
        <v/>
      </c>
      <c r="X4515">
        <f>HYPERLINK("https://klasma.github.io/Logging_STROMSUND/tillsyn/A 71352-2021.docx")</f>
        <v/>
      </c>
      <c r="Y4515">
        <f>HYPERLINK("https://klasma.github.io/Logging_STROMSUND/tillsynsmail/A 71352-2021.docx")</f>
        <v/>
      </c>
    </row>
    <row r="4516" ht="15" customHeight="1">
      <c r="A4516" t="inlineStr">
        <is>
          <t>A 72025-2021</t>
        </is>
      </c>
      <c r="B4516" s="1" t="n">
        <v>44540</v>
      </c>
      <c r="C4516" s="1" t="n">
        <v>45182</v>
      </c>
      <c r="D4516" t="inlineStr">
        <is>
          <t>JÄMTLANDS LÄN</t>
        </is>
      </c>
      <c r="E4516" t="inlineStr">
        <is>
          <t>BRÄCKE</t>
        </is>
      </c>
      <c r="G4516" t="n">
        <v>11</v>
      </c>
      <c r="H4516" t="n">
        <v>0</v>
      </c>
      <c r="I4516" t="n">
        <v>0</v>
      </c>
      <c r="J4516" t="n">
        <v>0</v>
      </c>
      <c r="K4516" t="n">
        <v>0</v>
      </c>
      <c r="L4516" t="n">
        <v>0</v>
      </c>
      <c r="M4516" t="n">
        <v>0</v>
      </c>
      <c r="N4516" t="n">
        <v>0</v>
      </c>
      <c r="O4516" t="n">
        <v>0</v>
      </c>
      <c r="P4516" t="n">
        <v>0</v>
      </c>
      <c r="Q4516" t="n">
        <v>0</v>
      </c>
      <c r="R4516" s="2" t="inlineStr"/>
    </row>
    <row r="4517" ht="15" customHeight="1">
      <c r="A4517" t="inlineStr">
        <is>
          <t>A 72044-2021</t>
        </is>
      </c>
      <c r="B4517" s="1" t="n">
        <v>44540</v>
      </c>
      <c r="C4517" s="1" t="n">
        <v>45182</v>
      </c>
      <c r="D4517" t="inlineStr">
        <is>
          <t>JÄMTLANDS LÄN</t>
        </is>
      </c>
      <c r="E4517" t="inlineStr">
        <is>
          <t>BRÄCKE</t>
        </is>
      </c>
      <c r="G4517" t="n">
        <v>19</v>
      </c>
      <c r="H4517" t="n">
        <v>0</v>
      </c>
      <c r="I4517" t="n">
        <v>0</v>
      </c>
      <c r="J4517" t="n">
        <v>0</v>
      </c>
      <c r="K4517" t="n">
        <v>0</v>
      </c>
      <c r="L4517" t="n">
        <v>0</v>
      </c>
      <c r="M4517" t="n">
        <v>0</v>
      </c>
      <c r="N4517" t="n">
        <v>0</v>
      </c>
      <c r="O4517" t="n">
        <v>0</v>
      </c>
      <c r="P4517" t="n">
        <v>0</v>
      </c>
      <c r="Q4517" t="n">
        <v>0</v>
      </c>
      <c r="R4517" s="2" t="inlineStr"/>
    </row>
    <row r="4518" ht="15" customHeight="1">
      <c r="A4518" t="inlineStr">
        <is>
          <t>A 72089-2021</t>
        </is>
      </c>
      <c r="B4518" s="1" t="n">
        <v>44540</v>
      </c>
      <c r="C4518" s="1" t="n">
        <v>45182</v>
      </c>
      <c r="D4518" t="inlineStr">
        <is>
          <t>JÄMTLANDS LÄN</t>
        </is>
      </c>
      <c r="E4518" t="inlineStr">
        <is>
          <t>ÖSTERSUND</t>
        </is>
      </c>
      <c r="G4518" t="n">
        <v>0.9</v>
      </c>
      <c r="H4518" t="n">
        <v>0</v>
      </c>
      <c r="I4518" t="n">
        <v>0</v>
      </c>
      <c r="J4518" t="n">
        <v>0</v>
      </c>
      <c r="K4518" t="n">
        <v>0</v>
      </c>
      <c r="L4518" t="n">
        <v>0</v>
      </c>
      <c r="M4518" t="n">
        <v>0</v>
      </c>
      <c r="N4518" t="n">
        <v>0</v>
      </c>
      <c r="O4518" t="n">
        <v>0</v>
      </c>
      <c r="P4518" t="n">
        <v>0</v>
      </c>
      <c r="Q4518" t="n">
        <v>0</v>
      </c>
      <c r="R4518" s="2" t="inlineStr"/>
    </row>
    <row r="4519" ht="15" customHeight="1">
      <c r="A4519" t="inlineStr">
        <is>
          <t>A 71467-2021</t>
        </is>
      </c>
      <c r="B4519" s="1" t="n">
        <v>44540</v>
      </c>
      <c r="C4519" s="1" t="n">
        <v>45182</v>
      </c>
      <c r="D4519" t="inlineStr">
        <is>
          <t>JÄMTLANDS LÄN</t>
        </is>
      </c>
      <c r="E4519" t="inlineStr">
        <is>
          <t>HÄRJEDALEN</t>
        </is>
      </c>
      <c r="F4519" t="inlineStr">
        <is>
          <t>Sveaskog</t>
        </is>
      </c>
      <c r="G4519" t="n">
        <v>1.6</v>
      </c>
      <c r="H4519" t="n">
        <v>0</v>
      </c>
      <c r="I4519" t="n">
        <v>0</v>
      </c>
      <c r="J4519" t="n">
        <v>0</v>
      </c>
      <c r="K4519" t="n">
        <v>0</v>
      </c>
      <c r="L4519" t="n">
        <v>0</v>
      </c>
      <c r="M4519" t="n">
        <v>0</v>
      </c>
      <c r="N4519" t="n">
        <v>0</v>
      </c>
      <c r="O4519" t="n">
        <v>0</v>
      </c>
      <c r="P4519" t="n">
        <v>0</v>
      </c>
      <c r="Q4519" t="n">
        <v>0</v>
      </c>
      <c r="R4519" s="2" t="inlineStr"/>
    </row>
    <row r="4520" ht="15" customHeight="1">
      <c r="A4520" t="inlineStr">
        <is>
          <t>A 72258-2021</t>
        </is>
      </c>
      <c r="B4520" s="1" t="n">
        <v>44540</v>
      </c>
      <c r="C4520" s="1" t="n">
        <v>45182</v>
      </c>
      <c r="D4520" t="inlineStr">
        <is>
          <t>JÄMTLANDS LÄN</t>
        </is>
      </c>
      <c r="E4520" t="inlineStr">
        <is>
          <t>ÖSTERSUND</t>
        </is>
      </c>
      <c r="G4520" t="n">
        <v>8.300000000000001</v>
      </c>
      <c r="H4520" t="n">
        <v>0</v>
      </c>
      <c r="I4520" t="n">
        <v>0</v>
      </c>
      <c r="J4520" t="n">
        <v>0</v>
      </c>
      <c r="K4520" t="n">
        <v>0</v>
      </c>
      <c r="L4520" t="n">
        <v>0</v>
      </c>
      <c r="M4520" t="n">
        <v>0</v>
      </c>
      <c r="N4520" t="n">
        <v>0</v>
      </c>
      <c r="O4520" t="n">
        <v>0</v>
      </c>
      <c r="P4520" t="n">
        <v>0</v>
      </c>
      <c r="Q4520" t="n">
        <v>0</v>
      </c>
      <c r="R4520" s="2" t="inlineStr"/>
    </row>
    <row r="4521" ht="15" customHeight="1">
      <c r="A4521" t="inlineStr">
        <is>
          <t>A 71572-2021</t>
        </is>
      </c>
      <c r="B4521" s="1" t="n">
        <v>44540</v>
      </c>
      <c r="C4521" s="1" t="n">
        <v>45182</v>
      </c>
      <c r="D4521" t="inlineStr">
        <is>
          <t>JÄMTLANDS LÄN</t>
        </is>
      </c>
      <c r="E4521" t="inlineStr">
        <is>
          <t>KROKOM</t>
        </is>
      </c>
      <c r="G4521" t="n">
        <v>0.9</v>
      </c>
      <c r="H4521" t="n">
        <v>0</v>
      </c>
      <c r="I4521" t="n">
        <v>0</v>
      </c>
      <c r="J4521" t="n">
        <v>0</v>
      </c>
      <c r="K4521" t="n">
        <v>0</v>
      </c>
      <c r="L4521" t="n">
        <v>0</v>
      </c>
      <c r="M4521" t="n">
        <v>0</v>
      </c>
      <c r="N4521" t="n">
        <v>0</v>
      </c>
      <c r="O4521" t="n">
        <v>0</v>
      </c>
      <c r="P4521" t="n">
        <v>0</v>
      </c>
      <c r="Q4521" t="n">
        <v>0</v>
      </c>
      <c r="R4521" s="2" t="inlineStr"/>
    </row>
    <row r="4522" ht="15" customHeight="1">
      <c r="A4522" t="inlineStr">
        <is>
          <t>A 71968-2021</t>
        </is>
      </c>
      <c r="B4522" s="1" t="n">
        <v>44540</v>
      </c>
      <c r="C4522" s="1" t="n">
        <v>45182</v>
      </c>
      <c r="D4522" t="inlineStr">
        <is>
          <t>JÄMTLANDS LÄN</t>
        </is>
      </c>
      <c r="E4522" t="inlineStr">
        <is>
          <t>ÅRE</t>
        </is>
      </c>
      <c r="G4522" t="n">
        <v>7</v>
      </c>
      <c r="H4522" t="n">
        <v>0</v>
      </c>
      <c r="I4522" t="n">
        <v>0</v>
      </c>
      <c r="J4522" t="n">
        <v>0</v>
      </c>
      <c r="K4522" t="n">
        <v>0</v>
      </c>
      <c r="L4522" t="n">
        <v>0</v>
      </c>
      <c r="M4522" t="n">
        <v>0</v>
      </c>
      <c r="N4522" t="n">
        <v>0</v>
      </c>
      <c r="O4522" t="n">
        <v>0</v>
      </c>
      <c r="P4522" t="n">
        <v>0</v>
      </c>
      <c r="Q4522" t="n">
        <v>0</v>
      </c>
      <c r="R4522" s="2" t="inlineStr"/>
    </row>
    <row r="4523" ht="15" customHeight="1">
      <c r="A4523" t="inlineStr">
        <is>
          <t>A 72041-2021</t>
        </is>
      </c>
      <c r="B4523" s="1" t="n">
        <v>44540</v>
      </c>
      <c r="C4523" s="1" t="n">
        <v>45182</v>
      </c>
      <c r="D4523" t="inlineStr">
        <is>
          <t>JÄMTLANDS LÄN</t>
        </is>
      </c>
      <c r="E4523" t="inlineStr">
        <is>
          <t>ÖSTERSUND</t>
        </is>
      </c>
      <c r="G4523" t="n">
        <v>0.4</v>
      </c>
      <c r="H4523" t="n">
        <v>0</v>
      </c>
      <c r="I4523" t="n">
        <v>0</v>
      </c>
      <c r="J4523" t="n">
        <v>0</v>
      </c>
      <c r="K4523" t="n">
        <v>0</v>
      </c>
      <c r="L4523" t="n">
        <v>0</v>
      </c>
      <c r="M4523" t="n">
        <v>0</v>
      </c>
      <c r="N4523" t="n">
        <v>0</v>
      </c>
      <c r="O4523" t="n">
        <v>0</v>
      </c>
      <c r="P4523" t="n">
        <v>0</v>
      </c>
      <c r="Q4523" t="n">
        <v>0</v>
      </c>
      <c r="R4523" s="2" t="inlineStr"/>
    </row>
    <row r="4524" ht="15" customHeight="1">
      <c r="A4524" t="inlineStr">
        <is>
          <t>A 71571-2021</t>
        </is>
      </c>
      <c r="B4524" s="1" t="n">
        <v>44540</v>
      </c>
      <c r="C4524" s="1" t="n">
        <v>45182</v>
      </c>
      <c r="D4524" t="inlineStr">
        <is>
          <t>JÄMTLANDS LÄN</t>
        </is>
      </c>
      <c r="E4524" t="inlineStr">
        <is>
          <t>KROKOM</t>
        </is>
      </c>
      <c r="G4524" t="n">
        <v>0.7</v>
      </c>
      <c r="H4524" t="n">
        <v>0</v>
      </c>
      <c r="I4524" t="n">
        <v>0</v>
      </c>
      <c r="J4524" t="n">
        <v>0</v>
      </c>
      <c r="K4524" t="n">
        <v>0</v>
      </c>
      <c r="L4524" t="n">
        <v>0</v>
      </c>
      <c r="M4524" t="n">
        <v>0</v>
      </c>
      <c r="N4524" t="n">
        <v>0</v>
      </c>
      <c r="O4524" t="n">
        <v>0</v>
      </c>
      <c r="P4524" t="n">
        <v>0</v>
      </c>
      <c r="Q4524" t="n">
        <v>0</v>
      </c>
      <c r="R4524" s="2" t="inlineStr"/>
    </row>
    <row r="4525" ht="15" customHeight="1">
      <c r="A4525" t="inlineStr">
        <is>
          <t>A 72061-2021</t>
        </is>
      </c>
      <c r="B4525" s="1" t="n">
        <v>44540</v>
      </c>
      <c r="C4525" s="1" t="n">
        <v>45182</v>
      </c>
      <c r="D4525" t="inlineStr">
        <is>
          <t>JÄMTLANDS LÄN</t>
        </is>
      </c>
      <c r="E4525" t="inlineStr">
        <is>
          <t>ÖSTERSUND</t>
        </is>
      </c>
      <c r="G4525" t="n">
        <v>5.3</v>
      </c>
      <c r="H4525" t="n">
        <v>0</v>
      </c>
      <c r="I4525" t="n">
        <v>0</v>
      </c>
      <c r="J4525" t="n">
        <v>0</v>
      </c>
      <c r="K4525" t="n">
        <v>0</v>
      </c>
      <c r="L4525" t="n">
        <v>0</v>
      </c>
      <c r="M4525" t="n">
        <v>0</v>
      </c>
      <c r="N4525" t="n">
        <v>0</v>
      </c>
      <c r="O4525" t="n">
        <v>0</v>
      </c>
      <c r="P4525" t="n">
        <v>0</v>
      </c>
      <c r="Q4525" t="n">
        <v>0</v>
      </c>
      <c r="R4525" s="2" t="inlineStr"/>
    </row>
    <row r="4526" ht="15" customHeight="1">
      <c r="A4526" t="inlineStr">
        <is>
          <t>A 71912-2021</t>
        </is>
      </c>
      <c r="B4526" s="1" t="n">
        <v>44543</v>
      </c>
      <c r="C4526" s="1" t="n">
        <v>45182</v>
      </c>
      <c r="D4526" t="inlineStr">
        <is>
          <t>JÄMTLANDS LÄN</t>
        </is>
      </c>
      <c r="E4526" t="inlineStr">
        <is>
          <t>STRÖMSUND</t>
        </is>
      </c>
      <c r="G4526" t="n">
        <v>3.2</v>
      </c>
      <c r="H4526" t="n">
        <v>0</v>
      </c>
      <c r="I4526" t="n">
        <v>0</v>
      </c>
      <c r="J4526" t="n">
        <v>0</v>
      </c>
      <c r="K4526" t="n">
        <v>0</v>
      </c>
      <c r="L4526" t="n">
        <v>0</v>
      </c>
      <c r="M4526" t="n">
        <v>0</v>
      </c>
      <c r="N4526" t="n">
        <v>0</v>
      </c>
      <c r="O4526" t="n">
        <v>0</v>
      </c>
      <c r="P4526" t="n">
        <v>0</v>
      </c>
      <c r="Q4526" t="n">
        <v>0</v>
      </c>
      <c r="R4526" s="2" t="inlineStr"/>
    </row>
    <row r="4527" ht="15" customHeight="1">
      <c r="A4527" t="inlineStr">
        <is>
          <t>A 72286-2021</t>
        </is>
      </c>
      <c r="B4527" s="1" t="n">
        <v>44543</v>
      </c>
      <c r="C4527" s="1" t="n">
        <v>45182</v>
      </c>
      <c r="D4527" t="inlineStr">
        <is>
          <t>JÄMTLANDS LÄN</t>
        </is>
      </c>
      <c r="E4527" t="inlineStr">
        <is>
          <t>KROKOM</t>
        </is>
      </c>
      <c r="G4527" t="n">
        <v>2.3</v>
      </c>
      <c r="H4527" t="n">
        <v>0</v>
      </c>
      <c r="I4527" t="n">
        <v>0</v>
      </c>
      <c r="J4527" t="n">
        <v>0</v>
      </c>
      <c r="K4527" t="n">
        <v>0</v>
      </c>
      <c r="L4527" t="n">
        <v>0</v>
      </c>
      <c r="M4527" t="n">
        <v>0</v>
      </c>
      <c r="N4527" t="n">
        <v>0</v>
      </c>
      <c r="O4527" t="n">
        <v>0</v>
      </c>
      <c r="P4527" t="n">
        <v>0</v>
      </c>
      <c r="Q4527" t="n">
        <v>0</v>
      </c>
      <c r="R4527" s="2" t="inlineStr"/>
    </row>
    <row r="4528" ht="15" customHeight="1">
      <c r="A4528" t="inlineStr">
        <is>
          <t>A 71756-2021</t>
        </is>
      </c>
      <c r="B4528" s="1" t="n">
        <v>44543</v>
      </c>
      <c r="C4528" s="1" t="n">
        <v>45182</v>
      </c>
      <c r="D4528" t="inlineStr">
        <is>
          <t>JÄMTLANDS LÄN</t>
        </is>
      </c>
      <c r="E4528" t="inlineStr">
        <is>
          <t>HÄRJEDALEN</t>
        </is>
      </c>
      <c r="G4528" t="n">
        <v>2.4</v>
      </c>
      <c r="H4528" t="n">
        <v>0</v>
      </c>
      <c r="I4528" t="n">
        <v>0</v>
      </c>
      <c r="J4528" t="n">
        <v>0</v>
      </c>
      <c r="K4528" t="n">
        <v>0</v>
      </c>
      <c r="L4528" t="n">
        <v>0</v>
      </c>
      <c r="M4528" t="n">
        <v>0</v>
      </c>
      <c r="N4528" t="n">
        <v>0</v>
      </c>
      <c r="O4528" t="n">
        <v>0</v>
      </c>
      <c r="P4528" t="n">
        <v>0</v>
      </c>
      <c r="Q4528" t="n">
        <v>0</v>
      </c>
      <c r="R4528" s="2" t="inlineStr"/>
    </row>
    <row r="4529" ht="15" customHeight="1">
      <c r="A4529" t="inlineStr">
        <is>
          <t>A 71900-2021</t>
        </is>
      </c>
      <c r="B4529" s="1" t="n">
        <v>44543</v>
      </c>
      <c r="C4529" s="1" t="n">
        <v>45182</v>
      </c>
      <c r="D4529" t="inlineStr">
        <is>
          <t>JÄMTLANDS LÄN</t>
        </is>
      </c>
      <c r="E4529" t="inlineStr">
        <is>
          <t>ÅRE</t>
        </is>
      </c>
      <c r="G4529" t="n">
        <v>7.7</v>
      </c>
      <c r="H4529" t="n">
        <v>0</v>
      </c>
      <c r="I4529" t="n">
        <v>0</v>
      </c>
      <c r="J4529" t="n">
        <v>0</v>
      </c>
      <c r="K4529" t="n">
        <v>0</v>
      </c>
      <c r="L4529" t="n">
        <v>0</v>
      </c>
      <c r="M4529" t="n">
        <v>0</v>
      </c>
      <c r="N4529" t="n">
        <v>0</v>
      </c>
      <c r="O4529" t="n">
        <v>0</v>
      </c>
      <c r="P4529" t="n">
        <v>0</v>
      </c>
      <c r="Q4529" t="n">
        <v>0</v>
      </c>
      <c r="R4529" s="2" t="inlineStr"/>
    </row>
    <row r="4530" ht="15" customHeight="1">
      <c r="A4530" t="inlineStr">
        <is>
          <t>A 72264-2021</t>
        </is>
      </c>
      <c r="B4530" s="1" t="n">
        <v>44543</v>
      </c>
      <c r="C4530" s="1" t="n">
        <v>45182</v>
      </c>
      <c r="D4530" t="inlineStr">
        <is>
          <t>JÄMTLANDS LÄN</t>
        </is>
      </c>
      <c r="E4530" t="inlineStr">
        <is>
          <t>BERG</t>
        </is>
      </c>
      <c r="G4530" t="n">
        <v>2.6</v>
      </c>
      <c r="H4530" t="n">
        <v>0</v>
      </c>
      <c r="I4530" t="n">
        <v>0</v>
      </c>
      <c r="J4530" t="n">
        <v>0</v>
      </c>
      <c r="K4530" t="n">
        <v>0</v>
      </c>
      <c r="L4530" t="n">
        <v>0</v>
      </c>
      <c r="M4530" t="n">
        <v>0</v>
      </c>
      <c r="N4530" t="n">
        <v>0</v>
      </c>
      <c r="O4530" t="n">
        <v>0</v>
      </c>
      <c r="P4530" t="n">
        <v>0</v>
      </c>
      <c r="Q4530" t="n">
        <v>0</v>
      </c>
      <c r="R4530" s="2" t="inlineStr"/>
    </row>
    <row r="4531" ht="15" customHeight="1">
      <c r="A4531" t="inlineStr">
        <is>
          <t>A 71864-2021</t>
        </is>
      </c>
      <c r="B4531" s="1" t="n">
        <v>44543</v>
      </c>
      <c r="C4531" s="1" t="n">
        <v>45182</v>
      </c>
      <c r="D4531" t="inlineStr">
        <is>
          <t>JÄMTLANDS LÄN</t>
        </is>
      </c>
      <c r="E4531" t="inlineStr">
        <is>
          <t>HÄRJEDALEN</t>
        </is>
      </c>
      <c r="F4531" t="inlineStr">
        <is>
          <t>Holmen skog AB</t>
        </is>
      </c>
      <c r="G4531" t="n">
        <v>0.2</v>
      </c>
      <c r="H4531" t="n">
        <v>0</v>
      </c>
      <c r="I4531" t="n">
        <v>0</v>
      </c>
      <c r="J4531" t="n">
        <v>0</v>
      </c>
      <c r="K4531" t="n">
        <v>0</v>
      </c>
      <c r="L4531" t="n">
        <v>0</v>
      </c>
      <c r="M4531" t="n">
        <v>0</v>
      </c>
      <c r="N4531" t="n">
        <v>0</v>
      </c>
      <c r="O4531" t="n">
        <v>0</v>
      </c>
      <c r="P4531" t="n">
        <v>0</v>
      </c>
      <c r="Q4531" t="n">
        <v>0</v>
      </c>
      <c r="R4531" s="2" t="inlineStr"/>
    </row>
    <row r="4532" ht="15" customHeight="1">
      <c r="A4532" t="inlineStr">
        <is>
          <t>A 72265-2021</t>
        </is>
      </c>
      <c r="B4532" s="1" t="n">
        <v>44543</v>
      </c>
      <c r="C4532" s="1" t="n">
        <v>45182</v>
      </c>
      <c r="D4532" t="inlineStr">
        <is>
          <t>JÄMTLANDS LÄN</t>
        </is>
      </c>
      <c r="E4532" t="inlineStr">
        <is>
          <t>BERG</t>
        </is>
      </c>
      <c r="G4532" t="n">
        <v>9.9</v>
      </c>
      <c r="H4532" t="n">
        <v>0</v>
      </c>
      <c r="I4532" t="n">
        <v>0</v>
      </c>
      <c r="J4532" t="n">
        <v>0</v>
      </c>
      <c r="K4532" t="n">
        <v>0</v>
      </c>
      <c r="L4532" t="n">
        <v>0</v>
      </c>
      <c r="M4532" t="n">
        <v>0</v>
      </c>
      <c r="N4532" t="n">
        <v>0</v>
      </c>
      <c r="O4532" t="n">
        <v>0</v>
      </c>
      <c r="P4532" t="n">
        <v>0</v>
      </c>
      <c r="Q4532" t="n">
        <v>0</v>
      </c>
      <c r="R4532" s="2" t="inlineStr"/>
    </row>
    <row r="4533" ht="15" customHeight="1">
      <c r="A4533" t="inlineStr">
        <is>
          <t>A 71956-2021</t>
        </is>
      </c>
      <c r="B4533" s="1" t="n">
        <v>44544</v>
      </c>
      <c r="C4533" s="1" t="n">
        <v>45182</v>
      </c>
      <c r="D4533" t="inlineStr">
        <is>
          <t>JÄMTLANDS LÄN</t>
        </is>
      </c>
      <c r="E4533" t="inlineStr">
        <is>
          <t>ÖSTERSUND</t>
        </is>
      </c>
      <c r="G4533" t="n">
        <v>0.8</v>
      </c>
      <c r="H4533" t="n">
        <v>0</v>
      </c>
      <c r="I4533" t="n">
        <v>0</v>
      </c>
      <c r="J4533" t="n">
        <v>0</v>
      </c>
      <c r="K4533" t="n">
        <v>0</v>
      </c>
      <c r="L4533" t="n">
        <v>0</v>
      </c>
      <c r="M4533" t="n">
        <v>0</v>
      </c>
      <c r="N4533" t="n">
        <v>0</v>
      </c>
      <c r="O4533" t="n">
        <v>0</v>
      </c>
      <c r="P4533" t="n">
        <v>0</v>
      </c>
      <c r="Q4533" t="n">
        <v>0</v>
      </c>
      <c r="R4533" s="2" t="inlineStr"/>
    </row>
    <row r="4534" ht="15" customHeight="1">
      <c r="A4534" t="inlineStr">
        <is>
          <t>A 72215-2021</t>
        </is>
      </c>
      <c r="B4534" s="1" t="n">
        <v>44544</v>
      </c>
      <c r="C4534" s="1" t="n">
        <v>45182</v>
      </c>
      <c r="D4534" t="inlineStr">
        <is>
          <t>JÄMTLANDS LÄN</t>
        </is>
      </c>
      <c r="E4534" t="inlineStr">
        <is>
          <t>ÅRE</t>
        </is>
      </c>
      <c r="G4534" t="n">
        <v>3.9</v>
      </c>
      <c r="H4534" t="n">
        <v>0</v>
      </c>
      <c r="I4534" t="n">
        <v>0</v>
      </c>
      <c r="J4534" t="n">
        <v>0</v>
      </c>
      <c r="K4534" t="n">
        <v>0</v>
      </c>
      <c r="L4534" t="n">
        <v>0</v>
      </c>
      <c r="M4534" t="n">
        <v>0</v>
      </c>
      <c r="N4534" t="n">
        <v>0</v>
      </c>
      <c r="O4534" t="n">
        <v>0</v>
      </c>
      <c r="P4534" t="n">
        <v>0</v>
      </c>
      <c r="Q4534" t="n">
        <v>0</v>
      </c>
      <c r="R4534" s="2" t="inlineStr"/>
    </row>
    <row r="4535" ht="15" customHeight="1">
      <c r="A4535" t="inlineStr">
        <is>
          <t>A 72599-2021</t>
        </is>
      </c>
      <c r="B4535" s="1" t="n">
        <v>44544</v>
      </c>
      <c r="C4535" s="1" t="n">
        <v>45182</v>
      </c>
      <c r="D4535" t="inlineStr">
        <is>
          <t>JÄMTLANDS LÄN</t>
        </is>
      </c>
      <c r="E4535" t="inlineStr">
        <is>
          <t>KROKOM</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72591-2021</t>
        </is>
      </c>
      <c r="B4536" s="1" t="n">
        <v>44544</v>
      </c>
      <c r="C4536" s="1" t="n">
        <v>45182</v>
      </c>
      <c r="D4536" t="inlineStr">
        <is>
          <t>JÄMTLANDS LÄN</t>
        </is>
      </c>
      <c r="E4536" t="inlineStr">
        <is>
          <t>KROKOM</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71989-2021</t>
        </is>
      </c>
      <c r="B4537" s="1" t="n">
        <v>44544</v>
      </c>
      <c r="C4537" s="1" t="n">
        <v>45182</v>
      </c>
      <c r="D4537" t="inlineStr">
        <is>
          <t>JÄMTLANDS LÄN</t>
        </is>
      </c>
      <c r="E4537" t="inlineStr">
        <is>
          <t>HÄRJEDALEN</t>
        </is>
      </c>
      <c r="F4537" t="inlineStr">
        <is>
          <t>Holmen skog AB</t>
        </is>
      </c>
      <c r="G4537" t="n">
        <v>0.3</v>
      </c>
      <c r="H4537" t="n">
        <v>0</v>
      </c>
      <c r="I4537" t="n">
        <v>0</v>
      </c>
      <c r="J4537" t="n">
        <v>0</v>
      </c>
      <c r="K4537" t="n">
        <v>0</v>
      </c>
      <c r="L4537" t="n">
        <v>0</v>
      </c>
      <c r="M4537" t="n">
        <v>0</v>
      </c>
      <c r="N4537" t="n">
        <v>0</v>
      </c>
      <c r="O4537" t="n">
        <v>0</v>
      </c>
      <c r="P4537" t="n">
        <v>0</v>
      </c>
      <c r="Q4537" t="n">
        <v>0</v>
      </c>
      <c r="R4537" s="2" t="inlineStr"/>
    </row>
    <row r="4538" ht="15" customHeight="1">
      <c r="A4538" t="inlineStr">
        <is>
          <t>A 72374-2021</t>
        </is>
      </c>
      <c r="B4538" s="1" t="n">
        <v>44545</v>
      </c>
      <c r="C4538" s="1" t="n">
        <v>45182</v>
      </c>
      <c r="D4538" t="inlineStr">
        <is>
          <t>JÄMTLANDS LÄN</t>
        </is>
      </c>
      <c r="E4538" t="inlineStr">
        <is>
          <t>HÄRJEDALEN</t>
        </is>
      </c>
      <c r="F4538" t="inlineStr">
        <is>
          <t>Sveaskog</t>
        </is>
      </c>
      <c r="G4538" t="n">
        <v>0.7</v>
      </c>
      <c r="H4538" t="n">
        <v>0</v>
      </c>
      <c r="I4538" t="n">
        <v>0</v>
      </c>
      <c r="J4538" t="n">
        <v>0</v>
      </c>
      <c r="K4538" t="n">
        <v>0</v>
      </c>
      <c r="L4538" t="n">
        <v>0</v>
      </c>
      <c r="M4538" t="n">
        <v>0</v>
      </c>
      <c r="N4538" t="n">
        <v>0</v>
      </c>
      <c r="O4538" t="n">
        <v>0</v>
      </c>
      <c r="P4538" t="n">
        <v>0</v>
      </c>
      <c r="Q4538" t="n">
        <v>0</v>
      </c>
      <c r="R4538" s="2" t="inlineStr"/>
    </row>
    <row r="4539" ht="15" customHeight="1">
      <c r="A4539" t="inlineStr">
        <is>
          <t>A 72629-2021</t>
        </is>
      </c>
      <c r="B4539" s="1" t="n">
        <v>44545</v>
      </c>
      <c r="C4539" s="1" t="n">
        <v>45182</v>
      </c>
      <c r="D4539" t="inlineStr">
        <is>
          <t>JÄMTLANDS LÄN</t>
        </is>
      </c>
      <c r="E4539" t="inlineStr">
        <is>
          <t>STRÖMSUND</t>
        </is>
      </c>
      <c r="G4539" t="n">
        <v>2.2</v>
      </c>
      <c r="H4539" t="n">
        <v>0</v>
      </c>
      <c r="I4539" t="n">
        <v>0</v>
      </c>
      <c r="J4539" t="n">
        <v>0</v>
      </c>
      <c r="K4539" t="n">
        <v>0</v>
      </c>
      <c r="L4539" t="n">
        <v>0</v>
      </c>
      <c r="M4539" t="n">
        <v>0</v>
      </c>
      <c r="N4539" t="n">
        <v>0</v>
      </c>
      <c r="O4539" t="n">
        <v>0</v>
      </c>
      <c r="P4539" t="n">
        <v>0</v>
      </c>
      <c r="Q4539" t="n">
        <v>0</v>
      </c>
      <c r="R4539" s="2" t="inlineStr"/>
    </row>
    <row r="4540" ht="15" customHeight="1">
      <c r="A4540" t="inlineStr">
        <is>
          <t>A 72750-2021</t>
        </is>
      </c>
      <c r="B4540" s="1" t="n">
        <v>44546</v>
      </c>
      <c r="C4540" s="1" t="n">
        <v>45182</v>
      </c>
      <c r="D4540" t="inlineStr">
        <is>
          <t>JÄMTLANDS LÄN</t>
        </is>
      </c>
      <c r="E4540" t="inlineStr">
        <is>
          <t>BRÄCKE</t>
        </is>
      </c>
      <c r="G4540" t="n">
        <v>1.2</v>
      </c>
      <c r="H4540" t="n">
        <v>0</v>
      </c>
      <c r="I4540" t="n">
        <v>0</v>
      </c>
      <c r="J4540" t="n">
        <v>0</v>
      </c>
      <c r="K4540" t="n">
        <v>0</v>
      </c>
      <c r="L4540" t="n">
        <v>0</v>
      </c>
      <c r="M4540" t="n">
        <v>0</v>
      </c>
      <c r="N4540" t="n">
        <v>0</v>
      </c>
      <c r="O4540" t="n">
        <v>0</v>
      </c>
      <c r="P4540" t="n">
        <v>0</v>
      </c>
      <c r="Q4540" t="n">
        <v>0</v>
      </c>
      <c r="R4540" s="2" t="inlineStr"/>
    </row>
    <row r="4541" ht="15" customHeight="1">
      <c r="A4541" t="inlineStr">
        <is>
          <t>A 72757-2021</t>
        </is>
      </c>
      <c r="B4541" s="1" t="n">
        <v>44546</v>
      </c>
      <c r="C4541" s="1" t="n">
        <v>45182</v>
      </c>
      <c r="D4541" t="inlineStr">
        <is>
          <t>JÄMTLANDS LÄN</t>
        </is>
      </c>
      <c r="E4541" t="inlineStr">
        <is>
          <t>BRÄCKE</t>
        </is>
      </c>
      <c r="G4541" t="n">
        <v>1.3</v>
      </c>
      <c r="H4541" t="n">
        <v>0</v>
      </c>
      <c r="I4541" t="n">
        <v>0</v>
      </c>
      <c r="J4541" t="n">
        <v>0</v>
      </c>
      <c r="K4541" t="n">
        <v>0</v>
      </c>
      <c r="L4541" t="n">
        <v>0</v>
      </c>
      <c r="M4541" t="n">
        <v>0</v>
      </c>
      <c r="N4541" t="n">
        <v>0</v>
      </c>
      <c r="O4541" t="n">
        <v>0</v>
      </c>
      <c r="P4541" t="n">
        <v>0</v>
      </c>
      <c r="Q4541" t="n">
        <v>0</v>
      </c>
      <c r="R4541" s="2" t="inlineStr"/>
    </row>
    <row r="4542" ht="15" customHeight="1">
      <c r="A4542" t="inlineStr">
        <is>
          <t>A 72926-2021</t>
        </is>
      </c>
      <c r="B4542" s="1" t="n">
        <v>44546</v>
      </c>
      <c r="C4542" s="1" t="n">
        <v>45182</v>
      </c>
      <c r="D4542" t="inlineStr">
        <is>
          <t>JÄMTLANDS LÄN</t>
        </is>
      </c>
      <c r="E4542" t="inlineStr">
        <is>
          <t>BERG</t>
        </is>
      </c>
      <c r="G4542" t="n">
        <v>4.6</v>
      </c>
      <c r="H4542" t="n">
        <v>0</v>
      </c>
      <c r="I4542" t="n">
        <v>0</v>
      </c>
      <c r="J4542" t="n">
        <v>0</v>
      </c>
      <c r="K4542" t="n">
        <v>0</v>
      </c>
      <c r="L4542" t="n">
        <v>0</v>
      </c>
      <c r="M4542" t="n">
        <v>0</v>
      </c>
      <c r="N4542" t="n">
        <v>0</v>
      </c>
      <c r="O4542" t="n">
        <v>0</v>
      </c>
      <c r="P4542" t="n">
        <v>0</v>
      </c>
      <c r="Q4542" t="n">
        <v>0</v>
      </c>
      <c r="R4542" s="2" t="inlineStr"/>
    </row>
    <row r="4543" ht="15" customHeight="1">
      <c r="A4543" t="inlineStr">
        <is>
          <t>A 72538-2021</t>
        </is>
      </c>
      <c r="B4543" s="1" t="n">
        <v>44546</v>
      </c>
      <c r="C4543" s="1" t="n">
        <v>45182</v>
      </c>
      <c r="D4543" t="inlineStr">
        <is>
          <t>JÄMTLANDS LÄN</t>
        </is>
      </c>
      <c r="E4543" t="inlineStr">
        <is>
          <t>KROKOM</t>
        </is>
      </c>
      <c r="F4543" t="inlineStr">
        <is>
          <t>Övriga Aktiebolag</t>
        </is>
      </c>
      <c r="G4543" t="n">
        <v>23.4</v>
      </c>
      <c r="H4543" t="n">
        <v>0</v>
      </c>
      <c r="I4543" t="n">
        <v>0</v>
      </c>
      <c r="J4543" t="n">
        <v>0</v>
      </c>
      <c r="K4543" t="n">
        <v>0</v>
      </c>
      <c r="L4543" t="n">
        <v>0</v>
      </c>
      <c r="M4543" t="n">
        <v>0</v>
      </c>
      <c r="N4543" t="n">
        <v>0</v>
      </c>
      <c r="O4543" t="n">
        <v>0</v>
      </c>
      <c r="P4543" t="n">
        <v>0</v>
      </c>
      <c r="Q4543" t="n">
        <v>0</v>
      </c>
      <c r="R4543" s="2" t="inlineStr"/>
    </row>
    <row r="4544" ht="15" customHeight="1">
      <c r="A4544" t="inlineStr">
        <is>
          <t>A 72754-2021</t>
        </is>
      </c>
      <c r="B4544" s="1" t="n">
        <v>44546</v>
      </c>
      <c r="C4544" s="1" t="n">
        <v>45182</v>
      </c>
      <c r="D4544" t="inlineStr">
        <is>
          <t>JÄMTLANDS LÄN</t>
        </is>
      </c>
      <c r="E4544" t="inlineStr">
        <is>
          <t>BRÄCKE</t>
        </is>
      </c>
      <c r="G4544" t="n">
        <v>2.4</v>
      </c>
      <c r="H4544" t="n">
        <v>0</v>
      </c>
      <c r="I4544" t="n">
        <v>0</v>
      </c>
      <c r="J4544" t="n">
        <v>0</v>
      </c>
      <c r="K4544" t="n">
        <v>0</v>
      </c>
      <c r="L4544" t="n">
        <v>0</v>
      </c>
      <c r="M4544" t="n">
        <v>0</v>
      </c>
      <c r="N4544" t="n">
        <v>0</v>
      </c>
      <c r="O4544" t="n">
        <v>0</v>
      </c>
      <c r="P4544" t="n">
        <v>0</v>
      </c>
      <c r="Q4544" t="n">
        <v>0</v>
      </c>
      <c r="R4544" s="2" t="inlineStr"/>
    </row>
    <row r="4545" ht="15" customHeight="1">
      <c r="A4545" t="inlineStr">
        <is>
          <t>A 72543-2021</t>
        </is>
      </c>
      <c r="B4545" s="1" t="n">
        <v>44546</v>
      </c>
      <c r="C4545" s="1" t="n">
        <v>45182</v>
      </c>
      <c r="D4545" t="inlineStr">
        <is>
          <t>JÄMTLANDS LÄN</t>
        </is>
      </c>
      <c r="E4545" t="inlineStr">
        <is>
          <t>STRÖMSUND</t>
        </is>
      </c>
      <c r="G4545" t="n">
        <v>3.7</v>
      </c>
      <c r="H4545" t="n">
        <v>0</v>
      </c>
      <c r="I4545" t="n">
        <v>0</v>
      </c>
      <c r="J4545" t="n">
        <v>0</v>
      </c>
      <c r="K4545" t="n">
        <v>0</v>
      </c>
      <c r="L4545" t="n">
        <v>0</v>
      </c>
      <c r="M4545" t="n">
        <v>0</v>
      </c>
      <c r="N4545" t="n">
        <v>0</v>
      </c>
      <c r="O4545" t="n">
        <v>0</v>
      </c>
      <c r="P4545" t="n">
        <v>0</v>
      </c>
      <c r="Q4545" t="n">
        <v>0</v>
      </c>
      <c r="R4545" s="2" t="inlineStr"/>
    </row>
    <row r="4546" ht="15" customHeight="1">
      <c r="A4546" t="inlineStr">
        <is>
          <t>A 72749-2021</t>
        </is>
      </c>
      <c r="B4546" s="1" t="n">
        <v>44546</v>
      </c>
      <c r="C4546" s="1" t="n">
        <v>45182</v>
      </c>
      <c r="D4546" t="inlineStr">
        <is>
          <t>JÄMTLANDS LÄN</t>
        </is>
      </c>
      <c r="E4546" t="inlineStr">
        <is>
          <t>STRÖMSUND</t>
        </is>
      </c>
      <c r="G4546" t="n">
        <v>35.6</v>
      </c>
      <c r="H4546" t="n">
        <v>0</v>
      </c>
      <c r="I4546" t="n">
        <v>0</v>
      </c>
      <c r="J4546" t="n">
        <v>0</v>
      </c>
      <c r="K4546" t="n">
        <v>0</v>
      </c>
      <c r="L4546" t="n">
        <v>0</v>
      </c>
      <c r="M4546" t="n">
        <v>0</v>
      </c>
      <c r="N4546" t="n">
        <v>0</v>
      </c>
      <c r="O4546" t="n">
        <v>0</v>
      </c>
      <c r="P4546" t="n">
        <v>0</v>
      </c>
      <c r="Q4546" t="n">
        <v>0</v>
      </c>
      <c r="R4546" s="2" t="inlineStr"/>
    </row>
    <row r="4547" ht="15" customHeight="1">
      <c r="A4547" t="inlineStr">
        <is>
          <t>A 72758-2021</t>
        </is>
      </c>
      <c r="B4547" s="1" t="n">
        <v>44546</v>
      </c>
      <c r="C4547" s="1" t="n">
        <v>45182</v>
      </c>
      <c r="D4547" t="inlineStr">
        <is>
          <t>JÄMTLANDS LÄN</t>
        </is>
      </c>
      <c r="E4547" t="inlineStr">
        <is>
          <t>BRÄCKE</t>
        </is>
      </c>
      <c r="G4547" t="n">
        <v>3.4</v>
      </c>
      <c r="H4547" t="n">
        <v>0</v>
      </c>
      <c r="I4547" t="n">
        <v>0</v>
      </c>
      <c r="J4547" t="n">
        <v>0</v>
      </c>
      <c r="K4547" t="n">
        <v>0</v>
      </c>
      <c r="L4547" t="n">
        <v>0</v>
      </c>
      <c r="M4547" t="n">
        <v>0</v>
      </c>
      <c r="N4547" t="n">
        <v>0</v>
      </c>
      <c r="O4547" t="n">
        <v>0</v>
      </c>
      <c r="P4547" t="n">
        <v>0</v>
      </c>
      <c r="Q4547" t="n">
        <v>0</v>
      </c>
      <c r="R4547" s="2" t="inlineStr"/>
    </row>
    <row r="4548" ht="15" customHeight="1">
      <c r="A4548" t="inlineStr">
        <is>
          <t>A 72827-2021</t>
        </is>
      </c>
      <c r="B4548" s="1" t="n">
        <v>44547</v>
      </c>
      <c r="C4548" s="1" t="n">
        <v>45182</v>
      </c>
      <c r="D4548" t="inlineStr">
        <is>
          <t>JÄMTLANDS LÄN</t>
        </is>
      </c>
      <c r="E4548" t="inlineStr">
        <is>
          <t>STRÖMSUND</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72938-2021</t>
        </is>
      </c>
      <c r="B4549" s="1" t="n">
        <v>44547</v>
      </c>
      <c r="C4549" s="1" t="n">
        <v>45182</v>
      </c>
      <c r="D4549" t="inlineStr">
        <is>
          <t>JÄMTLANDS LÄN</t>
        </is>
      </c>
      <c r="E4549" t="inlineStr">
        <is>
          <t>ÖSTERSUND</t>
        </is>
      </c>
      <c r="G4549" t="n">
        <v>4.5</v>
      </c>
      <c r="H4549" t="n">
        <v>0</v>
      </c>
      <c r="I4549" t="n">
        <v>0</v>
      </c>
      <c r="J4549" t="n">
        <v>0</v>
      </c>
      <c r="K4549" t="n">
        <v>0</v>
      </c>
      <c r="L4549" t="n">
        <v>0</v>
      </c>
      <c r="M4549" t="n">
        <v>0</v>
      </c>
      <c r="N4549" t="n">
        <v>0</v>
      </c>
      <c r="O4549" t="n">
        <v>0</v>
      </c>
      <c r="P4549" t="n">
        <v>0</v>
      </c>
      <c r="Q4549" t="n">
        <v>0</v>
      </c>
      <c r="R4549" s="2" t="inlineStr"/>
    </row>
    <row r="4550" ht="15" customHeight="1">
      <c r="A4550" t="inlineStr">
        <is>
          <t>A 72956-2021</t>
        </is>
      </c>
      <c r="B4550" s="1" t="n">
        <v>44547</v>
      </c>
      <c r="C4550" s="1" t="n">
        <v>45182</v>
      </c>
      <c r="D4550" t="inlineStr">
        <is>
          <t>JÄMTLANDS LÄN</t>
        </is>
      </c>
      <c r="E4550" t="inlineStr">
        <is>
          <t>STRÖMSUND</t>
        </is>
      </c>
      <c r="F4550" t="inlineStr">
        <is>
          <t>SCA</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73078-2021</t>
        </is>
      </c>
      <c r="B4551" s="1" t="n">
        <v>44550</v>
      </c>
      <c r="C4551" s="1" t="n">
        <v>45182</v>
      </c>
      <c r="D4551" t="inlineStr">
        <is>
          <t>JÄMTLANDS LÄN</t>
        </is>
      </c>
      <c r="E4551" t="inlineStr">
        <is>
          <t>ÖSTERSUND</t>
        </is>
      </c>
      <c r="G4551" t="n">
        <v>1.2</v>
      </c>
      <c r="H4551" t="n">
        <v>0</v>
      </c>
      <c r="I4551" t="n">
        <v>0</v>
      </c>
      <c r="J4551" t="n">
        <v>0</v>
      </c>
      <c r="K4551" t="n">
        <v>0</v>
      </c>
      <c r="L4551" t="n">
        <v>0</v>
      </c>
      <c r="M4551" t="n">
        <v>0</v>
      </c>
      <c r="N4551" t="n">
        <v>0</v>
      </c>
      <c r="O4551" t="n">
        <v>0</v>
      </c>
      <c r="P4551" t="n">
        <v>0</v>
      </c>
      <c r="Q4551" t="n">
        <v>0</v>
      </c>
      <c r="R4551" s="2" t="inlineStr"/>
    </row>
    <row r="4552" ht="15" customHeight="1">
      <c r="A4552" t="inlineStr">
        <is>
          <t>A 73280-2021</t>
        </is>
      </c>
      <c r="B4552" s="1" t="n">
        <v>44550</v>
      </c>
      <c r="C4552" s="1" t="n">
        <v>45182</v>
      </c>
      <c r="D4552" t="inlineStr">
        <is>
          <t>JÄMTLANDS LÄN</t>
        </is>
      </c>
      <c r="E4552" t="inlineStr">
        <is>
          <t>BRÄCKE</t>
        </is>
      </c>
      <c r="G4552" t="n">
        <v>2.5</v>
      </c>
      <c r="H4552" t="n">
        <v>0</v>
      </c>
      <c r="I4552" t="n">
        <v>0</v>
      </c>
      <c r="J4552" t="n">
        <v>0</v>
      </c>
      <c r="K4552" t="n">
        <v>0</v>
      </c>
      <c r="L4552" t="n">
        <v>0</v>
      </c>
      <c r="M4552" t="n">
        <v>0</v>
      </c>
      <c r="N4552" t="n">
        <v>0</v>
      </c>
      <c r="O4552" t="n">
        <v>0</v>
      </c>
      <c r="P4552" t="n">
        <v>0</v>
      </c>
      <c r="Q4552" t="n">
        <v>0</v>
      </c>
      <c r="R4552" s="2" t="inlineStr"/>
    </row>
    <row r="4553" ht="15" customHeight="1">
      <c r="A4553" t="inlineStr">
        <is>
          <t>A 73291-2021</t>
        </is>
      </c>
      <c r="B4553" s="1" t="n">
        <v>44550</v>
      </c>
      <c r="C4553" s="1" t="n">
        <v>45182</v>
      </c>
      <c r="D4553" t="inlineStr">
        <is>
          <t>JÄMTLANDS LÄN</t>
        </is>
      </c>
      <c r="E4553" t="inlineStr">
        <is>
          <t>STRÖMSUND</t>
        </is>
      </c>
      <c r="F4553" t="inlineStr">
        <is>
          <t>SCA</t>
        </is>
      </c>
      <c r="G4553" t="n">
        <v>2</v>
      </c>
      <c r="H4553" t="n">
        <v>0</v>
      </c>
      <c r="I4553" t="n">
        <v>0</v>
      </c>
      <c r="J4553" t="n">
        <v>0</v>
      </c>
      <c r="K4553" t="n">
        <v>0</v>
      </c>
      <c r="L4553" t="n">
        <v>0</v>
      </c>
      <c r="M4553" t="n">
        <v>0</v>
      </c>
      <c r="N4553" t="n">
        <v>0</v>
      </c>
      <c r="O4553" t="n">
        <v>0</v>
      </c>
      <c r="P4553" t="n">
        <v>0</v>
      </c>
      <c r="Q4553" t="n">
        <v>0</v>
      </c>
      <c r="R4553" s="2" t="inlineStr"/>
    </row>
    <row r="4554" ht="15" customHeight="1">
      <c r="A4554" t="inlineStr">
        <is>
          <t>A 73086-2021</t>
        </is>
      </c>
      <c r="B4554" s="1" t="n">
        <v>44550</v>
      </c>
      <c r="C4554" s="1" t="n">
        <v>45182</v>
      </c>
      <c r="D4554" t="inlineStr">
        <is>
          <t>JÄMTLANDS LÄN</t>
        </is>
      </c>
      <c r="E4554" t="inlineStr">
        <is>
          <t>ÅRE</t>
        </is>
      </c>
      <c r="G4554" t="n">
        <v>8.800000000000001</v>
      </c>
      <c r="H4554" t="n">
        <v>0</v>
      </c>
      <c r="I4554" t="n">
        <v>0</v>
      </c>
      <c r="J4554" t="n">
        <v>0</v>
      </c>
      <c r="K4554" t="n">
        <v>0</v>
      </c>
      <c r="L4554" t="n">
        <v>0</v>
      </c>
      <c r="M4554" t="n">
        <v>0</v>
      </c>
      <c r="N4554" t="n">
        <v>0</v>
      </c>
      <c r="O4554" t="n">
        <v>0</v>
      </c>
      <c r="P4554" t="n">
        <v>0</v>
      </c>
      <c r="Q4554" t="n">
        <v>0</v>
      </c>
      <c r="R4554" s="2" t="inlineStr"/>
    </row>
    <row r="4555" ht="15" customHeight="1">
      <c r="A4555" t="inlineStr">
        <is>
          <t>A 73288-2021</t>
        </is>
      </c>
      <c r="B4555" s="1" t="n">
        <v>44550</v>
      </c>
      <c r="C4555" s="1" t="n">
        <v>45182</v>
      </c>
      <c r="D4555" t="inlineStr">
        <is>
          <t>JÄMTLANDS LÄN</t>
        </is>
      </c>
      <c r="E4555" t="inlineStr">
        <is>
          <t>STRÖMSUND</t>
        </is>
      </c>
      <c r="F4555" t="inlineStr">
        <is>
          <t>SCA</t>
        </is>
      </c>
      <c r="G4555" t="n">
        <v>0.7</v>
      </c>
      <c r="H4555" t="n">
        <v>0</v>
      </c>
      <c r="I4555" t="n">
        <v>0</v>
      </c>
      <c r="J4555" t="n">
        <v>0</v>
      </c>
      <c r="K4555" t="n">
        <v>0</v>
      </c>
      <c r="L4555" t="n">
        <v>0</v>
      </c>
      <c r="M4555" t="n">
        <v>0</v>
      </c>
      <c r="N4555" t="n">
        <v>0</v>
      </c>
      <c r="O4555" t="n">
        <v>0</v>
      </c>
      <c r="P4555" t="n">
        <v>0</v>
      </c>
      <c r="Q4555" t="n">
        <v>0</v>
      </c>
      <c r="R4555" s="2" t="inlineStr"/>
    </row>
    <row r="4556" ht="15" customHeight="1">
      <c r="A4556" t="inlineStr">
        <is>
          <t>A 73066-2021</t>
        </is>
      </c>
      <c r="B4556" s="1" t="n">
        <v>44550</v>
      </c>
      <c r="C4556" s="1" t="n">
        <v>45182</v>
      </c>
      <c r="D4556" t="inlineStr">
        <is>
          <t>JÄMTLANDS LÄN</t>
        </is>
      </c>
      <c r="E4556" t="inlineStr">
        <is>
          <t>ÖSTERSUND</t>
        </is>
      </c>
      <c r="G4556" t="n">
        <v>2.9</v>
      </c>
      <c r="H4556" t="n">
        <v>0</v>
      </c>
      <c r="I4556" t="n">
        <v>0</v>
      </c>
      <c r="J4556" t="n">
        <v>0</v>
      </c>
      <c r="K4556" t="n">
        <v>0</v>
      </c>
      <c r="L4556" t="n">
        <v>0</v>
      </c>
      <c r="M4556" t="n">
        <v>0</v>
      </c>
      <c r="N4556" t="n">
        <v>0</v>
      </c>
      <c r="O4556" t="n">
        <v>0</v>
      </c>
      <c r="P4556" t="n">
        <v>0</v>
      </c>
      <c r="Q4556" t="n">
        <v>0</v>
      </c>
      <c r="R4556" s="2" t="inlineStr"/>
    </row>
    <row r="4557" ht="15" customHeight="1">
      <c r="A4557" t="inlineStr">
        <is>
          <t>A 73289-2021</t>
        </is>
      </c>
      <c r="B4557" s="1" t="n">
        <v>44550</v>
      </c>
      <c r="C4557" s="1" t="n">
        <v>45182</v>
      </c>
      <c r="D4557" t="inlineStr">
        <is>
          <t>JÄMTLANDS LÄN</t>
        </is>
      </c>
      <c r="E4557" t="inlineStr">
        <is>
          <t>STRÖMSUND</t>
        </is>
      </c>
      <c r="F4557" t="inlineStr">
        <is>
          <t>SCA</t>
        </is>
      </c>
      <c r="G4557" t="n">
        <v>0.7</v>
      </c>
      <c r="H4557" t="n">
        <v>0</v>
      </c>
      <c r="I4557" t="n">
        <v>0</v>
      </c>
      <c r="J4557" t="n">
        <v>0</v>
      </c>
      <c r="K4557" t="n">
        <v>0</v>
      </c>
      <c r="L4557" t="n">
        <v>0</v>
      </c>
      <c r="M4557" t="n">
        <v>0</v>
      </c>
      <c r="N4557" t="n">
        <v>0</v>
      </c>
      <c r="O4557" t="n">
        <v>0</v>
      </c>
      <c r="P4557" t="n">
        <v>0</v>
      </c>
      <c r="Q4557" t="n">
        <v>0</v>
      </c>
      <c r="R4557" s="2" t="inlineStr"/>
    </row>
    <row r="4558" ht="15" customHeight="1">
      <c r="A4558" t="inlineStr">
        <is>
          <t>A 73174-2021</t>
        </is>
      </c>
      <c r="B4558" s="1" t="n">
        <v>44550</v>
      </c>
      <c r="C4558" s="1" t="n">
        <v>45182</v>
      </c>
      <c r="D4558" t="inlineStr">
        <is>
          <t>JÄMTLANDS LÄN</t>
        </is>
      </c>
      <c r="E4558" t="inlineStr">
        <is>
          <t>KROKOM</t>
        </is>
      </c>
      <c r="G4558" t="n">
        <v>152.9</v>
      </c>
      <c r="H4558" t="n">
        <v>0</v>
      </c>
      <c r="I4558" t="n">
        <v>0</v>
      </c>
      <c r="J4558" t="n">
        <v>0</v>
      </c>
      <c r="K4558" t="n">
        <v>0</v>
      </c>
      <c r="L4558" t="n">
        <v>0</v>
      </c>
      <c r="M4558" t="n">
        <v>0</v>
      </c>
      <c r="N4558" t="n">
        <v>0</v>
      </c>
      <c r="O4558" t="n">
        <v>0</v>
      </c>
      <c r="P4558" t="n">
        <v>0</v>
      </c>
      <c r="Q4558" t="n">
        <v>0</v>
      </c>
      <c r="R4558" s="2" t="inlineStr"/>
    </row>
    <row r="4559" ht="15" customHeight="1">
      <c r="A4559" t="inlineStr">
        <is>
          <t>A 73281-2021</t>
        </is>
      </c>
      <c r="B4559" s="1" t="n">
        <v>44550</v>
      </c>
      <c r="C4559" s="1" t="n">
        <v>45182</v>
      </c>
      <c r="D4559" t="inlineStr">
        <is>
          <t>JÄMTLANDS LÄN</t>
        </is>
      </c>
      <c r="E4559" t="inlineStr">
        <is>
          <t>BRÄCKE</t>
        </is>
      </c>
      <c r="G4559" t="n">
        <v>2.4</v>
      </c>
      <c r="H4559" t="n">
        <v>0</v>
      </c>
      <c r="I4559" t="n">
        <v>0</v>
      </c>
      <c r="J4559" t="n">
        <v>0</v>
      </c>
      <c r="K4559" t="n">
        <v>0</v>
      </c>
      <c r="L4559" t="n">
        <v>0</v>
      </c>
      <c r="M4559" t="n">
        <v>0</v>
      </c>
      <c r="N4559" t="n">
        <v>0</v>
      </c>
      <c r="O4559" t="n">
        <v>0</v>
      </c>
      <c r="P4559" t="n">
        <v>0</v>
      </c>
      <c r="Q4559" t="n">
        <v>0</v>
      </c>
      <c r="R4559" s="2" t="inlineStr"/>
    </row>
    <row r="4560" ht="15" customHeight="1">
      <c r="A4560" t="inlineStr">
        <is>
          <t>A 73586-2021</t>
        </is>
      </c>
      <c r="B4560" s="1" t="n">
        <v>44551</v>
      </c>
      <c r="C4560" s="1" t="n">
        <v>45182</v>
      </c>
      <c r="D4560" t="inlineStr">
        <is>
          <t>JÄMTLANDS LÄN</t>
        </is>
      </c>
      <c r="E4560" t="inlineStr">
        <is>
          <t>BERG</t>
        </is>
      </c>
      <c r="G4560" t="n">
        <v>5.1</v>
      </c>
      <c r="H4560" t="n">
        <v>0</v>
      </c>
      <c r="I4560" t="n">
        <v>0</v>
      </c>
      <c r="J4560" t="n">
        <v>0</v>
      </c>
      <c r="K4560" t="n">
        <v>0</v>
      </c>
      <c r="L4560" t="n">
        <v>0</v>
      </c>
      <c r="M4560" t="n">
        <v>0</v>
      </c>
      <c r="N4560" t="n">
        <v>0</v>
      </c>
      <c r="O4560" t="n">
        <v>0</v>
      </c>
      <c r="P4560" t="n">
        <v>0</v>
      </c>
      <c r="Q4560" t="n">
        <v>0</v>
      </c>
      <c r="R4560" s="2" t="inlineStr"/>
    </row>
    <row r="4561" ht="15" customHeight="1">
      <c r="A4561" t="inlineStr">
        <is>
          <t>A 73738-2021</t>
        </is>
      </c>
      <c r="B4561" s="1" t="n">
        <v>44551</v>
      </c>
      <c r="C4561" s="1" t="n">
        <v>45182</v>
      </c>
      <c r="D4561" t="inlineStr">
        <is>
          <t>JÄMTLANDS LÄN</t>
        </is>
      </c>
      <c r="E4561" t="inlineStr">
        <is>
          <t>ÅRE</t>
        </is>
      </c>
      <c r="G4561" t="n">
        <v>1.4</v>
      </c>
      <c r="H4561" t="n">
        <v>0</v>
      </c>
      <c r="I4561" t="n">
        <v>0</v>
      </c>
      <c r="J4561" t="n">
        <v>0</v>
      </c>
      <c r="K4561" t="n">
        <v>0</v>
      </c>
      <c r="L4561" t="n">
        <v>0</v>
      </c>
      <c r="M4561" t="n">
        <v>0</v>
      </c>
      <c r="N4561" t="n">
        <v>0</v>
      </c>
      <c r="O4561" t="n">
        <v>0</v>
      </c>
      <c r="P4561" t="n">
        <v>0</v>
      </c>
      <c r="Q4561" t="n">
        <v>0</v>
      </c>
      <c r="R4561" s="2" t="inlineStr"/>
    </row>
    <row r="4562" ht="15" customHeight="1">
      <c r="A4562" t="inlineStr">
        <is>
          <t>A 73573-2021</t>
        </is>
      </c>
      <c r="B4562" s="1" t="n">
        <v>44552</v>
      </c>
      <c r="C4562" s="1" t="n">
        <v>45182</v>
      </c>
      <c r="D4562" t="inlineStr">
        <is>
          <t>JÄMTLANDS LÄN</t>
        </is>
      </c>
      <c r="E4562" t="inlineStr">
        <is>
          <t>HÄRJEDALEN</t>
        </is>
      </c>
      <c r="F4562" t="inlineStr">
        <is>
          <t>Holmen skog AB</t>
        </is>
      </c>
      <c r="G4562" t="n">
        <v>10.5</v>
      </c>
      <c r="H4562" t="n">
        <v>0</v>
      </c>
      <c r="I4562" t="n">
        <v>0</v>
      </c>
      <c r="J4562" t="n">
        <v>0</v>
      </c>
      <c r="K4562" t="n">
        <v>0</v>
      </c>
      <c r="L4562" t="n">
        <v>0</v>
      </c>
      <c r="M4562" t="n">
        <v>0</v>
      </c>
      <c r="N4562" t="n">
        <v>0</v>
      </c>
      <c r="O4562" t="n">
        <v>0</v>
      </c>
      <c r="P4562" t="n">
        <v>0</v>
      </c>
      <c r="Q4562" t="n">
        <v>0</v>
      </c>
      <c r="R4562" s="2" t="inlineStr"/>
    </row>
    <row r="4563" ht="15" customHeight="1">
      <c r="A4563" t="inlineStr">
        <is>
          <t>A 73798-2021</t>
        </is>
      </c>
      <c r="B4563" s="1" t="n">
        <v>44552</v>
      </c>
      <c r="C4563" s="1" t="n">
        <v>45182</v>
      </c>
      <c r="D4563" t="inlineStr">
        <is>
          <t>JÄMTLANDS LÄN</t>
        </is>
      </c>
      <c r="E4563" t="inlineStr">
        <is>
          <t>ÅRE</t>
        </is>
      </c>
      <c r="G4563" t="n">
        <v>2.5</v>
      </c>
      <c r="H4563" t="n">
        <v>0</v>
      </c>
      <c r="I4563" t="n">
        <v>0</v>
      </c>
      <c r="J4563" t="n">
        <v>0</v>
      </c>
      <c r="K4563" t="n">
        <v>0</v>
      </c>
      <c r="L4563" t="n">
        <v>0</v>
      </c>
      <c r="M4563" t="n">
        <v>0</v>
      </c>
      <c r="N4563" t="n">
        <v>0</v>
      </c>
      <c r="O4563" t="n">
        <v>0</v>
      </c>
      <c r="P4563" t="n">
        <v>0</v>
      </c>
      <c r="Q4563" t="n">
        <v>0</v>
      </c>
      <c r="R4563" s="2" t="inlineStr"/>
    </row>
    <row r="4564" ht="15" customHeight="1">
      <c r="A4564" t="inlineStr">
        <is>
          <t>A 73629-2021</t>
        </is>
      </c>
      <c r="B4564" s="1" t="n">
        <v>44552</v>
      </c>
      <c r="C4564" s="1" t="n">
        <v>45182</v>
      </c>
      <c r="D4564" t="inlineStr">
        <is>
          <t>JÄMTLANDS LÄN</t>
        </is>
      </c>
      <c r="E4564" t="inlineStr">
        <is>
          <t>ÅRE</t>
        </is>
      </c>
      <c r="G4564" t="n">
        <v>1.1</v>
      </c>
      <c r="H4564" t="n">
        <v>0</v>
      </c>
      <c r="I4564" t="n">
        <v>0</v>
      </c>
      <c r="J4564" t="n">
        <v>0</v>
      </c>
      <c r="K4564" t="n">
        <v>0</v>
      </c>
      <c r="L4564" t="n">
        <v>0</v>
      </c>
      <c r="M4564" t="n">
        <v>0</v>
      </c>
      <c r="N4564" t="n">
        <v>0</v>
      </c>
      <c r="O4564" t="n">
        <v>0</v>
      </c>
      <c r="P4564" t="n">
        <v>0</v>
      </c>
      <c r="Q4564" t="n">
        <v>0</v>
      </c>
      <c r="R4564" s="2" t="inlineStr"/>
    </row>
    <row r="4565" ht="15" customHeight="1">
      <c r="A4565" t="inlineStr">
        <is>
          <t>A 73800-2021</t>
        </is>
      </c>
      <c r="B4565" s="1" t="n">
        <v>44552</v>
      </c>
      <c r="C4565" s="1" t="n">
        <v>45182</v>
      </c>
      <c r="D4565" t="inlineStr">
        <is>
          <t>JÄMTLANDS LÄN</t>
        </is>
      </c>
      <c r="E4565" t="inlineStr">
        <is>
          <t>ÅRE</t>
        </is>
      </c>
      <c r="G4565" t="n">
        <v>8.6</v>
      </c>
      <c r="H4565" t="n">
        <v>0</v>
      </c>
      <c r="I4565" t="n">
        <v>0</v>
      </c>
      <c r="J4565" t="n">
        <v>0</v>
      </c>
      <c r="K4565" t="n">
        <v>0</v>
      </c>
      <c r="L4565" t="n">
        <v>0</v>
      </c>
      <c r="M4565" t="n">
        <v>0</v>
      </c>
      <c r="N4565" t="n">
        <v>0</v>
      </c>
      <c r="O4565" t="n">
        <v>0</v>
      </c>
      <c r="P4565" t="n">
        <v>0</v>
      </c>
      <c r="Q4565" t="n">
        <v>0</v>
      </c>
      <c r="R4565" s="2" t="inlineStr"/>
    </row>
    <row r="4566" ht="15" customHeight="1">
      <c r="A4566" t="inlineStr">
        <is>
          <t>A 74046-2021</t>
        </is>
      </c>
      <c r="B4566" s="1" t="n">
        <v>44553</v>
      </c>
      <c r="C4566" s="1" t="n">
        <v>45182</v>
      </c>
      <c r="D4566" t="inlineStr">
        <is>
          <t>JÄMTLANDS LÄN</t>
        </is>
      </c>
      <c r="E4566" t="inlineStr">
        <is>
          <t>ÅRE</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73870-2021</t>
        </is>
      </c>
      <c r="B4567" s="1" t="n">
        <v>44553</v>
      </c>
      <c r="C4567" s="1" t="n">
        <v>45182</v>
      </c>
      <c r="D4567" t="inlineStr">
        <is>
          <t>JÄMTLANDS LÄN</t>
        </is>
      </c>
      <c r="E4567" t="inlineStr">
        <is>
          <t>ÖSTERSUND</t>
        </is>
      </c>
      <c r="G4567" t="n">
        <v>5.3</v>
      </c>
      <c r="H4567" t="n">
        <v>0</v>
      </c>
      <c r="I4567" t="n">
        <v>0</v>
      </c>
      <c r="J4567" t="n">
        <v>0</v>
      </c>
      <c r="K4567" t="n">
        <v>0</v>
      </c>
      <c r="L4567" t="n">
        <v>0</v>
      </c>
      <c r="M4567" t="n">
        <v>0</v>
      </c>
      <c r="N4567" t="n">
        <v>0</v>
      </c>
      <c r="O4567" t="n">
        <v>0</v>
      </c>
      <c r="P4567" t="n">
        <v>0</v>
      </c>
      <c r="Q4567" t="n">
        <v>0</v>
      </c>
      <c r="R4567" s="2" t="inlineStr"/>
    </row>
    <row r="4568" ht="15" customHeight="1">
      <c r="A4568" t="inlineStr">
        <is>
          <t>A 74011-2021</t>
        </is>
      </c>
      <c r="B4568" s="1" t="n">
        <v>44557</v>
      </c>
      <c r="C4568" s="1" t="n">
        <v>45182</v>
      </c>
      <c r="D4568" t="inlineStr">
        <is>
          <t>JÄMTLANDS LÄN</t>
        </is>
      </c>
      <c r="E4568" t="inlineStr">
        <is>
          <t>KROKOM</t>
        </is>
      </c>
      <c r="G4568" t="n">
        <v>33.2</v>
      </c>
      <c r="H4568" t="n">
        <v>0</v>
      </c>
      <c r="I4568" t="n">
        <v>0</v>
      </c>
      <c r="J4568" t="n">
        <v>0</v>
      </c>
      <c r="K4568" t="n">
        <v>0</v>
      </c>
      <c r="L4568" t="n">
        <v>0</v>
      </c>
      <c r="M4568" t="n">
        <v>0</v>
      </c>
      <c r="N4568" t="n">
        <v>0</v>
      </c>
      <c r="O4568" t="n">
        <v>0</v>
      </c>
      <c r="P4568" t="n">
        <v>0</v>
      </c>
      <c r="Q4568" t="n">
        <v>0</v>
      </c>
      <c r="R4568" s="2" t="inlineStr"/>
    </row>
    <row r="4569" ht="15" customHeight="1">
      <c r="A4569" t="inlineStr">
        <is>
          <t>A 154-2022</t>
        </is>
      </c>
      <c r="B4569" s="1" t="n">
        <v>44561</v>
      </c>
      <c r="C4569" s="1" t="n">
        <v>45182</v>
      </c>
      <c r="D4569" t="inlineStr">
        <is>
          <t>JÄMTLANDS LÄN</t>
        </is>
      </c>
      <c r="E4569" t="inlineStr">
        <is>
          <t>ÖSTERSUND</t>
        </is>
      </c>
      <c r="G4569" t="n">
        <v>4.2</v>
      </c>
      <c r="H4569" t="n">
        <v>0</v>
      </c>
      <c r="I4569" t="n">
        <v>0</v>
      </c>
      <c r="J4569" t="n">
        <v>0</v>
      </c>
      <c r="K4569" t="n">
        <v>0</v>
      </c>
      <c r="L4569" t="n">
        <v>0</v>
      </c>
      <c r="M4569" t="n">
        <v>0</v>
      </c>
      <c r="N4569" t="n">
        <v>0</v>
      </c>
      <c r="O4569" t="n">
        <v>0</v>
      </c>
      <c r="P4569" t="n">
        <v>0</v>
      </c>
      <c r="Q4569" t="n">
        <v>0</v>
      </c>
      <c r="R4569" s="2" t="inlineStr"/>
    </row>
    <row r="4570" ht="15" customHeight="1">
      <c r="A4570" t="inlineStr">
        <is>
          <t>A 164-2022</t>
        </is>
      </c>
      <c r="B4570" s="1" t="n">
        <v>44564</v>
      </c>
      <c r="C4570" s="1" t="n">
        <v>45182</v>
      </c>
      <c r="D4570" t="inlineStr">
        <is>
          <t>JÄMTLANDS LÄN</t>
        </is>
      </c>
      <c r="E4570" t="inlineStr">
        <is>
          <t>BERG</t>
        </is>
      </c>
      <c r="G4570" t="n">
        <v>12.4</v>
      </c>
      <c r="H4570" t="n">
        <v>0</v>
      </c>
      <c r="I4570" t="n">
        <v>0</v>
      </c>
      <c r="J4570" t="n">
        <v>0</v>
      </c>
      <c r="K4570" t="n">
        <v>0</v>
      </c>
      <c r="L4570" t="n">
        <v>0</v>
      </c>
      <c r="M4570" t="n">
        <v>0</v>
      </c>
      <c r="N4570" t="n">
        <v>0</v>
      </c>
      <c r="O4570" t="n">
        <v>0</v>
      </c>
      <c r="P4570" t="n">
        <v>0</v>
      </c>
      <c r="Q4570" t="n">
        <v>0</v>
      </c>
      <c r="R4570" s="2" t="inlineStr"/>
    </row>
    <row r="4571" ht="15" customHeight="1">
      <c r="A4571" t="inlineStr">
        <is>
          <t>A 171-2022</t>
        </is>
      </c>
      <c r="B4571" s="1" t="n">
        <v>44564</v>
      </c>
      <c r="C4571" s="1" t="n">
        <v>45182</v>
      </c>
      <c r="D4571" t="inlineStr">
        <is>
          <t>JÄMTLANDS LÄN</t>
        </is>
      </c>
      <c r="E4571" t="inlineStr">
        <is>
          <t>BERG</t>
        </is>
      </c>
      <c r="G4571" t="n">
        <v>2.3</v>
      </c>
      <c r="H4571" t="n">
        <v>0</v>
      </c>
      <c r="I4571" t="n">
        <v>0</v>
      </c>
      <c r="J4571" t="n">
        <v>0</v>
      </c>
      <c r="K4571" t="n">
        <v>0</v>
      </c>
      <c r="L4571" t="n">
        <v>0</v>
      </c>
      <c r="M4571" t="n">
        <v>0</v>
      </c>
      <c r="N4571" t="n">
        <v>0</v>
      </c>
      <c r="O4571" t="n">
        <v>0</v>
      </c>
      <c r="P4571" t="n">
        <v>0</v>
      </c>
      <c r="Q4571" t="n">
        <v>0</v>
      </c>
      <c r="R4571" s="2" t="inlineStr"/>
    </row>
    <row r="4572" ht="15" customHeight="1">
      <c r="A4572" t="inlineStr">
        <is>
          <t>A 241-2022</t>
        </is>
      </c>
      <c r="B4572" s="1" t="n">
        <v>44565</v>
      </c>
      <c r="C4572" s="1" t="n">
        <v>45182</v>
      </c>
      <c r="D4572" t="inlineStr">
        <is>
          <t>JÄMTLANDS LÄN</t>
        </is>
      </c>
      <c r="E4572" t="inlineStr">
        <is>
          <t>HÄRJEDALEN</t>
        </is>
      </c>
      <c r="F4572" t="inlineStr">
        <is>
          <t>Övriga Aktiebolag</t>
        </is>
      </c>
      <c r="G4572" t="n">
        <v>16.5</v>
      </c>
      <c r="H4572" t="n">
        <v>0</v>
      </c>
      <c r="I4572" t="n">
        <v>0</v>
      </c>
      <c r="J4572" t="n">
        <v>0</v>
      </c>
      <c r="K4572" t="n">
        <v>0</v>
      </c>
      <c r="L4572" t="n">
        <v>0</v>
      </c>
      <c r="M4572" t="n">
        <v>0</v>
      </c>
      <c r="N4572" t="n">
        <v>0</v>
      </c>
      <c r="O4572" t="n">
        <v>0</v>
      </c>
      <c r="P4572" t="n">
        <v>0</v>
      </c>
      <c r="Q4572" t="n">
        <v>0</v>
      </c>
      <c r="R4572" s="2" t="inlineStr"/>
    </row>
    <row r="4573" ht="15" customHeight="1">
      <c r="A4573" t="inlineStr">
        <is>
          <t>A 364-2022</t>
        </is>
      </c>
      <c r="B4573" s="1" t="n">
        <v>44565</v>
      </c>
      <c r="C4573" s="1" t="n">
        <v>45182</v>
      </c>
      <c r="D4573" t="inlineStr">
        <is>
          <t>JÄMTLANDS LÄN</t>
        </is>
      </c>
      <c r="E4573" t="inlineStr">
        <is>
          <t>STRÖMSUND</t>
        </is>
      </c>
      <c r="G4573" t="n">
        <v>9</v>
      </c>
      <c r="H4573" t="n">
        <v>0</v>
      </c>
      <c r="I4573" t="n">
        <v>0</v>
      </c>
      <c r="J4573" t="n">
        <v>0</v>
      </c>
      <c r="K4573" t="n">
        <v>0</v>
      </c>
      <c r="L4573" t="n">
        <v>0</v>
      </c>
      <c r="M4573" t="n">
        <v>0</v>
      </c>
      <c r="N4573" t="n">
        <v>0</v>
      </c>
      <c r="O4573" t="n">
        <v>0</v>
      </c>
      <c r="P4573" t="n">
        <v>0</v>
      </c>
      <c r="Q4573" t="n">
        <v>0</v>
      </c>
      <c r="R4573" s="2" t="inlineStr"/>
    </row>
    <row r="4574" ht="15" customHeight="1">
      <c r="A4574" t="inlineStr">
        <is>
          <t>A 537-2022</t>
        </is>
      </c>
      <c r="B4574" s="1" t="n">
        <v>44566</v>
      </c>
      <c r="C4574" s="1" t="n">
        <v>45182</v>
      </c>
      <c r="D4574" t="inlineStr">
        <is>
          <t>JÄMTLANDS LÄN</t>
        </is>
      </c>
      <c r="E4574" t="inlineStr">
        <is>
          <t>HÄRJEDALEN</t>
        </is>
      </c>
      <c r="F4574" t="inlineStr">
        <is>
          <t>Sveaskog</t>
        </is>
      </c>
      <c r="G4574" t="n">
        <v>0.9</v>
      </c>
      <c r="H4574" t="n">
        <v>0</v>
      </c>
      <c r="I4574" t="n">
        <v>0</v>
      </c>
      <c r="J4574" t="n">
        <v>0</v>
      </c>
      <c r="K4574" t="n">
        <v>0</v>
      </c>
      <c r="L4574" t="n">
        <v>0</v>
      </c>
      <c r="M4574" t="n">
        <v>0</v>
      </c>
      <c r="N4574" t="n">
        <v>0</v>
      </c>
      <c r="O4574" t="n">
        <v>0</v>
      </c>
      <c r="P4574" t="n">
        <v>0</v>
      </c>
      <c r="Q4574" t="n">
        <v>0</v>
      </c>
      <c r="R4574" s="2" t="inlineStr"/>
    </row>
    <row r="4575" ht="15" customHeight="1">
      <c r="A4575" t="inlineStr">
        <is>
          <t>A 681-2022</t>
        </is>
      </c>
      <c r="B4575" s="1" t="n">
        <v>44566</v>
      </c>
      <c r="C4575" s="1" t="n">
        <v>45182</v>
      </c>
      <c r="D4575" t="inlineStr">
        <is>
          <t>JÄMTLANDS LÄN</t>
        </is>
      </c>
      <c r="E4575" t="inlineStr">
        <is>
          <t>ÖSTERSUND</t>
        </is>
      </c>
      <c r="G4575" t="n">
        <v>2.3</v>
      </c>
      <c r="H4575" t="n">
        <v>0</v>
      </c>
      <c r="I4575" t="n">
        <v>0</v>
      </c>
      <c r="J4575" t="n">
        <v>0</v>
      </c>
      <c r="K4575" t="n">
        <v>0</v>
      </c>
      <c r="L4575" t="n">
        <v>0</v>
      </c>
      <c r="M4575" t="n">
        <v>0</v>
      </c>
      <c r="N4575" t="n">
        <v>0</v>
      </c>
      <c r="O4575" t="n">
        <v>0</v>
      </c>
      <c r="P4575" t="n">
        <v>0</v>
      </c>
      <c r="Q4575" t="n">
        <v>0</v>
      </c>
      <c r="R4575" s="2" t="inlineStr"/>
    </row>
    <row r="4576" ht="15" customHeight="1">
      <c r="A4576" t="inlineStr">
        <is>
          <t>A 695-2022</t>
        </is>
      </c>
      <c r="B4576" s="1" t="n">
        <v>44566</v>
      </c>
      <c r="C4576" s="1" t="n">
        <v>45182</v>
      </c>
      <c r="D4576" t="inlineStr">
        <is>
          <t>JÄMTLANDS LÄN</t>
        </is>
      </c>
      <c r="E4576" t="inlineStr">
        <is>
          <t>ÖSTERSUND</t>
        </is>
      </c>
      <c r="G4576" t="n">
        <v>14.9</v>
      </c>
      <c r="H4576" t="n">
        <v>0</v>
      </c>
      <c r="I4576" t="n">
        <v>0</v>
      </c>
      <c r="J4576" t="n">
        <v>0</v>
      </c>
      <c r="K4576" t="n">
        <v>0</v>
      </c>
      <c r="L4576" t="n">
        <v>0</v>
      </c>
      <c r="M4576" t="n">
        <v>0</v>
      </c>
      <c r="N4576" t="n">
        <v>0</v>
      </c>
      <c r="O4576" t="n">
        <v>0</v>
      </c>
      <c r="P4576" t="n">
        <v>0</v>
      </c>
      <c r="Q4576" t="n">
        <v>0</v>
      </c>
      <c r="R4576" s="2" t="inlineStr"/>
    </row>
    <row r="4577" ht="15" customHeight="1">
      <c r="A4577" t="inlineStr">
        <is>
          <t>A 804-2022</t>
        </is>
      </c>
      <c r="B4577" s="1" t="n">
        <v>44568</v>
      </c>
      <c r="C4577" s="1" t="n">
        <v>45182</v>
      </c>
      <c r="D4577" t="inlineStr">
        <is>
          <t>JÄMTLANDS LÄN</t>
        </is>
      </c>
      <c r="E4577" t="inlineStr">
        <is>
          <t>KROKOM</t>
        </is>
      </c>
      <c r="G4577" t="n">
        <v>20</v>
      </c>
      <c r="H4577" t="n">
        <v>0</v>
      </c>
      <c r="I4577" t="n">
        <v>0</v>
      </c>
      <c r="J4577" t="n">
        <v>0</v>
      </c>
      <c r="K4577" t="n">
        <v>0</v>
      </c>
      <c r="L4577" t="n">
        <v>0</v>
      </c>
      <c r="M4577" t="n">
        <v>0</v>
      </c>
      <c r="N4577" t="n">
        <v>0</v>
      </c>
      <c r="O4577" t="n">
        <v>0</v>
      </c>
      <c r="P4577" t="n">
        <v>0</v>
      </c>
      <c r="Q4577" t="n">
        <v>0</v>
      </c>
      <c r="R4577" s="2" t="inlineStr"/>
    </row>
    <row r="4578" ht="15" customHeight="1">
      <c r="A4578" t="inlineStr">
        <is>
          <t>A 817-2022</t>
        </is>
      </c>
      <c r="B4578" s="1" t="n">
        <v>44568</v>
      </c>
      <c r="C4578" s="1" t="n">
        <v>45182</v>
      </c>
      <c r="D4578" t="inlineStr">
        <is>
          <t>JÄMTLANDS LÄN</t>
        </is>
      </c>
      <c r="E4578" t="inlineStr">
        <is>
          <t>STRÖMSUND</t>
        </is>
      </c>
      <c r="G4578" t="n">
        <v>2.8</v>
      </c>
      <c r="H4578" t="n">
        <v>0</v>
      </c>
      <c r="I4578" t="n">
        <v>0</v>
      </c>
      <c r="J4578" t="n">
        <v>0</v>
      </c>
      <c r="K4578" t="n">
        <v>0</v>
      </c>
      <c r="L4578" t="n">
        <v>0</v>
      </c>
      <c r="M4578" t="n">
        <v>0</v>
      </c>
      <c r="N4578" t="n">
        <v>0</v>
      </c>
      <c r="O4578" t="n">
        <v>0</v>
      </c>
      <c r="P4578" t="n">
        <v>0</v>
      </c>
      <c r="Q4578" t="n">
        <v>0</v>
      </c>
      <c r="R4578" s="2" t="inlineStr"/>
    </row>
    <row r="4579" ht="15" customHeight="1">
      <c r="A4579" t="inlineStr">
        <is>
          <t>A 829-2022</t>
        </is>
      </c>
      <c r="B4579" s="1" t="n">
        <v>44568</v>
      </c>
      <c r="C4579" s="1" t="n">
        <v>45182</v>
      </c>
      <c r="D4579" t="inlineStr">
        <is>
          <t>JÄMTLANDS LÄN</t>
        </is>
      </c>
      <c r="E4579" t="inlineStr">
        <is>
          <t>STRÖMSUND</t>
        </is>
      </c>
      <c r="G4579" t="n">
        <v>2.5</v>
      </c>
      <c r="H4579" t="n">
        <v>0</v>
      </c>
      <c r="I4579" t="n">
        <v>0</v>
      </c>
      <c r="J4579" t="n">
        <v>0</v>
      </c>
      <c r="K4579" t="n">
        <v>0</v>
      </c>
      <c r="L4579" t="n">
        <v>0</v>
      </c>
      <c r="M4579" t="n">
        <v>0</v>
      </c>
      <c r="N4579" t="n">
        <v>0</v>
      </c>
      <c r="O4579" t="n">
        <v>0</v>
      </c>
      <c r="P4579" t="n">
        <v>0</v>
      </c>
      <c r="Q4579" t="n">
        <v>0</v>
      </c>
      <c r="R4579" s="2" t="inlineStr"/>
    </row>
    <row r="4580" ht="15" customHeight="1">
      <c r="A4580" t="inlineStr">
        <is>
          <t>A 911-2022</t>
        </is>
      </c>
      <c r="B4580" s="1" t="n">
        <v>44570</v>
      </c>
      <c r="C4580" s="1" t="n">
        <v>45182</v>
      </c>
      <c r="D4580" t="inlineStr">
        <is>
          <t>JÄMTLANDS LÄN</t>
        </is>
      </c>
      <c r="E4580" t="inlineStr">
        <is>
          <t>ÅRE</t>
        </is>
      </c>
      <c r="G4580" t="n">
        <v>1.2</v>
      </c>
      <c r="H4580" t="n">
        <v>0</v>
      </c>
      <c r="I4580" t="n">
        <v>0</v>
      </c>
      <c r="J4580" t="n">
        <v>0</v>
      </c>
      <c r="K4580" t="n">
        <v>0</v>
      </c>
      <c r="L4580" t="n">
        <v>0</v>
      </c>
      <c r="M4580" t="n">
        <v>0</v>
      </c>
      <c r="N4580" t="n">
        <v>0</v>
      </c>
      <c r="O4580" t="n">
        <v>0</v>
      </c>
      <c r="P4580" t="n">
        <v>0</v>
      </c>
      <c r="Q4580" t="n">
        <v>0</v>
      </c>
      <c r="R4580" s="2" t="inlineStr"/>
    </row>
    <row r="4581" ht="15" customHeight="1">
      <c r="A4581" t="inlineStr">
        <is>
          <t>A 1087-2022</t>
        </is>
      </c>
      <c r="B4581" s="1" t="n">
        <v>44571</v>
      </c>
      <c r="C4581" s="1" t="n">
        <v>45182</v>
      </c>
      <c r="D4581" t="inlineStr">
        <is>
          <t>JÄMTLANDS LÄN</t>
        </is>
      </c>
      <c r="E4581" t="inlineStr">
        <is>
          <t>BRÄCKE</t>
        </is>
      </c>
      <c r="G4581" t="n">
        <v>3.7</v>
      </c>
      <c r="H4581" t="n">
        <v>0</v>
      </c>
      <c r="I4581" t="n">
        <v>0</v>
      </c>
      <c r="J4581" t="n">
        <v>0</v>
      </c>
      <c r="K4581" t="n">
        <v>0</v>
      </c>
      <c r="L4581" t="n">
        <v>0</v>
      </c>
      <c r="M4581" t="n">
        <v>0</v>
      </c>
      <c r="N4581" t="n">
        <v>0</v>
      </c>
      <c r="O4581" t="n">
        <v>0</v>
      </c>
      <c r="P4581" t="n">
        <v>0</v>
      </c>
      <c r="Q4581" t="n">
        <v>0</v>
      </c>
      <c r="R4581" s="2" t="inlineStr"/>
    </row>
    <row r="4582" ht="15" customHeight="1">
      <c r="A4582" t="inlineStr">
        <is>
          <t>A 1083-2022</t>
        </is>
      </c>
      <c r="B4582" s="1" t="n">
        <v>44571</v>
      </c>
      <c r="C4582" s="1" t="n">
        <v>45182</v>
      </c>
      <c r="D4582" t="inlineStr">
        <is>
          <t>JÄMTLANDS LÄN</t>
        </is>
      </c>
      <c r="E4582" t="inlineStr">
        <is>
          <t>STRÖMSUND</t>
        </is>
      </c>
      <c r="G4582" t="n">
        <v>1.8</v>
      </c>
      <c r="H4582" t="n">
        <v>0</v>
      </c>
      <c r="I4582" t="n">
        <v>0</v>
      </c>
      <c r="J4582" t="n">
        <v>0</v>
      </c>
      <c r="K4582" t="n">
        <v>0</v>
      </c>
      <c r="L4582" t="n">
        <v>0</v>
      </c>
      <c r="M4582" t="n">
        <v>0</v>
      </c>
      <c r="N4582" t="n">
        <v>0</v>
      </c>
      <c r="O4582" t="n">
        <v>0</v>
      </c>
      <c r="P4582" t="n">
        <v>0</v>
      </c>
      <c r="Q4582" t="n">
        <v>0</v>
      </c>
      <c r="R4582" s="2" t="inlineStr"/>
    </row>
    <row r="4583" ht="15" customHeight="1">
      <c r="A4583" t="inlineStr">
        <is>
          <t>A 891-2022</t>
        </is>
      </c>
      <c r="B4583" s="1" t="n">
        <v>44571</v>
      </c>
      <c r="C4583" s="1" t="n">
        <v>45182</v>
      </c>
      <c r="D4583" t="inlineStr">
        <is>
          <t>JÄMTLANDS LÄN</t>
        </is>
      </c>
      <c r="E4583" t="inlineStr">
        <is>
          <t>RAGUNDA</t>
        </is>
      </c>
      <c r="G4583" t="n">
        <v>1.7</v>
      </c>
      <c r="H4583" t="n">
        <v>0</v>
      </c>
      <c r="I4583" t="n">
        <v>0</v>
      </c>
      <c r="J4583" t="n">
        <v>0</v>
      </c>
      <c r="K4583" t="n">
        <v>0</v>
      </c>
      <c r="L4583" t="n">
        <v>0</v>
      </c>
      <c r="M4583" t="n">
        <v>0</v>
      </c>
      <c r="N4583" t="n">
        <v>0</v>
      </c>
      <c r="O4583" t="n">
        <v>0</v>
      </c>
      <c r="P4583" t="n">
        <v>0</v>
      </c>
      <c r="Q4583" t="n">
        <v>0</v>
      </c>
      <c r="R4583" s="2" t="inlineStr"/>
    </row>
    <row r="4584" ht="15" customHeight="1">
      <c r="A4584" t="inlineStr">
        <is>
          <t>A 1107-2022</t>
        </is>
      </c>
      <c r="B4584" s="1" t="n">
        <v>44571</v>
      </c>
      <c r="C4584" s="1" t="n">
        <v>45182</v>
      </c>
      <c r="D4584" t="inlineStr">
        <is>
          <t>JÄMTLANDS LÄN</t>
        </is>
      </c>
      <c r="E4584" t="inlineStr">
        <is>
          <t>STRÖMSUND</t>
        </is>
      </c>
      <c r="G4584" t="n">
        <v>5.2</v>
      </c>
      <c r="H4584" t="n">
        <v>0</v>
      </c>
      <c r="I4584" t="n">
        <v>0</v>
      </c>
      <c r="J4584" t="n">
        <v>0</v>
      </c>
      <c r="K4584" t="n">
        <v>0</v>
      </c>
      <c r="L4584" t="n">
        <v>0</v>
      </c>
      <c r="M4584" t="n">
        <v>0</v>
      </c>
      <c r="N4584" t="n">
        <v>0</v>
      </c>
      <c r="O4584" t="n">
        <v>0</v>
      </c>
      <c r="P4584" t="n">
        <v>0</v>
      </c>
      <c r="Q4584" t="n">
        <v>0</v>
      </c>
      <c r="R4584" s="2" t="inlineStr"/>
    </row>
    <row r="4585" ht="15" customHeight="1">
      <c r="A4585" t="inlineStr">
        <is>
          <t>A 859-2022</t>
        </is>
      </c>
      <c r="B4585" s="1" t="n">
        <v>44571</v>
      </c>
      <c r="C4585" s="1" t="n">
        <v>45182</v>
      </c>
      <c r="D4585" t="inlineStr">
        <is>
          <t>JÄMTLANDS LÄN</t>
        </is>
      </c>
      <c r="E4585" t="inlineStr">
        <is>
          <t>HÄRJEDALEN</t>
        </is>
      </c>
      <c r="G4585" t="n">
        <v>16.9</v>
      </c>
      <c r="H4585" t="n">
        <v>0</v>
      </c>
      <c r="I4585" t="n">
        <v>0</v>
      </c>
      <c r="J4585" t="n">
        <v>0</v>
      </c>
      <c r="K4585" t="n">
        <v>0</v>
      </c>
      <c r="L4585" t="n">
        <v>0</v>
      </c>
      <c r="M4585" t="n">
        <v>0</v>
      </c>
      <c r="N4585" t="n">
        <v>0</v>
      </c>
      <c r="O4585" t="n">
        <v>0</v>
      </c>
      <c r="P4585" t="n">
        <v>0</v>
      </c>
      <c r="Q4585" t="n">
        <v>0</v>
      </c>
      <c r="R4585" s="2" t="inlineStr"/>
    </row>
    <row r="4586" ht="15" customHeight="1">
      <c r="A4586" t="inlineStr">
        <is>
          <t>A 1201-2022</t>
        </is>
      </c>
      <c r="B4586" s="1" t="n">
        <v>44572</v>
      </c>
      <c r="C4586" s="1" t="n">
        <v>45182</v>
      </c>
      <c r="D4586" t="inlineStr">
        <is>
          <t>JÄMTLANDS LÄN</t>
        </is>
      </c>
      <c r="E4586" t="inlineStr">
        <is>
          <t>BRÄCKE</t>
        </is>
      </c>
      <c r="G4586" t="n">
        <v>13.7</v>
      </c>
      <c r="H4586" t="n">
        <v>0</v>
      </c>
      <c r="I4586" t="n">
        <v>0</v>
      </c>
      <c r="J4586" t="n">
        <v>0</v>
      </c>
      <c r="K4586" t="n">
        <v>0</v>
      </c>
      <c r="L4586" t="n">
        <v>0</v>
      </c>
      <c r="M4586" t="n">
        <v>0</v>
      </c>
      <c r="N4586" t="n">
        <v>0</v>
      </c>
      <c r="O4586" t="n">
        <v>0</v>
      </c>
      <c r="P4586" t="n">
        <v>0</v>
      </c>
      <c r="Q4586" t="n">
        <v>0</v>
      </c>
      <c r="R4586" s="2" t="inlineStr"/>
    </row>
    <row r="4587" ht="15" customHeight="1">
      <c r="A4587" t="inlineStr">
        <is>
          <t>A 1339-2022</t>
        </is>
      </c>
      <c r="B4587" s="1" t="n">
        <v>44572</v>
      </c>
      <c r="C4587" s="1" t="n">
        <v>45182</v>
      </c>
      <c r="D4587" t="inlineStr">
        <is>
          <t>JÄMTLANDS LÄN</t>
        </is>
      </c>
      <c r="E4587" t="inlineStr">
        <is>
          <t>STRÖMSUND</t>
        </is>
      </c>
      <c r="G4587" t="n">
        <v>3</v>
      </c>
      <c r="H4587" t="n">
        <v>0</v>
      </c>
      <c r="I4587" t="n">
        <v>0</v>
      </c>
      <c r="J4587" t="n">
        <v>0</v>
      </c>
      <c r="K4587" t="n">
        <v>0</v>
      </c>
      <c r="L4587" t="n">
        <v>0</v>
      </c>
      <c r="M4587" t="n">
        <v>0</v>
      </c>
      <c r="N4587" t="n">
        <v>0</v>
      </c>
      <c r="O4587" t="n">
        <v>0</v>
      </c>
      <c r="P4587" t="n">
        <v>0</v>
      </c>
      <c r="Q4587" t="n">
        <v>0</v>
      </c>
      <c r="R4587" s="2" t="inlineStr"/>
    </row>
    <row r="4588" ht="15" customHeight="1">
      <c r="A4588" t="inlineStr">
        <is>
          <t>A 1520-2022</t>
        </is>
      </c>
      <c r="B4588" s="1" t="n">
        <v>44572</v>
      </c>
      <c r="C4588" s="1" t="n">
        <v>45182</v>
      </c>
      <c r="D4588" t="inlineStr">
        <is>
          <t>JÄMTLANDS LÄN</t>
        </is>
      </c>
      <c r="E4588" t="inlineStr">
        <is>
          <t>BERG</t>
        </is>
      </c>
      <c r="G4588" t="n">
        <v>7.7</v>
      </c>
      <c r="H4588" t="n">
        <v>0</v>
      </c>
      <c r="I4588" t="n">
        <v>0</v>
      </c>
      <c r="J4588" t="n">
        <v>0</v>
      </c>
      <c r="K4588" t="n">
        <v>0</v>
      </c>
      <c r="L4588" t="n">
        <v>0</v>
      </c>
      <c r="M4588" t="n">
        <v>0</v>
      </c>
      <c r="N4588" t="n">
        <v>0</v>
      </c>
      <c r="O4588" t="n">
        <v>0</v>
      </c>
      <c r="P4588" t="n">
        <v>0</v>
      </c>
      <c r="Q4588" t="n">
        <v>0</v>
      </c>
      <c r="R4588" s="2" t="inlineStr"/>
    </row>
    <row r="4589" ht="15" customHeight="1">
      <c r="A4589" t="inlineStr">
        <is>
          <t>A 1625-2022</t>
        </is>
      </c>
      <c r="B4589" s="1" t="n">
        <v>44573</v>
      </c>
      <c r="C4589" s="1" t="n">
        <v>45182</v>
      </c>
      <c r="D4589" t="inlineStr">
        <is>
          <t>JÄMTLANDS LÄN</t>
        </is>
      </c>
      <c r="E4589" t="inlineStr">
        <is>
          <t>KROKOM</t>
        </is>
      </c>
      <c r="F4589" t="inlineStr">
        <is>
          <t>Övriga Aktiebolag</t>
        </is>
      </c>
      <c r="G4589" t="n">
        <v>0.7</v>
      </c>
      <c r="H4589" t="n">
        <v>0</v>
      </c>
      <c r="I4589" t="n">
        <v>0</v>
      </c>
      <c r="J4589" t="n">
        <v>0</v>
      </c>
      <c r="K4589" t="n">
        <v>0</v>
      </c>
      <c r="L4589" t="n">
        <v>0</v>
      </c>
      <c r="M4589" t="n">
        <v>0</v>
      </c>
      <c r="N4589" t="n">
        <v>0</v>
      </c>
      <c r="O4589" t="n">
        <v>0</v>
      </c>
      <c r="P4589" t="n">
        <v>0</v>
      </c>
      <c r="Q4589" t="n">
        <v>0</v>
      </c>
      <c r="R4589" s="2" t="inlineStr"/>
    </row>
    <row r="4590" ht="15" customHeight="1">
      <c r="A4590" t="inlineStr">
        <is>
          <t>A 1540-2022</t>
        </is>
      </c>
      <c r="B4590" s="1" t="n">
        <v>44573</v>
      </c>
      <c r="C4590" s="1" t="n">
        <v>45182</v>
      </c>
      <c r="D4590" t="inlineStr">
        <is>
          <t>JÄMTLANDS LÄN</t>
        </is>
      </c>
      <c r="E4590" t="inlineStr">
        <is>
          <t>RAGUNDA</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1559-2022</t>
        </is>
      </c>
      <c r="B4591" s="1" t="n">
        <v>44573</v>
      </c>
      <c r="C4591" s="1" t="n">
        <v>45182</v>
      </c>
      <c r="D4591" t="inlineStr">
        <is>
          <t>JÄMTLANDS LÄN</t>
        </is>
      </c>
      <c r="E4591" t="inlineStr">
        <is>
          <t>BERG</t>
        </is>
      </c>
      <c r="G4591" t="n">
        <v>0.7</v>
      </c>
      <c r="H4591" t="n">
        <v>0</v>
      </c>
      <c r="I4591" t="n">
        <v>0</v>
      </c>
      <c r="J4591" t="n">
        <v>0</v>
      </c>
      <c r="K4591" t="n">
        <v>0</v>
      </c>
      <c r="L4591" t="n">
        <v>0</v>
      </c>
      <c r="M4591" t="n">
        <v>0</v>
      </c>
      <c r="N4591" t="n">
        <v>0</v>
      </c>
      <c r="O4591" t="n">
        <v>0</v>
      </c>
      <c r="P4591" t="n">
        <v>0</v>
      </c>
      <c r="Q4591" t="n">
        <v>0</v>
      </c>
      <c r="R4591" s="2" t="inlineStr"/>
    </row>
    <row r="4592" ht="15" customHeight="1">
      <c r="A4592" t="inlineStr">
        <is>
          <t>A 1782-2022</t>
        </is>
      </c>
      <c r="B4592" s="1" t="n">
        <v>44574</v>
      </c>
      <c r="C4592" s="1" t="n">
        <v>45182</v>
      </c>
      <c r="D4592" t="inlineStr">
        <is>
          <t>JÄMTLANDS LÄN</t>
        </is>
      </c>
      <c r="E4592" t="inlineStr">
        <is>
          <t>RAGUNDA</t>
        </is>
      </c>
      <c r="G4592" t="n">
        <v>3.7</v>
      </c>
      <c r="H4592" t="n">
        <v>0</v>
      </c>
      <c r="I4592" t="n">
        <v>0</v>
      </c>
      <c r="J4592" t="n">
        <v>0</v>
      </c>
      <c r="K4592" t="n">
        <v>0</v>
      </c>
      <c r="L4592" t="n">
        <v>0</v>
      </c>
      <c r="M4592" t="n">
        <v>0</v>
      </c>
      <c r="N4592" t="n">
        <v>0</v>
      </c>
      <c r="O4592" t="n">
        <v>0</v>
      </c>
      <c r="P4592" t="n">
        <v>0</v>
      </c>
      <c r="Q4592" t="n">
        <v>0</v>
      </c>
      <c r="R4592" s="2" t="inlineStr"/>
    </row>
    <row r="4593" ht="15" customHeight="1">
      <c r="A4593" t="inlineStr">
        <is>
          <t>A 1858-2022</t>
        </is>
      </c>
      <c r="B4593" s="1" t="n">
        <v>44574</v>
      </c>
      <c r="C4593" s="1" t="n">
        <v>45182</v>
      </c>
      <c r="D4593" t="inlineStr">
        <is>
          <t>JÄMTLANDS LÄN</t>
        </is>
      </c>
      <c r="E4593" t="inlineStr">
        <is>
          <t>RAGUNDA</t>
        </is>
      </c>
      <c r="G4593" t="n">
        <v>5.7</v>
      </c>
      <c r="H4593" t="n">
        <v>0</v>
      </c>
      <c r="I4593" t="n">
        <v>0</v>
      </c>
      <c r="J4593" t="n">
        <v>0</v>
      </c>
      <c r="K4593" t="n">
        <v>0</v>
      </c>
      <c r="L4593" t="n">
        <v>0</v>
      </c>
      <c r="M4593" t="n">
        <v>0</v>
      </c>
      <c r="N4593" t="n">
        <v>0</v>
      </c>
      <c r="O4593" t="n">
        <v>0</v>
      </c>
      <c r="P4593" t="n">
        <v>0</v>
      </c>
      <c r="Q4593" t="n">
        <v>0</v>
      </c>
      <c r="R4593" s="2" t="inlineStr"/>
    </row>
    <row r="4594" ht="15" customHeight="1">
      <c r="A4594" t="inlineStr">
        <is>
          <t>A 1866-2022</t>
        </is>
      </c>
      <c r="B4594" s="1" t="n">
        <v>44574</v>
      </c>
      <c r="C4594" s="1" t="n">
        <v>45182</v>
      </c>
      <c r="D4594" t="inlineStr">
        <is>
          <t>JÄMTLANDS LÄN</t>
        </is>
      </c>
      <c r="E4594" t="inlineStr">
        <is>
          <t>BRÄCKE</t>
        </is>
      </c>
      <c r="F4594" t="inlineStr">
        <is>
          <t>SCA</t>
        </is>
      </c>
      <c r="G4594" t="n">
        <v>2.3</v>
      </c>
      <c r="H4594" t="n">
        <v>0</v>
      </c>
      <c r="I4594" t="n">
        <v>0</v>
      </c>
      <c r="J4594" t="n">
        <v>0</v>
      </c>
      <c r="K4594" t="n">
        <v>0</v>
      </c>
      <c r="L4594" t="n">
        <v>0</v>
      </c>
      <c r="M4594" t="n">
        <v>0</v>
      </c>
      <c r="N4594" t="n">
        <v>0</v>
      </c>
      <c r="O4594" t="n">
        <v>0</v>
      </c>
      <c r="P4594" t="n">
        <v>0</v>
      </c>
      <c r="Q4594" t="n">
        <v>0</v>
      </c>
      <c r="R4594" s="2" t="inlineStr"/>
    </row>
    <row r="4595" ht="15" customHeight="1">
      <c r="A4595" t="inlineStr">
        <is>
          <t>A 1864-2022</t>
        </is>
      </c>
      <c r="B4595" s="1" t="n">
        <v>44574</v>
      </c>
      <c r="C4595" s="1" t="n">
        <v>45182</v>
      </c>
      <c r="D4595" t="inlineStr">
        <is>
          <t>JÄMTLANDS LÄN</t>
        </is>
      </c>
      <c r="E4595" t="inlineStr">
        <is>
          <t>BRÄCKE</t>
        </is>
      </c>
      <c r="F4595" t="inlineStr">
        <is>
          <t>SCA</t>
        </is>
      </c>
      <c r="G4595" t="n">
        <v>2.2</v>
      </c>
      <c r="H4595" t="n">
        <v>0</v>
      </c>
      <c r="I4595" t="n">
        <v>0</v>
      </c>
      <c r="J4595" t="n">
        <v>0</v>
      </c>
      <c r="K4595" t="n">
        <v>0</v>
      </c>
      <c r="L4595" t="n">
        <v>0</v>
      </c>
      <c r="M4595" t="n">
        <v>0</v>
      </c>
      <c r="N4595" t="n">
        <v>0</v>
      </c>
      <c r="O4595" t="n">
        <v>0</v>
      </c>
      <c r="P4595" t="n">
        <v>0</v>
      </c>
      <c r="Q4595" t="n">
        <v>0</v>
      </c>
      <c r="R4595" s="2" t="inlineStr"/>
    </row>
    <row r="4596" ht="15" customHeight="1">
      <c r="A4596" t="inlineStr">
        <is>
          <t>A 1865-2022</t>
        </is>
      </c>
      <c r="B4596" s="1" t="n">
        <v>44574</v>
      </c>
      <c r="C4596" s="1" t="n">
        <v>45182</v>
      </c>
      <c r="D4596" t="inlineStr">
        <is>
          <t>JÄMTLANDS LÄN</t>
        </is>
      </c>
      <c r="E4596" t="inlineStr">
        <is>
          <t>BRÄCKE</t>
        </is>
      </c>
      <c r="F4596" t="inlineStr">
        <is>
          <t>SCA</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1863-2022</t>
        </is>
      </c>
      <c r="B4597" s="1" t="n">
        <v>44574</v>
      </c>
      <c r="C4597" s="1" t="n">
        <v>45182</v>
      </c>
      <c r="D4597" t="inlineStr">
        <is>
          <t>JÄMTLANDS LÄN</t>
        </is>
      </c>
      <c r="E4597" t="inlineStr">
        <is>
          <t>BRÄCKE</t>
        </is>
      </c>
      <c r="F4597" t="inlineStr">
        <is>
          <t>SCA</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1959-2022</t>
        </is>
      </c>
      <c r="B4598" s="1" t="n">
        <v>44575</v>
      </c>
      <c r="C4598" s="1" t="n">
        <v>45182</v>
      </c>
      <c r="D4598" t="inlineStr">
        <is>
          <t>JÄMTLANDS LÄN</t>
        </is>
      </c>
      <c r="E4598" t="inlineStr">
        <is>
          <t>KROKOM</t>
        </is>
      </c>
      <c r="G4598" t="n">
        <v>3</v>
      </c>
      <c r="H4598" t="n">
        <v>0</v>
      </c>
      <c r="I4598" t="n">
        <v>0</v>
      </c>
      <c r="J4598" t="n">
        <v>0</v>
      </c>
      <c r="K4598" t="n">
        <v>0</v>
      </c>
      <c r="L4598" t="n">
        <v>0</v>
      </c>
      <c r="M4598" t="n">
        <v>0</v>
      </c>
      <c r="N4598" t="n">
        <v>0</v>
      </c>
      <c r="O4598" t="n">
        <v>0</v>
      </c>
      <c r="P4598" t="n">
        <v>0</v>
      </c>
      <c r="Q4598" t="n">
        <v>0</v>
      </c>
      <c r="R4598" s="2" t="inlineStr"/>
    </row>
    <row r="4599" ht="15" customHeight="1">
      <c r="A4599" t="inlineStr">
        <is>
          <t>A 1982-2022</t>
        </is>
      </c>
      <c r="B4599" s="1" t="n">
        <v>44575</v>
      </c>
      <c r="C4599" s="1" t="n">
        <v>45182</v>
      </c>
      <c r="D4599" t="inlineStr">
        <is>
          <t>JÄMTLANDS LÄN</t>
        </is>
      </c>
      <c r="E4599" t="inlineStr">
        <is>
          <t>BERG</t>
        </is>
      </c>
      <c r="G4599" t="n">
        <v>1.6</v>
      </c>
      <c r="H4599" t="n">
        <v>0</v>
      </c>
      <c r="I4599" t="n">
        <v>0</v>
      </c>
      <c r="J4599" t="n">
        <v>0</v>
      </c>
      <c r="K4599" t="n">
        <v>0</v>
      </c>
      <c r="L4599" t="n">
        <v>0</v>
      </c>
      <c r="M4599" t="n">
        <v>0</v>
      </c>
      <c r="N4599" t="n">
        <v>0</v>
      </c>
      <c r="O4599" t="n">
        <v>0</v>
      </c>
      <c r="P4599" t="n">
        <v>0</v>
      </c>
      <c r="Q4599" t="n">
        <v>0</v>
      </c>
      <c r="R4599" s="2" t="inlineStr"/>
    </row>
    <row r="4600" ht="15" customHeight="1">
      <c r="A4600" t="inlineStr">
        <is>
          <t>A 2002-2022</t>
        </is>
      </c>
      <c r="B4600" s="1" t="n">
        <v>44575</v>
      </c>
      <c r="C4600" s="1" t="n">
        <v>45182</v>
      </c>
      <c r="D4600" t="inlineStr">
        <is>
          <t>JÄMTLANDS LÄN</t>
        </is>
      </c>
      <c r="E4600" t="inlineStr">
        <is>
          <t>BERG</t>
        </is>
      </c>
      <c r="G4600" t="n">
        <v>11.3</v>
      </c>
      <c r="H4600" t="n">
        <v>0</v>
      </c>
      <c r="I4600" t="n">
        <v>0</v>
      </c>
      <c r="J4600" t="n">
        <v>0</v>
      </c>
      <c r="K4600" t="n">
        <v>0</v>
      </c>
      <c r="L4600" t="n">
        <v>0</v>
      </c>
      <c r="M4600" t="n">
        <v>0</v>
      </c>
      <c r="N4600" t="n">
        <v>0</v>
      </c>
      <c r="O4600" t="n">
        <v>0</v>
      </c>
      <c r="P4600" t="n">
        <v>0</v>
      </c>
      <c r="Q4600" t="n">
        <v>0</v>
      </c>
      <c r="R4600" s="2" t="inlineStr"/>
    </row>
    <row r="4601" ht="15" customHeight="1">
      <c r="A4601" t="inlineStr">
        <is>
          <t>A 2009-2022</t>
        </is>
      </c>
      <c r="B4601" s="1" t="n">
        <v>44575</v>
      </c>
      <c r="C4601" s="1" t="n">
        <v>45182</v>
      </c>
      <c r="D4601" t="inlineStr">
        <is>
          <t>JÄMTLANDS LÄN</t>
        </is>
      </c>
      <c r="E4601" t="inlineStr">
        <is>
          <t>BERG</t>
        </is>
      </c>
      <c r="G4601" t="n">
        <v>11.9</v>
      </c>
      <c r="H4601" t="n">
        <v>0</v>
      </c>
      <c r="I4601" t="n">
        <v>0</v>
      </c>
      <c r="J4601" t="n">
        <v>0</v>
      </c>
      <c r="K4601" t="n">
        <v>0</v>
      </c>
      <c r="L4601" t="n">
        <v>0</v>
      </c>
      <c r="M4601" t="n">
        <v>0</v>
      </c>
      <c r="N4601" t="n">
        <v>0</v>
      </c>
      <c r="O4601" t="n">
        <v>0</v>
      </c>
      <c r="P4601" t="n">
        <v>0</v>
      </c>
      <c r="Q4601" t="n">
        <v>0</v>
      </c>
      <c r="R4601" s="2" t="inlineStr"/>
    </row>
    <row r="4602" ht="15" customHeight="1">
      <c r="A4602" t="inlineStr">
        <is>
          <t>A 1983-2022</t>
        </is>
      </c>
      <c r="B4602" s="1" t="n">
        <v>44575</v>
      </c>
      <c r="C4602" s="1" t="n">
        <v>45182</v>
      </c>
      <c r="D4602" t="inlineStr">
        <is>
          <t>JÄMTLANDS LÄN</t>
        </is>
      </c>
      <c r="E4602" t="inlineStr">
        <is>
          <t>BERG</t>
        </is>
      </c>
      <c r="G4602" t="n">
        <v>1.8</v>
      </c>
      <c r="H4602" t="n">
        <v>0</v>
      </c>
      <c r="I4602" t="n">
        <v>0</v>
      </c>
      <c r="J4602" t="n">
        <v>0</v>
      </c>
      <c r="K4602" t="n">
        <v>0</v>
      </c>
      <c r="L4602" t="n">
        <v>0</v>
      </c>
      <c r="M4602" t="n">
        <v>0</v>
      </c>
      <c r="N4602" t="n">
        <v>0</v>
      </c>
      <c r="O4602" t="n">
        <v>0</v>
      </c>
      <c r="P4602" t="n">
        <v>0</v>
      </c>
      <c r="Q4602" t="n">
        <v>0</v>
      </c>
      <c r="R4602" s="2" t="inlineStr"/>
    </row>
    <row r="4603" ht="15" customHeight="1">
      <c r="A4603" t="inlineStr">
        <is>
          <t>A 1955-2022</t>
        </is>
      </c>
      <c r="B4603" s="1" t="n">
        <v>44575</v>
      </c>
      <c r="C4603" s="1" t="n">
        <v>45182</v>
      </c>
      <c r="D4603" t="inlineStr">
        <is>
          <t>JÄMTLANDS LÄN</t>
        </is>
      </c>
      <c r="E4603" t="inlineStr">
        <is>
          <t>KROKOM</t>
        </is>
      </c>
      <c r="G4603" t="n">
        <v>16.1</v>
      </c>
      <c r="H4603" t="n">
        <v>0</v>
      </c>
      <c r="I4603" t="n">
        <v>0</v>
      </c>
      <c r="J4603" t="n">
        <v>0</v>
      </c>
      <c r="K4603" t="n">
        <v>0</v>
      </c>
      <c r="L4603" t="n">
        <v>0</v>
      </c>
      <c r="M4603" t="n">
        <v>0</v>
      </c>
      <c r="N4603" t="n">
        <v>0</v>
      </c>
      <c r="O4603" t="n">
        <v>0</v>
      </c>
      <c r="P4603" t="n">
        <v>0</v>
      </c>
      <c r="Q4603" t="n">
        <v>0</v>
      </c>
      <c r="R4603" s="2" t="inlineStr"/>
    </row>
    <row r="4604" ht="15" customHeight="1">
      <c r="A4604" t="inlineStr">
        <is>
          <t>A 2337-2022</t>
        </is>
      </c>
      <c r="B4604" s="1" t="n">
        <v>44578</v>
      </c>
      <c r="C4604" s="1" t="n">
        <v>45182</v>
      </c>
      <c r="D4604" t="inlineStr">
        <is>
          <t>JÄMTLANDS LÄN</t>
        </is>
      </c>
      <c r="E4604" t="inlineStr">
        <is>
          <t>RAGUNDA</t>
        </is>
      </c>
      <c r="G4604" t="n">
        <v>2.6</v>
      </c>
      <c r="H4604" t="n">
        <v>0</v>
      </c>
      <c r="I4604" t="n">
        <v>0</v>
      </c>
      <c r="J4604" t="n">
        <v>0</v>
      </c>
      <c r="K4604" t="n">
        <v>0</v>
      </c>
      <c r="L4604" t="n">
        <v>0</v>
      </c>
      <c r="M4604" t="n">
        <v>0</v>
      </c>
      <c r="N4604" t="n">
        <v>0</v>
      </c>
      <c r="O4604" t="n">
        <v>0</v>
      </c>
      <c r="P4604" t="n">
        <v>0</v>
      </c>
      <c r="Q4604" t="n">
        <v>0</v>
      </c>
      <c r="R4604" s="2" t="inlineStr"/>
    </row>
    <row r="4605" ht="15" customHeight="1">
      <c r="A4605" t="inlineStr">
        <is>
          <t>A 2230-2022</t>
        </is>
      </c>
      <c r="B4605" s="1" t="n">
        <v>44578</v>
      </c>
      <c r="C4605" s="1" t="n">
        <v>45182</v>
      </c>
      <c r="D4605" t="inlineStr">
        <is>
          <t>JÄMTLANDS LÄN</t>
        </is>
      </c>
      <c r="E4605" t="inlineStr">
        <is>
          <t>ÅRE</t>
        </is>
      </c>
      <c r="G4605" t="n">
        <v>1.6</v>
      </c>
      <c r="H4605" t="n">
        <v>0</v>
      </c>
      <c r="I4605" t="n">
        <v>0</v>
      </c>
      <c r="J4605" t="n">
        <v>0</v>
      </c>
      <c r="K4605" t="n">
        <v>0</v>
      </c>
      <c r="L4605" t="n">
        <v>0</v>
      </c>
      <c r="M4605" t="n">
        <v>0</v>
      </c>
      <c r="N4605" t="n">
        <v>0</v>
      </c>
      <c r="O4605" t="n">
        <v>0</v>
      </c>
      <c r="P4605" t="n">
        <v>0</v>
      </c>
      <c r="Q4605" t="n">
        <v>0</v>
      </c>
      <c r="R4605" s="2" t="inlineStr"/>
    </row>
    <row r="4606" ht="15" customHeight="1">
      <c r="A4606" t="inlineStr">
        <is>
          <t>A 2485-2022</t>
        </is>
      </c>
      <c r="B4606" s="1" t="n">
        <v>44579</v>
      </c>
      <c r="C4606" s="1" t="n">
        <v>45182</v>
      </c>
      <c r="D4606" t="inlineStr">
        <is>
          <t>JÄMTLANDS LÄN</t>
        </is>
      </c>
      <c r="E4606" t="inlineStr">
        <is>
          <t>STRÖMSUND</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2431-2022</t>
        </is>
      </c>
      <c r="B4607" s="1" t="n">
        <v>44579</v>
      </c>
      <c r="C4607" s="1" t="n">
        <v>45182</v>
      </c>
      <c r="D4607" t="inlineStr">
        <is>
          <t>JÄMTLANDS LÄN</t>
        </is>
      </c>
      <c r="E4607" t="inlineStr">
        <is>
          <t>ÖSTERSUND</t>
        </is>
      </c>
      <c r="G4607" t="n">
        <v>1</v>
      </c>
      <c r="H4607" t="n">
        <v>0</v>
      </c>
      <c r="I4607" t="n">
        <v>0</v>
      </c>
      <c r="J4607" t="n">
        <v>0</v>
      </c>
      <c r="K4607" t="n">
        <v>0</v>
      </c>
      <c r="L4607" t="n">
        <v>0</v>
      </c>
      <c r="M4607" t="n">
        <v>0</v>
      </c>
      <c r="N4607" t="n">
        <v>0</v>
      </c>
      <c r="O4607" t="n">
        <v>0</v>
      </c>
      <c r="P4607" t="n">
        <v>0</v>
      </c>
      <c r="Q4607" t="n">
        <v>0</v>
      </c>
      <c r="R4607" s="2" t="inlineStr"/>
    </row>
    <row r="4608" ht="15" customHeight="1">
      <c r="A4608" t="inlineStr">
        <is>
          <t>A 2554-2022</t>
        </is>
      </c>
      <c r="B4608" s="1" t="n">
        <v>44579</v>
      </c>
      <c r="C4608" s="1" t="n">
        <v>45182</v>
      </c>
      <c r="D4608" t="inlineStr">
        <is>
          <t>JÄMTLANDS LÄN</t>
        </is>
      </c>
      <c r="E4608" t="inlineStr">
        <is>
          <t>STRÖMSUND</t>
        </is>
      </c>
      <c r="G4608" t="n">
        <v>5</v>
      </c>
      <c r="H4608" t="n">
        <v>0</v>
      </c>
      <c r="I4608" t="n">
        <v>0</v>
      </c>
      <c r="J4608" t="n">
        <v>0</v>
      </c>
      <c r="K4608" t="n">
        <v>0</v>
      </c>
      <c r="L4608" t="n">
        <v>0</v>
      </c>
      <c r="M4608" t="n">
        <v>0</v>
      </c>
      <c r="N4608" t="n">
        <v>0</v>
      </c>
      <c r="O4608" t="n">
        <v>0</v>
      </c>
      <c r="P4608" t="n">
        <v>0</v>
      </c>
      <c r="Q4608" t="n">
        <v>0</v>
      </c>
      <c r="R4608" s="2" t="inlineStr"/>
    </row>
    <row r="4609" ht="15" customHeight="1">
      <c r="A4609" t="inlineStr">
        <is>
          <t>A 2571-2022</t>
        </is>
      </c>
      <c r="B4609" s="1" t="n">
        <v>44580</v>
      </c>
      <c r="C4609" s="1" t="n">
        <v>45182</v>
      </c>
      <c r="D4609" t="inlineStr">
        <is>
          <t>JÄMTLANDS LÄN</t>
        </is>
      </c>
      <c r="E4609" t="inlineStr">
        <is>
          <t>ÅRE</t>
        </is>
      </c>
      <c r="G4609" t="n">
        <v>3.7</v>
      </c>
      <c r="H4609" t="n">
        <v>0</v>
      </c>
      <c r="I4609" t="n">
        <v>0</v>
      </c>
      <c r="J4609" t="n">
        <v>0</v>
      </c>
      <c r="K4609" t="n">
        <v>0</v>
      </c>
      <c r="L4609" t="n">
        <v>0</v>
      </c>
      <c r="M4609" t="n">
        <v>0</v>
      </c>
      <c r="N4609" t="n">
        <v>0</v>
      </c>
      <c r="O4609" t="n">
        <v>0</v>
      </c>
      <c r="P4609" t="n">
        <v>0</v>
      </c>
      <c r="Q4609" t="n">
        <v>0</v>
      </c>
      <c r="R4609" s="2" t="inlineStr"/>
    </row>
    <row r="4610" ht="15" customHeight="1">
      <c r="A4610" t="inlineStr">
        <is>
          <t>A 2645-2022</t>
        </is>
      </c>
      <c r="B4610" s="1" t="n">
        <v>44580</v>
      </c>
      <c r="C4610" s="1" t="n">
        <v>45182</v>
      </c>
      <c r="D4610" t="inlineStr">
        <is>
          <t>JÄMTLANDS LÄN</t>
        </is>
      </c>
      <c r="E4610" t="inlineStr">
        <is>
          <t>BRÄCKE</t>
        </is>
      </c>
      <c r="G4610" t="n">
        <v>2.9</v>
      </c>
      <c r="H4610" t="n">
        <v>0</v>
      </c>
      <c r="I4610" t="n">
        <v>0</v>
      </c>
      <c r="J4610" t="n">
        <v>0</v>
      </c>
      <c r="K4610" t="n">
        <v>0</v>
      </c>
      <c r="L4610" t="n">
        <v>0</v>
      </c>
      <c r="M4610" t="n">
        <v>0</v>
      </c>
      <c r="N4610" t="n">
        <v>0</v>
      </c>
      <c r="O4610" t="n">
        <v>0</v>
      </c>
      <c r="P4610" t="n">
        <v>0</v>
      </c>
      <c r="Q4610" t="n">
        <v>0</v>
      </c>
      <c r="R4610" s="2" t="inlineStr"/>
    </row>
    <row r="4611" ht="15" customHeight="1">
      <c r="A4611" t="inlineStr">
        <is>
          <t>A 2763-2022</t>
        </is>
      </c>
      <c r="B4611" s="1" t="n">
        <v>44580</v>
      </c>
      <c r="C4611" s="1" t="n">
        <v>45182</v>
      </c>
      <c r="D4611" t="inlineStr">
        <is>
          <t>JÄMTLANDS LÄN</t>
        </is>
      </c>
      <c r="E4611" t="inlineStr">
        <is>
          <t>ÖSTERSUND</t>
        </is>
      </c>
      <c r="F4611" t="inlineStr">
        <is>
          <t>SCA</t>
        </is>
      </c>
      <c r="G4611" t="n">
        <v>3.1</v>
      </c>
      <c r="H4611" t="n">
        <v>0</v>
      </c>
      <c r="I4611" t="n">
        <v>0</v>
      </c>
      <c r="J4611" t="n">
        <v>0</v>
      </c>
      <c r="K4611" t="n">
        <v>0</v>
      </c>
      <c r="L4611" t="n">
        <v>0</v>
      </c>
      <c r="M4611" t="n">
        <v>0</v>
      </c>
      <c r="N4611" t="n">
        <v>0</v>
      </c>
      <c r="O4611" t="n">
        <v>0</v>
      </c>
      <c r="P4611" t="n">
        <v>0</v>
      </c>
      <c r="Q4611" t="n">
        <v>0</v>
      </c>
      <c r="R4611" s="2" t="inlineStr"/>
    </row>
    <row r="4612" ht="15" customHeight="1">
      <c r="A4612" t="inlineStr">
        <is>
          <t>A 2760-2022</t>
        </is>
      </c>
      <c r="B4612" s="1" t="n">
        <v>44580</v>
      </c>
      <c r="C4612" s="1" t="n">
        <v>45182</v>
      </c>
      <c r="D4612" t="inlineStr">
        <is>
          <t>JÄMTLANDS LÄN</t>
        </is>
      </c>
      <c r="E4612" t="inlineStr">
        <is>
          <t>STRÖMSUND</t>
        </is>
      </c>
      <c r="F4612" t="inlineStr">
        <is>
          <t>SCA</t>
        </is>
      </c>
      <c r="G4612" t="n">
        <v>4.3</v>
      </c>
      <c r="H4612" t="n">
        <v>0</v>
      </c>
      <c r="I4612" t="n">
        <v>0</v>
      </c>
      <c r="J4612" t="n">
        <v>0</v>
      </c>
      <c r="K4612" t="n">
        <v>0</v>
      </c>
      <c r="L4612" t="n">
        <v>0</v>
      </c>
      <c r="M4612" t="n">
        <v>0</v>
      </c>
      <c r="N4612" t="n">
        <v>0</v>
      </c>
      <c r="O4612" t="n">
        <v>0</v>
      </c>
      <c r="P4612" t="n">
        <v>0</v>
      </c>
      <c r="Q4612" t="n">
        <v>0</v>
      </c>
      <c r="R4612" s="2" t="inlineStr"/>
    </row>
    <row r="4613" ht="15" customHeight="1">
      <c r="A4613" t="inlineStr">
        <is>
          <t>A 2880-2022</t>
        </is>
      </c>
      <c r="B4613" s="1" t="n">
        <v>44581</v>
      </c>
      <c r="C4613" s="1" t="n">
        <v>45182</v>
      </c>
      <c r="D4613" t="inlineStr">
        <is>
          <t>JÄMTLANDS LÄN</t>
        </is>
      </c>
      <c r="E4613" t="inlineStr">
        <is>
          <t>ÖSTERSUND</t>
        </is>
      </c>
      <c r="G4613" t="n">
        <v>0.5</v>
      </c>
      <c r="H4613" t="n">
        <v>0</v>
      </c>
      <c r="I4613" t="n">
        <v>0</v>
      </c>
      <c r="J4613" t="n">
        <v>0</v>
      </c>
      <c r="K4613" t="n">
        <v>0</v>
      </c>
      <c r="L4613" t="n">
        <v>0</v>
      </c>
      <c r="M4613" t="n">
        <v>0</v>
      </c>
      <c r="N4613" t="n">
        <v>0</v>
      </c>
      <c r="O4613" t="n">
        <v>0</v>
      </c>
      <c r="P4613" t="n">
        <v>0</v>
      </c>
      <c r="Q4613" t="n">
        <v>0</v>
      </c>
      <c r="R4613" s="2" t="inlineStr"/>
    </row>
    <row r="4614" ht="15" customHeight="1">
      <c r="A4614" t="inlineStr">
        <is>
          <t>A 2874-2022</t>
        </is>
      </c>
      <c r="B4614" s="1" t="n">
        <v>44581</v>
      </c>
      <c r="C4614" s="1" t="n">
        <v>45182</v>
      </c>
      <c r="D4614" t="inlineStr">
        <is>
          <t>JÄMTLANDS LÄN</t>
        </is>
      </c>
      <c r="E4614" t="inlineStr">
        <is>
          <t>HÄRJEDALEN</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3165-2022</t>
        </is>
      </c>
      <c r="B4615" s="1" t="n">
        <v>44582</v>
      </c>
      <c r="C4615" s="1" t="n">
        <v>45182</v>
      </c>
      <c r="D4615" t="inlineStr">
        <is>
          <t>JÄMTLANDS LÄN</t>
        </is>
      </c>
      <c r="E4615" t="inlineStr">
        <is>
          <t>STRÖMSUND</t>
        </is>
      </c>
      <c r="G4615" t="n">
        <v>2.5</v>
      </c>
      <c r="H4615" t="n">
        <v>0</v>
      </c>
      <c r="I4615" t="n">
        <v>0</v>
      </c>
      <c r="J4615" t="n">
        <v>0</v>
      </c>
      <c r="K4615" t="n">
        <v>0</v>
      </c>
      <c r="L4615" t="n">
        <v>0</v>
      </c>
      <c r="M4615" t="n">
        <v>0</v>
      </c>
      <c r="N4615" t="n">
        <v>0</v>
      </c>
      <c r="O4615" t="n">
        <v>0</v>
      </c>
      <c r="P4615" t="n">
        <v>0</v>
      </c>
      <c r="Q4615" t="n">
        <v>0</v>
      </c>
      <c r="R4615" s="2" t="inlineStr"/>
    </row>
    <row r="4616" ht="15" customHeight="1">
      <c r="A4616" t="inlineStr">
        <is>
          <t>A 3163-2022</t>
        </is>
      </c>
      <c r="B4616" s="1" t="n">
        <v>44582</v>
      </c>
      <c r="C4616" s="1" t="n">
        <v>45182</v>
      </c>
      <c r="D4616" t="inlineStr">
        <is>
          <t>JÄMTLANDS LÄN</t>
        </is>
      </c>
      <c r="E4616" t="inlineStr">
        <is>
          <t>HÄRJEDALEN</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3114-2022</t>
        </is>
      </c>
      <c r="B4617" s="1" t="n">
        <v>44582</v>
      </c>
      <c r="C4617" s="1" t="n">
        <v>45182</v>
      </c>
      <c r="D4617" t="inlineStr">
        <is>
          <t>JÄMTLANDS LÄN</t>
        </is>
      </c>
      <c r="E4617" t="inlineStr">
        <is>
          <t>STRÖMSUND</t>
        </is>
      </c>
      <c r="G4617" t="n">
        <v>7</v>
      </c>
      <c r="H4617" t="n">
        <v>0</v>
      </c>
      <c r="I4617" t="n">
        <v>0</v>
      </c>
      <c r="J4617" t="n">
        <v>0</v>
      </c>
      <c r="K4617" t="n">
        <v>0</v>
      </c>
      <c r="L4617" t="n">
        <v>0</v>
      </c>
      <c r="M4617" t="n">
        <v>0</v>
      </c>
      <c r="N4617" t="n">
        <v>0</v>
      </c>
      <c r="O4617" t="n">
        <v>0</v>
      </c>
      <c r="P4617" t="n">
        <v>0</v>
      </c>
      <c r="Q4617" t="n">
        <v>0</v>
      </c>
      <c r="R4617" s="2" t="inlineStr"/>
    </row>
    <row r="4618" ht="15" customHeight="1">
      <c r="A4618" t="inlineStr">
        <is>
          <t>A 3224-2022</t>
        </is>
      </c>
      <c r="B4618" s="1" t="n">
        <v>44582</v>
      </c>
      <c r="C4618" s="1" t="n">
        <v>45182</v>
      </c>
      <c r="D4618" t="inlineStr">
        <is>
          <t>JÄMTLANDS LÄN</t>
        </is>
      </c>
      <c r="E4618" t="inlineStr">
        <is>
          <t>BRÄCKE</t>
        </is>
      </c>
      <c r="G4618" t="n">
        <v>1.7</v>
      </c>
      <c r="H4618" t="n">
        <v>0</v>
      </c>
      <c r="I4618" t="n">
        <v>0</v>
      </c>
      <c r="J4618" t="n">
        <v>0</v>
      </c>
      <c r="K4618" t="n">
        <v>0</v>
      </c>
      <c r="L4618" t="n">
        <v>0</v>
      </c>
      <c r="M4618" t="n">
        <v>0</v>
      </c>
      <c r="N4618" t="n">
        <v>0</v>
      </c>
      <c r="O4618" t="n">
        <v>0</v>
      </c>
      <c r="P4618" t="n">
        <v>0</v>
      </c>
      <c r="Q4618" t="n">
        <v>0</v>
      </c>
      <c r="R4618" s="2" t="inlineStr"/>
    </row>
    <row r="4619" ht="15" customHeight="1">
      <c r="A4619" t="inlineStr">
        <is>
          <t>A 3231-2022</t>
        </is>
      </c>
      <c r="B4619" s="1" t="n">
        <v>44582</v>
      </c>
      <c r="C4619" s="1" t="n">
        <v>45182</v>
      </c>
      <c r="D4619" t="inlineStr">
        <is>
          <t>JÄMTLANDS LÄN</t>
        </is>
      </c>
      <c r="E4619" t="inlineStr">
        <is>
          <t>KROKOM</t>
        </is>
      </c>
      <c r="G4619" t="n">
        <v>23</v>
      </c>
      <c r="H4619" t="n">
        <v>0</v>
      </c>
      <c r="I4619" t="n">
        <v>0</v>
      </c>
      <c r="J4619" t="n">
        <v>0</v>
      </c>
      <c r="K4619" t="n">
        <v>0</v>
      </c>
      <c r="L4619" t="n">
        <v>0</v>
      </c>
      <c r="M4619" t="n">
        <v>0</v>
      </c>
      <c r="N4619" t="n">
        <v>0</v>
      </c>
      <c r="O4619" t="n">
        <v>0</v>
      </c>
      <c r="P4619" t="n">
        <v>0</v>
      </c>
      <c r="Q4619" t="n">
        <v>0</v>
      </c>
      <c r="R4619" s="2" t="inlineStr"/>
    </row>
    <row r="4620" ht="15" customHeight="1">
      <c r="A4620" t="inlineStr">
        <is>
          <t>A 3373-2022</t>
        </is>
      </c>
      <c r="B4620" s="1" t="n">
        <v>44585</v>
      </c>
      <c r="C4620" s="1" t="n">
        <v>45182</v>
      </c>
      <c r="D4620" t="inlineStr">
        <is>
          <t>JÄMTLANDS LÄN</t>
        </is>
      </c>
      <c r="E4620" t="inlineStr">
        <is>
          <t>HÄRJEDALEN</t>
        </is>
      </c>
      <c r="G4620" t="n">
        <v>7.4</v>
      </c>
      <c r="H4620" t="n">
        <v>0</v>
      </c>
      <c r="I4620" t="n">
        <v>0</v>
      </c>
      <c r="J4620" t="n">
        <v>0</v>
      </c>
      <c r="K4620" t="n">
        <v>0</v>
      </c>
      <c r="L4620" t="n">
        <v>0</v>
      </c>
      <c r="M4620" t="n">
        <v>0</v>
      </c>
      <c r="N4620" t="n">
        <v>0</v>
      </c>
      <c r="O4620" t="n">
        <v>0</v>
      </c>
      <c r="P4620" t="n">
        <v>0</v>
      </c>
      <c r="Q4620" t="n">
        <v>0</v>
      </c>
      <c r="R4620" s="2" t="inlineStr"/>
    </row>
    <row r="4621" ht="15" customHeight="1">
      <c r="A4621" t="inlineStr">
        <is>
          <t>A 3538-2022</t>
        </is>
      </c>
      <c r="B4621" s="1" t="n">
        <v>44585</v>
      </c>
      <c r="C4621" s="1" t="n">
        <v>45182</v>
      </c>
      <c r="D4621" t="inlineStr">
        <is>
          <t>JÄMTLANDS LÄN</t>
        </is>
      </c>
      <c r="E4621" t="inlineStr">
        <is>
          <t>STRÖMSUND</t>
        </is>
      </c>
      <c r="F4621" t="inlineStr">
        <is>
          <t>SCA</t>
        </is>
      </c>
      <c r="G4621" t="n">
        <v>6.6</v>
      </c>
      <c r="H4621" t="n">
        <v>0</v>
      </c>
      <c r="I4621" t="n">
        <v>0</v>
      </c>
      <c r="J4621" t="n">
        <v>0</v>
      </c>
      <c r="K4621" t="n">
        <v>0</v>
      </c>
      <c r="L4621" t="n">
        <v>0</v>
      </c>
      <c r="M4621" t="n">
        <v>0</v>
      </c>
      <c r="N4621" t="n">
        <v>0</v>
      </c>
      <c r="O4621" t="n">
        <v>0</v>
      </c>
      <c r="P4621" t="n">
        <v>0</v>
      </c>
      <c r="Q4621" t="n">
        <v>0</v>
      </c>
      <c r="R4621" s="2" t="inlineStr"/>
    </row>
    <row r="4622" ht="15" customHeight="1">
      <c r="A4622" t="inlineStr">
        <is>
          <t>A 3410-2022</t>
        </is>
      </c>
      <c r="B4622" s="1" t="n">
        <v>44585</v>
      </c>
      <c r="C4622" s="1" t="n">
        <v>45182</v>
      </c>
      <c r="D4622" t="inlineStr">
        <is>
          <t>JÄMTLANDS LÄN</t>
        </is>
      </c>
      <c r="E4622" t="inlineStr">
        <is>
          <t>ÖSTERSUND</t>
        </is>
      </c>
      <c r="G4622" t="n">
        <v>10.2</v>
      </c>
      <c r="H4622" t="n">
        <v>0</v>
      </c>
      <c r="I4622" t="n">
        <v>0</v>
      </c>
      <c r="J4622" t="n">
        <v>0</v>
      </c>
      <c r="K4622" t="n">
        <v>0</v>
      </c>
      <c r="L4622" t="n">
        <v>0</v>
      </c>
      <c r="M4622" t="n">
        <v>0</v>
      </c>
      <c r="N4622" t="n">
        <v>0</v>
      </c>
      <c r="O4622" t="n">
        <v>0</v>
      </c>
      <c r="P4622" t="n">
        <v>0</v>
      </c>
      <c r="Q4622" t="n">
        <v>0</v>
      </c>
      <c r="R4622" s="2" t="inlineStr"/>
    </row>
    <row r="4623" ht="15" customHeight="1">
      <c r="A4623" t="inlineStr">
        <is>
          <t>A 3543-2022</t>
        </is>
      </c>
      <c r="B4623" s="1" t="n">
        <v>44585</v>
      </c>
      <c r="C4623" s="1" t="n">
        <v>45182</v>
      </c>
      <c r="D4623" t="inlineStr">
        <is>
          <t>JÄMTLANDS LÄN</t>
        </is>
      </c>
      <c r="E4623" t="inlineStr">
        <is>
          <t>BERG</t>
        </is>
      </c>
      <c r="G4623" t="n">
        <v>3</v>
      </c>
      <c r="H4623" t="n">
        <v>0</v>
      </c>
      <c r="I4623" t="n">
        <v>0</v>
      </c>
      <c r="J4623" t="n">
        <v>0</v>
      </c>
      <c r="K4623" t="n">
        <v>0</v>
      </c>
      <c r="L4623" t="n">
        <v>0</v>
      </c>
      <c r="M4623" t="n">
        <v>0</v>
      </c>
      <c r="N4623" t="n">
        <v>0</v>
      </c>
      <c r="O4623" t="n">
        <v>0</v>
      </c>
      <c r="P4623" t="n">
        <v>0</v>
      </c>
      <c r="Q4623" t="n">
        <v>0</v>
      </c>
      <c r="R4623" s="2" t="inlineStr"/>
    </row>
    <row r="4624" ht="15" customHeight="1">
      <c r="A4624" t="inlineStr">
        <is>
          <t>A 3798-2022</t>
        </is>
      </c>
      <c r="B4624" s="1" t="n">
        <v>44586</v>
      </c>
      <c r="C4624" s="1" t="n">
        <v>45182</v>
      </c>
      <c r="D4624" t="inlineStr">
        <is>
          <t>JÄMTLANDS LÄN</t>
        </is>
      </c>
      <c r="E4624" t="inlineStr">
        <is>
          <t>BERG</t>
        </is>
      </c>
      <c r="G4624" t="n">
        <v>0.1</v>
      </c>
      <c r="H4624" t="n">
        <v>0</v>
      </c>
      <c r="I4624" t="n">
        <v>0</v>
      </c>
      <c r="J4624" t="n">
        <v>0</v>
      </c>
      <c r="K4624" t="n">
        <v>0</v>
      </c>
      <c r="L4624" t="n">
        <v>0</v>
      </c>
      <c r="M4624" t="n">
        <v>0</v>
      </c>
      <c r="N4624" t="n">
        <v>0</v>
      </c>
      <c r="O4624" t="n">
        <v>0</v>
      </c>
      <c r="P4624" t="n">
        <v>0</v>
      </c>
      <c r="Q4624" t="n">
        <v>0</v>
      </c>
      <c r="R4624" s="2" t="inlineStr"/>
    </row>
    <row r="4625" ht="15" customHeight="1">
      <c r="A4625" t="inlineStr">
        <is>
          <t>A 3694-2022</t>
        </is>
      </c>
      <c r="B4625" s="1" t="n">
        <v>44586</v>
      </c>
      <c r="C4625" s="1" t="n">
        <v>45182</v>
      </c>
      <c r="D4625" t="inlineStr">
        <is>
          <t>JÄMTLANDS LÄN</t>
        </is>
      </c>
      <c r="E4625" t="inlineStr">
        <is>
          <t>BRÄCKE</t>
        </is>
      </c>
      <c r="G4625" t="n">
        <v>2.3</v>
      </c>
      <c r="H4625" t="n">
        <v>0</v>
      </c>
      <c r="I4625" t="n">
        <v>0</v>
      </c>
      <c r="J4625" t="n">
        <v>0</v>
      </c>
      <c r="K4625" t="n">
        <v>0</v>
      </c>
      <c r="L4625" t="n">
        <v>0</v>
      </c>
      <c r="M4625" t="n">
        <v>0</v>
      </c>
      <c r="N4625" t="n">
        <v>0</v>
      </c>
      <c r="O4625" t="n">
        <v>0</v>
      </c>
      <c r="P4625" t="n">
        <v>0</v>
      </c>
      <c r="Q4625" t="n">
        <v>0</v>
      </c>
      <c r="R4625" s="2" t="inlineStr"/>
    </row>
    <row r="4626" ht="15" customHeight="1">
      <c r="A4626" t="inlineStr">
        <is>
          <t>A 3719-2022</t>
        </is>
      </c>
      <c r="B4626" s="1" t="n">
        <v>44586</v>
      </c>
      <c r="C4626" s="1" t="n">
        <v>45182</v>
      </c>
      <c r="D4626" t="inlineStr">
        <is>
          <t>JÄMTLANDS LÄN</t>
        </is>
      </c>
      <c r="E4626" t="inlineStr">
        <is>
          <t>STRÖMSUND</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3721-2022</t>
        </is>
      </c>
      <c r="B4627" s="1" t="n">
        <v>44586</v>
      </c>
      <c r="C4627" s="1" t="n">
        <v>45182</v>
      </c>
      <c r="D4627" t="inlineStr">
        <is>
          <t>JÄMTLANDS LÄN</t>
        </is>
      </c>
      <c r="E4627" t="inlineStr">
        <is>
          <t>STRÖMSUND</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3796-2022</t>
        </is>
      </c>
      <c r="B4628" s="1" t="n">
        <v>44586</v>
      </c>
      <c r="C4628" s="1" t="n">
        <v>45182</v>
      </c>
      <c r="D4628" t="inlineStr">
        <is>
          <t>JÄMTLANDS LÄN</t>
        </is>
      </c>
      <c r="E4628" t="inlineStr">
        <is>
          <t>RAGUNDA</t>
        </is>
      </c>
      <c r="G4628" t="n">
        <v>1.2</v>
      </c>
      <c r="H4628" t="n">
        <v>0</v>
      </c>
      <c r="I4628" t="n">
        <v>0</v>
      </c>
      <c r="J4628" t="n">
        <v>0</v>
      </c>
      <c r="K4628" t="n">
        <v>0</v>
      </c>
      <c r="L4628" t="n">
        <v>0</v>
      </c>
      <c r="M4628" t="n">
        <v>0</v>
      </c>
      <c r="N4628" t="n">
        <v>0</v>
      </c>
      <c r="O4628" t="n">
        <v>0</v>
      </c>
      <c r="P4628" t="n">
        <v>0</v>
      </c>
      <c r="Q4628" t="n">
        <v>0</v>
      </c>
      <c r="R4628" s="2" t="inlineStr"/>
    </row>
    <row r="4629" ht="15" customHeight="1">
      <c r="A4629" t="inlineStr">
        <is>
          <t>A 4023-2022</t>
        </is>
      </c>
      <c r="B4629" s="1" t="n">
        <v>44587</v>
      </c>
      <c r="C4629" s="1" t="n">
        <v>45182</v>
      </c>
      <c r="D4629" t="inlineStr">
        <is>
          <t>JÄMTLANDS LÄN</t>
        </is>
      </c>
      <c r="E4629" t="inlineStr">
        <is>
          <t>STRÖMSUND</t>
        </is>
      </c>
      <c r="F4629" t="inlineStr">
        <is>
          <t>SCA</t>
        </is>
      </c>
      <c r="G4629" t="n">
        <v>15.2</v>
      </c>
      <c r="H4629" t="n">
        <v>0</v>
      </c>
      <c r="I4629" t="n">
        <v>0</v>
      </c>
      <c r="J4629" t="n">
        <v>0</v>
      </c>
      <c r="K4629" t="n">
        <v>0</v>
      </c>
      <c r="L4629" t="n">
        <v>0</v>
      </c>
      <c r="M4629" t="n">
        <v>0</v>
      </c>
      <c r="N4629" t="n">
        <v>0</v>
      </c>
      <c r="O4629" t="n">
        <v>0</v>
      </c>
      <c r="P4629" t="n">
        <v>0</v>
      </c>
      <c r="Q4629" t="n">
        <v>0</v>
      </c>
      <c r="R4629" s="2" t="inlineStr"/>
    </row>
    <row r="4630" ht="15" customHeight="1">
      <c r="A4630" t="inlineStr">
        <is>
          <t>A 3947-2022</t>
        </is>
      </c>
      <c r="B4630" s="1" t="n">
        <v>44587</v>
      </c>
      <c r="C4630" s="1" t="n">
        <v>45182</v>
      </c>
      <c r="D4630" t="inlineStr">
        <is>
          <t>JÄMTLANDS LÄN</t>
        </is>
      </c>
      <c r="E4630" t="inlineStr">
        <is>
          <t>BRÄCKE</t>
        </is>
      </c>
      <c r="G4630" t="n">
        <v>0.4</v>
      </c>
      <c r="H4630" t="n">
        <v>0</v>
      </c>
      <c r="I4630" t="n">
        <v>0</v>
      </c>
      <c r="J4630" t="n">
        <v>0</v>
      </c>
      <c r="K4630" t="n">
        <v>0</v>
      </c>
      <c r="L4630" t="n">
        <v>0</v>
      </c>
      <c r="M4630" t="n">
        <v>0</v>
      </c>
      <c r="N4630" t="n">
        <v>0</v>
      </c>
      <c r="O4630" t="n">
        <v>0</v>
      </c>
      <c r="P4630" t="n">
        <v>0</v>
      </c>
      <c r="Q4630" t="n">
        <v>0</v>
      </c>
      <c r="R4630" s="2" t="inlineStr"/>
    </row>
    <row r="4631" ht="15" customHeight="1">
      <c r="A4631" t="inlineStr">
        <is>
          <t>A 3870-2022</t>
        </is>
      </c>
      <c r="B4631" s="1" t="n">
        <v>44587</v>
      </c>
      <c r="C4631" s="1" t="n">
        <v>45182</v>
      </c>
      <c r="D4631" t="inlineStr">
        <is>
          <t>JÄMTLANDS LÄN</t>
        </is>
      </c>
      <c r="E4631" t="inlineStr">
        <is>
          <t>BERG</t>
        </is>
      </c>
      <c r="G4631" t="n">
        <v>2</v>
      </c>
      <c r="H4631" t="n">
        <v>0</v>
      </c>
      <c r="I4631" t="n">
        <v>0</v>
      </c>
      <c r="J4631" t="n">
        <v>0</v>
      </c>
      <c r="K4631" t="n">
        <v>0</v>
      </c>
      <c r="L4631" t="n">
        <v>0</v>
      </c>
      <c r="M4631" t="n">
        <v>0</v>
      </c>
      <c r="N4631" t="n">
        <v>0</v>
      </c>
      <c r="O4631" t="n">
        <v>0</v>
      </c>
      <c r="P4631" t="n">
        <v>0</v>
      </c>
      <c r="Q4631" t="n">
        <v>0</v>
      </c>
      <c r="R4631" s="2" t="inlineStr"/>
    </row>
    <row r="4632" ht="15" customHeight="1">
      <c r="A4632" t="inlineStr">
        <is>
          <t>A 3891-2022</t>
        </is>
      </c>
      <c r="B4632" s="1" t="n">
        <v>44587</v>
      </c>
      <c r="C4632" s="1" t="n">
        <v>45182</v>
      </c>
      <c r="D4632" t="inlineStr">
        <is>
          <t>JÄMTLANDS LÄN</t>
        </is>
      </c>
      <c r="E4632" t="inlineStr">
        <is>
          <t>BERG</t>
        </is>
      </c>
      <c r="G4632" t="n">
        <v>2.6</v>
      </c>
      <c r="H4632" t="n">
        <v>0</v>
      </c>
      <c r="I4632" t="n">
        <v>0</v>
      </c>
      <c r="J4632" t="n">
        <v>0</v>
      </c>
      <c r="K4632" t="n">
        <v>0</v>
      </c>
      <c r="L4632" t="n">
        <v>0</v>
      </c>
      <c r="M4632" t="n">
        <v>0</v>
      </c>
      <c r="N4632" t="n">
        <v>0</v>
      </c>
      <c r="O4632" t="n">
        <v>0</v>
      </c>
      <c r="P4632" t="n">
        <v>0</v>
      </c>
      <c r="Q4632" t="n">
        <v>0</v>
      </c>
      <c r="R4632" s="2" t="inlineStr"/>
    </row>
    <row r="4633" ht="15" customHeight="1">
      <c r="A4633" t="inlineStr">
        <is>
          <t>A 4455-2022</t>
        </is>
      </c>
      <c r="B4633" s="1" t="n">
        <v>44589</v>
      </c>
      <c r="C4633" s="1" t="n">
        <v>45182</v>
      </c>
      <c r="D4633" t="inlineStr">
        <is>
          <t>JÄMTLANDS LÄN</t>
        </is>
      </c>
      <c r="E4633" t="inlineStr">
        <is>
          <t>STRÖMSUND</t>
        </is>
      </c>
      <c r="G4633" t="n">
        <v>2.8</v>
      </c>
      <c r="H4633" t="n">
        <v>0</v>
      </c>
      <c r="I4633" t="n">
        <v>0</v>
      </c>
      <c r="J4633" t="n">
        <v>0</v>
      </c>
      <c r="K4633" t="n">
        <v>0</v>
      </c>
      <c r="L4633" t="n">
        <v>0</v>
      </c>
      <c r="M4633" t="n">
        <v>0</v>
      </c>
      <c r="N4633" t="n">
        <v>0</v>
      </c>
      <c r="O4633" t="n">
        <v>0</v>
      </c>
      <c r="P4633" t="n">
        <v>0</v>
      </c>
      <c r="Q4633" t="n">
        <v>0</v>
      </c>
      <c r="R4633" s="2" t="inlineStr"/>
    </row>
    <row r="4634" ht="15" customHeight="1">
      <c r="A4634" t="inlineStr">
        <is>
          <t>A 4602-2022</t>
        </is>
      </c>
      <c r="B4634" s="1" t="n">
        <v>44589</v>
      </c>
      <c r="C4634" s="1" t="n">
        <v>45182</v>
      </c>
      <c r="D4634" t="inlineStr">
        <is>
          <t>JÄMTLANDS LÄN</t>
        </is>
      </c>
      <c r="E4634" t="inlineStr">
        <is>
          <t>STRÖMSUND</t>
        </is>
      </c>
      <c r="G4634" t="n">
        <v>9.5</v>
      </c>
      <c r="H4634" t="n">
        <v>0</v>
      </c>
      <c r="I4634" t="n">
        <v>0</v>
      </c>
      <c r="J4634" t="n">
        <v>0</v>
      </c>
      <c r="K4634" t="n">
        <v>0</v>
      </c>
      <c r="L4634" t="n">
        <v>0</v>
      </c>
      <c r="M4634" t="n">
        <v>0</v>
      </c>
      <c r="N4634" t="n">
        <v>0</v>
      </c>
      <c r="O4634" t="n">
        <v>0</v>
      </c>
      <c r="P4634" t="n">
        <v>0</v>
      </c>
      <c r="Q4634" t="n">
        <v>0</v>
      </c>
      <c r="R4634" s="2" t="inlineStr"/>
    </row>
    <row r="4635" ht="15" customHeight="1">
      <c r="A4635" t="inlineStr">
        <is>
          <t>A 4460-2022</t>
        </is>
      </c>
      <c r="B4635" s="1" t="n">
        <v>44589</v>
      </c>
      <c r="C4635" s="1" t="n">
        <v>45182</v>
      </c>
      <c r="D4635" t="inlineStr">
        <is>
          <t>JÄMTLANDS LÄN</t>
        </is>
      </c>
      <c r="E4635" t="inlineStr">
        <is>
          <t>STRÖMSUND</t>
        </is>
      </c>
      <c r="G4635" t="n">
        <v>4.5</v>
      </c>
      <c r="H4635" t="n">
        <v>0</v>
      </c>
      <c r="I4635" t="n">
        <v>0</v>
      </c>
      <c r="J4635" t="n">
        <v>0</v>
      </c>
      <c r="K4635" t="n">
        <v>0</v>
      </c>
      <c r="L4635" t="n">
        <v>0</v>
      </c>
      <c r="M4635" t="n">
        <v>0</v>
      </c>
      <c r="N4635" t="n">
        <v>0</v>
      </c>
      <c r="O4635" t="n">
        <v>0</v>
      </c>
      <c r="P4635" t="n">
        <v>0</v>
      </c>
      <c r="Q4635" t="n">
        <v>0</v>
      </c>
      <c r="R4635" s="2" t="inlineStr"/>
    </row>
    <row r="4636" ht="15" customHeight="1">
      <c r="A4636" t="inlineStr">
        <is>
          <t>A 4464-2022</t>
        </is>
      </c>
      <c r="B4636" s="1" t="n">
        <v>44589</v>
      </c>
      <c r="C4636" s="1" t="n">
        <v>45182</v>
      </c>
      <c r="D4636" t="inlineStr">
        <is>
          <t>JÄMTLANDS LÄN</t>
        </is>
      </c>
      <c r="E4636" t="inlineStr">
        <is>
          <t>STRÖMSUND</t>
        </is>
      </c>
      <c r="G4636" t="n">
        <v>5.4</v>
      </c>
      <c r="H4636" t="n">
        <v>0</v>
      </c>
      <c r="I4636" t="n">
        <v>0</v>
      </c>
      <c r="J4636" t="n">
        <v>0</v>
      </c>
      <c r="K4636" t="n">
        <v>0</v>
      </c>
      <c r="L4636" t="n">
        <v>0</v>
      </c>
      <c r="M4636" t="n">
        <v>0</v>
      </c>
      <c r="N4636" t="n">
        <v>0</v>
      </c>
      <c r="O4636" t="n">
        <v>0</v>
      </c>
      <c r="P4636" t="n">
        <v>0</v>
      </c>
      <c r="Q4636" t="n">
        <v>0</v>
      </c>
      <c r="R4636" s="2" t="inlineStr"/>
    </row>
    <row r="4637" ht="15" customHeight="1">
      <c r="A4637" t="inlineStr">
        <is>
          <t>A 4527-2022</t>
        </is>
      </c>
      <c r="B4637" s="1" t="n">
        <v>44589</v>
      </c>
      <c r="C4637" s="1" t="n">
        <v>45182</v>
      </c>
      <c r="D4637" t="inlineStr">
        <is>
          <t>JÄMTLANDS LÄN</t>
        </is>
      </c>
      <c r="E4637" t="inlineStr">
        <is>
          <t>BRÄCKE</t>
        </is>
      </c>
      <c r="G4637" t="n">
        <v>5.9</v>
      </c>
      <c r="H4637" t="n">
        <v>0</v>
      </c>
      <c r="I4637" t="n">
        <v>0</v>
      </c>
      <c r="J4637" t="n">
        <v>0</v>
      </c>
      <c r="K4637" t="n">
        <v>0</v>
      </c>
      <c r="L4637" t="n">
        <v>0</v>
      </c>
      <c r="M4637" t="n">
        <v>0</v>
      </c>
      <c r="N4637" t="n">
        <v>0</v>
      </c>
      <c r="O4637" t="n">
        <v>0</v>
      </c>
      <c r="P4637" t="n">
        <v>0</v>
      </c>
      <c r="Q4637" t="n">
        <v>0</v>
      </c>
      <c r="R4637" s="2" t="inlineStr"/>
    </row>
    <row r="4638" ht="15" customHeight="1">
      <c r="A4638" t="inlineStr">
        <is>
          <t>A 4542-2022</t>
        </is>
      </c>
      <c r="B4638" s="1" t="n">
        <v>44590</v>
      </c>
      <c r="C4638" s="1" t="n">
        <v>45182</v>
      </c>
      <c r="D4638" t="inlineStr">
        <is>
          <t>JÄMTLANDS LÄN</t>
        </is>
      </c>
      <c r="E4638" t="inlineStr">
        <is>
          <t>BRÄCKE</t>
        </is>
      </c>
      <c r="G4638" t="n">
        <v>18.5</v>
      </c>
      <c r="H4638" t="n">
        <v>0</v>
      </c>
      <c r="I4638" t="n">
        <v>0</v>
      </c>
      <c r="J4638" t="n">
        <v>0</v>
      </c>
      <c r="K4638" t="n">
        <v>0</v>
      </c>
      <c r="L4638" t="n">
        <v>0</v>
      </c>
      <c r="M4638" t="n">
        <v>0</v>
      </c>
      <c r="N4638" t="n">
        <v>0</v>
      </c>
      <c r="O4638" t="n">
        <v>0</v>
      </c>
      <c r="P4638" t="n">
        <v>0</v>
      </c>
      <c r="Q4638" t="n">
        <v>0</v>
      </c>
      <c r="R4638" s="2" t="inlineStr"/>
    </row>
    <row r="4639" ht="15" customHeight="1">
      <c r="A4639" t="inlineStr">
        <is>
          <t>A 4569-2022</t>
        </is>
      </c>
      <c r="B4639" s="1" t="n">
        <v>44591</v>
      </c>
      <c r="C4639" s="1" t="n">
        <v>45182</v>
      </c>
      <c r="D4639" t="inlineStr">
        <is>
          <t>JÄMTLANDS LÄN</t>
        </is>
      </c>
      <c r="E4639" t="inlineStr">
        <is>
          <t>KROKOM</t>
        </is>
      </c>
      <c r="G4639" t="n">
        <v>20.3</v>
      </c>
      <c r="H4639" t="n">
        <v>0</v>
      </c>
      <c r="I4639" t="n">
        <v>0</v>
      </c>
      <c r="J4639" t="n">
        <v>0</v>
      </c>
      <c r="K4639" t="n">
        <v>0</v>
      </c>
      <c r="L4639" t="n">
        <v>0</v>
      </c>
      <c r="M4639" t="n">
        <v>0</v>
      </c>
      <c r="N4639" t="n">
        <v>0</v>
      </c>
      <c r="O4639" t="n">
        <v>0</v>
      </c>
      <c r="P4639" t="n">
        <v>0</v>
      </c>
      <c r="Q4639" t="n">
        <v>0</v>
      </c>
      <c r="R4639" s="2" t="inlineStr"/>
    </row>
    <row r="4640" ht="15" customHeight="1">
      <c r="A4640" t="inlineStr">
        <is>
          <t>A 4858-2022</t>
        </is>
      </c>
      <c r="B4640" s="1" t="n">
        <v>44592</v>
      </c>
      <c r="C4640" s="1" t="n">
        <v>45182</v>
      </c>
      <c r="D4640" t="inlineStr">
        <is>
          <t>JÄMTLANDS LÄN</t>
        </is>
      </c>
      <c r="E4640" t="inlineStr">
        <is>
          <t>STRÖMSUND</t>
        </is>
      </c>
      <c r="F4640" t="inlineStr">
        <is>
          <t>SCA</t>
        </is>
      </c>
      <c r="G4640" t="n">
        <v>4.4</v>
      </c>
      <c r="H4640" t="n">
        <v>0</v>
      </c>
      <c r="I4640" t="n">
        <v>0</v>
      </c>
      <c r="J4640" t="n">
        <v>0</v>
      </c>
      <c r="K4640" t="n">
        <v>0</v>
      </c>
      <c r="L4640" t="n">
        <v>0</v>
      </c>
      <c r="M4640" t="n">
        <v>0</v>
      </c>
      <c r="N4640" t="n">
        <v>0</v>
      </c>
      <c r="O4640" t="n">
        <v>0</v>
      </c>
      <c r="P4640" t="n">
        <v>0</v>
      </c>
      <c r="Q4640" t="n">
        <v>0</v>
      </c>
      <c r="R4640" s="2" t="inlineStr"/>
    </row>
    <row r="4641" ht="15" customHeight="1">
      <c r="A4641" t="inlineStr">
        <is>
          <t>A 4741-2022</t>
        </is>
      </c>
      <c r="B4641" s="1" t="n">
        <v>44592</v>
      </c>
      <c r="C4641" s="1" t="n">
        <v>45182</v>
      </c>
      <c r="D4641" t="inlineStr">
        <is>
          <t>JÄMTLANDS LÄN</t>
        </is>
      </c>
      <c r="E4641" t="inlineStr">
        <is>
          <t>KROKOM</t>
        </is>
      </c>
      <c r="G4641" t="n">
        <v>54.2</v>
      </c>
      <c r="H4641" t="n">
        <v>0</v>
      </c>
      <c r="I4641" t="n">
        <v>0</v>
      </c>
      <c r="J4641" t="n">
        <v>0</v>
      </c>
      <c r="K4641" t="n">
        <v>0</v>
      </c>
      <c r="L4641" t="n">
        <v>0</v>
      </c>
      <c r="M4641" t="n">
        <v>0</v>
      </c>
      <c r="N4641" t="n">
        <v>0</v>
      </c>
      <c r="O4641" t="n">
        <v>0</v>
      </c>
      <c r="P4641" t="n">
        <v>0</v>
      </c>
      <c r="Q4641" t="n">
        <v>0</v>
      </c>
      <c r="R4641" s="2" t="inlineStr"/>
    </row>
    <row r="4642" ht="15" customHeight="1">
      <c r="A4642" t="inlineStr">
        <is>
          <t>A 4878-2022</t>
        </is>
      </c>
      <c r="B4642" s="1" t="n">
        <v>44593</v>
      </c>
      <c r="C4642" s="1" t="n">
        <v>45182</v>
      </c>
      <c r="D4642" t="inlineStr">
        <is>
          <t>JÄMTLANDS LÄN</t>
        </is>
      </c>
      <c r="E4642" t="inlineStr">
        <is>
          <t>RAGUNDA</t>
        </is>
      </c>
      <c r="G4642" t="n">
        <v>21.7</v>
      </c>
      <c r="H4642" t="n">
        <v>0</v>
      </c>
      <c r="I4642" t="n">
        <v>0</v>
      </c>
      <c r="J4642" t="n">
        <v>0</v>
      </c>
      <c r="K4642" t="n">
        <v>0</v>
      </c>
      <c r="L4642" t="n">
        <v>0</v>
      </c>
      <c r="M4642" t="n">
        <v>0</v>
      </c>
      <c r="N4642" t="n">
        <v>0</v>
      </c>
      <c r="O4642" t="n">
        <v>0</v>
      </c>
      <c r="P4642" t="n">
        <v>0</v>
      </c>
      <c r="Q4642" t="n">
        <v>0</v>
      </c>
      <c r="R4642" s="2" t="inlineStr"/>
    </row>
    <row r="4643" ht="15" customHeight="1">
      <c r="A4643" t="inlineStr">
        <is>
          <t>A 4931-2022</t>
        </is>
      </c>
      <c r="B4643" s="1" t="n">
        <v>44593</v>
      </c>
      <c r="C4643" s="1" t="n">
        <v>45182</v>
      </c>
      <c r="D4643" t="inlineStr">
        <is>
          <t>JÄMTLANDS LÄN</t>
        </is>
      </c>
      <c r="E4643" t="inlineStr">
        <is>
          <t>STRÖMSUND</t>
        </is>
      </c>
      <c r="G4643" t="n">
        <v>41.9</v>
      </c>
      <c r="H4643" t="n">
        <v>0</v>
      </c>
      <c r="I4643" t="n">
        <v>0</v>
      </c>
      <c r="J4643" t="n">
        <v>0</v>
      </c>
      <c r="K4643" t="n">
        <v>0</v>
      </c>
      <c r="L4643" t="n">
        <v>0</v>
      </c>
      <c r="M4643" t="n">
        <v>0</v>
      </c>
      <c r="N4643" t="n">
        <v>0</v>
      </c>
      <c r="O4643" t="n">
        <v>0</v>
      </c>
      <c r="P4643" t="n">
        <v>0</v>
      </c>
      <c r="Q4643" t="n">
        <v>0</v>
      </c>
      <c r="R4643" s="2" t="inlineStr"/>
    </row>
    <row r="4644" ht="15" customHeight="1">
      <c r="A4644" t="inlineStr">
        <is>
          <t>A 5160-2022</t>
        </is>
      </c>
      <c r="B4644" s="1" t="n">
        <v>44593</v>
      </c>
      <c r="C4644" s="1" t="n">
        <v>45182</v>
      </c>
      <c r="D4644" t="inlineStr">
        <is>
          <t>JÄMTLANDS LÄN</t>
        </is>
      </c>
      <c r="E4644" t="inlineStr">
        <is>
          <t>ÅRE</t>
        </is>
      </c>
      <c r="G4644" t="n">
        <v>11.4</v>
      </c>
      <c r="H4644" t="n">
        <v>0</v>
      </c>
      <c r="I4644" t="n">
        <v>0</v>
      </c>
      <c r="J4644" t="n">
        <v>0</v>
      </c>
      <c r="K4644" t="n">
        <v>0</v>
      </c>
      <c r="L4644" t="n">
        <v>0</v>
      </c>
      <c r="M4644" t="n">
        <v>0</v>
      </c>
      <c r="N4644" t="n">
        <v>0</v>
      </c>
      <c r="O4644" t="n">
        <v>0</v>
      </c>
      <c r="P4644" t="n">
        <v>0</v>
      </c>
      <c r="Q4644" t="n">
        <v>0</v>
      </c>
      <c r="R4644" s="2" t="inlineStr"/>
    </row>
    <row r="4645" ht="15" customHeight="1">
      <c r="A4645" t="inlineStr">
        <is>
          <t>A 5380-2022</t>
        </is>
      </c>
      <c r="B4645" s="1" t="n">
        <v>44594</v>
      </c>
      <c r="C4645" s="1" t="n">
        <v>45182</v>
      </c>
      <c r="D4645" t="inlineStr">
        <is>
          <t>JÄMTLANDS LÄN</t>
        </is>
      </c>
      <c r="E4645" t="inlineStr">
        <is>
          <t>BRÄCKE</t>
        </is>
      </c>
      <c r="F4645" t="inlineStr">
        <is>
          <t>SCA</t>
        </is>
      </c>
      <c r="G4645" t="n">
        <v>18.3</v>
      </c>
      <c r="H4645" t="n">
        <v>0</v>
      </c>
      <c r="I4645" t="n">
        <v>0</v>
      </c>
      <c r="J4645" t="n">
        <v>0</v>
      </c>
      <c r="K4645" t="n">
        <v>0</v>
      </c>
      <c r="L4645" t="n">
        <v>0</v>
      </c>
      <c r="M4645" t="n">
        <v>0</v>
      </c>
      <c r="N4645" t="n">
        <v>0</v>
      </c>
      <c r="O4645" t="n">
        <v>0</v>
      </c>
      <c r="P4645" t="n">
        <v>0</v>
      </c>
      <c r="Q4645" t="n">
        <v>0</v>
      </c>
      <c r="R4645" s="2" t="inlineStr"/>
      <c r="U4645">
        <f>HYPERLINK("https://klasma.github.io/Logging_BRACKE/knärot/A 5380-2022.png")</f>
        <v/>
      </c>
      <c r="V4645">
        <f>HYPERLINK("https://klasma.github.io/Logging_BRACKE/klagomål/A 5380-2022.docx")</f>
        <v/>
      </c>
      <c r="W4645">
        <f>HYPERLINK("https://klasma.github.io/Logging_BRACKE/klagomålsmail/A 5380-2022.docx")</f>
        <v/>
      </c>
      <c r="X4645">
        <f>HYPERLINK("https://klasma.github.io/Logging_BRACKE/tillsyn/A 5380-2022.docx")</f>
        <v/>
      </c>
      <c r="Y4645">
        <f>HYPERLINK("https://klasma.github.io/Logging_BRACKE/tillsynsmail/A 5380-2022.docx")</f>
        <v/>
      </c>
    </row>
    <row r="4646" ht="15" customHeight="1">
      <c r="A4646" t="inlineStr">
        <is>
          <t>A 5250-2022</t>
        </is>
      </c>
      <c r="B4646" s="1" t="n">
        <v>44594</v>
      </c>
      <c r="C4646" s="1" t="n">
        <v>45182</v>
      </c>
      <c r="D4646" t="inlineStr">
        <is>
          <t>JÄMTLANDS LÄN</t>
        </is>
      </c>
      <c r="E4646" t="inlineStr">
        <is>
          <t>ÅRE</t>
        </is>
      </c>
      <c r="G4646" t="n">
        <v>2.1</v>
      </c>
      <c r="H4646" t="n">
        <v>0</v>
      </c>
      <c r="I4646" t="n">
        <v>0</v>
      </c>
      <c r="J4646" t="n">
        <v>0</v>
      </c>
      <c r="K4646" t="n">
        <v>0</v>
      </c>
      <c r="L4646" t="n">
        <v>0</v>
      </c>
      <c r="M4646" t="n">
        <v>0</v>
      </c>
      <c r="N4646" t="n">
        <v>0</v>
      </c>
      <c r="O4646" t="n">
        <v>0</v>
      </c>
      <c r="P4646" t="n">
        <v>0</v>
      </c>
      <c r="Q4646" t="n">
        <v>0</v>
      </c>
      <c r="R4646" s="2" t="inlineStr"/>
    </row>
    <row r="4647" ht="15" customHeight="1">
      <c r="A4647" t="inlineStr">
        <is>
          <t>A 5145-2022</t>
        </is>
      </c>
      <c r="B4647" s="1" t="n">
        <v>44594</v>
      </c>
      <c r="C4647" s="1" t="n">
        <v>45182</v>
      </c>
      <c r="D4647" t="inlineStr">
        <is>
          <t>JÄMTLANDS LÄN</t>
        </is>
      </c>
      <c r="E4647" t="inlineStr">
        <is>
          <t>ÖSTERSUND</t>
        </is>
      </c>
      <c r="G4647" t="n">
        <v>2.6</v>
      </c>
      <c r="H4647" t="n">
        <v>0</v>
      </c>
      <c r="I4647" t="n">
        <v>0</v>
      </c>
      <c r="J4647" t="n">
        <v>0</v>
      </c>
      <c r="K4647" t="n">
        <v>0</v>
      </c>
      <c r="L4647" t="n">
        <v>0</v>
      </c>
      <c r="M4647" t="n">
        <v>0</v>
      </c>
      <c r="N4647" t="n">
        <v>0</v>
      </c>
      <c r="O4647" t="n">
        <v>0</v>
      </c>
      <c r="P4647" t="n">
        <v>0</v>
      </c>
      <c r="Q4647" t="n">
        <v>0</v>
      </c>
      <c r="R4647" s="2" t="inlineStr"/>
    </row>
    <row r="4648" ht="15" customHeight="1">
      <c r="A4648" t="inlineStr">
        <is>
          <t>A 5515-2022</t>
        </is>
      </c>
      <c r="B4648" s="1" t="n">
        <v>44595</v>
      </c>
      <c r="C4648" s="1" t="n">
        <v>45182</v>
      </c>
      <c r="D4648" t="inlineStr">
        <is>
          <t>JÄMTLANDS LÄN</t>
        </is>
      </c>
      <c r="E4648" t="inlineStr">
        <is>
          <t>RAGUNDA</t>
        </is>
      </c>
      <c r="G4648" t="n">
        <v>1</v>
      </c>
      <c r="H4648" t="n">
        <v>0</v>
      </c>
      <c r="I4648" t="n">
        <v>0</v>
      </c>
      <c r="J4648" t="n">
        <v>0</v>
      </c>
      <c r="K4648" t="n">
        <v>0</v>
      </c>
      <c r="L4648" t="n">
        <v>0</v>
      </c>
      <c r="M4648" t="n">
        <v>0</v>
      </c>
      <c r="N4648" t="n">
        <v>0</v>
      </c>
      <c r="O4648" t="n">
        <v>0</v>
      </c>
      <c r="P4648" t="n">
        <v>0</v>
      </c>
      <c r="Q4648" t="n">
        <v>0</v>
      </c>
      <c r="R4648" s="2" t="inlineStr"/>
    </row>
    <row r="4649" ht="15" customHeight="1">
      <c r="A4649" t="inlineStr">
        <is>
          <t>A 5670-2022</t>
        </is>
      </c>
      <c r="B4649" s="1" t="n">
        <v>44595</v>
      </c>
      <c r="C4649" s="1" t="n">
        <v>45182</v>
      </c>
      <c r="D4649" t="inlineStr">
        <is>
          <t>JÄMTLANDS LÄN</t>
        </is>
      </c>
      <c r="E4649" t="inlineStr">
        <is>
          <t>ÖSTERSUND</t>
        </is>
      </c>
      <c r="G4649" t="n">
        <v>2.7</v>
      </c>
      <c r="H4649" t="n">
        <v>0</v>
      </c>
      <c r="I4649" t="n">
        <v>0</v>
      </c>
      <c r="J4649" t="n">
        <v>0</v>
      </c>
      <c r="K4649" t="n">
        <v>0</v>
      </c>
      <c r="L4649" t="n">
        <v>0</v>
      </c>
      <c r="M4649" t="n">
        <v>0</v>
      </c>
      <c r="N4649" t="n">
        <v>0</v>
      </c>
      <c r="O4649" t="n">
        <v>0</v>
      </c>
      <c r="P4649" t="n">
        <v>0</v>
      </c>
      <c r="Q4649" t="n">
        <v>0</v>
      </c>
      <c r="R4649" s="2" t="inlineStr"/>
    </row>
    <row r="4650" ht="15" customHeight="1">
      <c r="A4650" t="inlineStr">
        <is>
          <t>A 5416-2022</t>
        </is>
      </c>
      <c r="B4650" s="1" t="n">
        <v>44595</v>
      </c>
      <c r="C4650" s="1" t="n">
        <v>45182</v>
      </c>
      <c r="D4650" t="inlineStr">
        <is>
          <t>JÄMTLANDS LÄN</t>
        </is>
      </c>
      <c r="E4650" t="inlineStr">
        <is>
          <t>STRÖMSUND</t>
        </is>
      </c>
      <c r="G4650" t="n">
        <v>1.9</v>
      </c>
      <c r="H4650" t="n">
        <v>0</v>
      </c>
      <c r="I4650" t="n">
        <v>0</v>
      </c>
      <c r="J4650" t="n">
        <v>0</v>
      </c>
      <c r="K4650" t="n">
        <v>0</v>
      </c>
      <c r="L4650" t="n">
        <v>0</v>
      </c>
      <c r="M4650" t="n">
        <v>0</v>
      </c>
      <c r="N4650" t="n">
        <v>0</v>
      </c>
      <c r="O4650" t="n">
        <v>0</v>
      </c>
      <c r="P4650" t="n">
        <v>0</v>
      </c>
      <c r="Q4650" t="n">
        <v>0</v>
      </c>
      <c r="R4650" s="2" t="inlineStr"/>
    </row>
    <row r="4651" ht="15" customHeight="1">
      <c r="A4651" t="inlineStr">
        <is>
          <t>A 5693-2022</t>
        </is>
      </c>
      <c r="B4651" s="1" t="n">
        <v>44596</v>
      </c>
      <c r="C4651" s="1" t="n">
        <v>45182</v>
      </c>
      <c r="D4651" t="inlineStr">
        <is>
          <t>JÄMTLANDS LÄN</t>
        </is>
      </c>
      <c r="E4651" t="inlineStr">
        <is>
          <t>KROKOM</t>
        </is>
      </c>
      <c r="G4651" t="n">
        <v>40.8</v>
      </c>
      <c r="H4651" t="n">
        <v>0</v>
      </c>
      <c r="I4651" t="n">
        <v>0</v>
      </c>
      <c r="J4651" t="n">
        <v>0</v>
      </c>
      <c r="K4651" t="n">
        <v>0</v>
      </c>
      <c r="L4651" t="n">
        <v>0</v>
      </c>
      <c r="M4651" t="n">
        <v>0</v>
      </c>
      <c r="N4651" t="n">
        <v>0</v>
      </c>
      <c r="O4651" t="n">
        <v>0</v>
      </c>
      <c r="P4651" t="n">
        <v>0</v>
      </c>
      <c r="Q4651" t="n">
        <v>0</v>
      </c>
      <c r="R4651" s="2" t="inlineStr"/>
    </row>
    <row r="4652" ht="15" customHeight="1">
      <c r="A4652" t="inlineStr">
        <is>
          <t>A 6150-2022</t>
        </is>
      </c>
      <c r="B4652" s="1" t="n">
        <v>44599</v>
      </c>
      <c r="C4652" s="1" t="n">
        <v>45182</v>
      </c>
      <c r="D4652" t="inlineStr">
        <is>
          <t>JÄMTLANDS LÄN</t>
        </is>
      </c>
      <c r="E4652" t="inlineStr">
        <is>
          <t>STRÖMSUND</t>
        </is>
      </c>
      <c r="G4652" t="n">
        <v>0.9</v>
      </c>
      <c r="H4652" t="n">
        <v>0</v>
      </c>
      <c r="I4652" t="n">
        <v>0</v>
      </c>
      <c r="J4652" t="n">
        <v>0</v>
      </c>
      <c r="K4652" t="n">
        <v>0</v>
      </c>
      <c r="L4652" t="n">
        <v>0</v>
      </c>
      <c r="M4652" t="n">
        <v>0</v>
      </c>
      <c r="N4652" t="n">
        <v>0</v>
      </c>
      <c r="O4652" t="n">
        <v>0</v>
      </c>
      <c r="P4652" t="n">
        <v>0</v>
      </c>
      <c r="Q4652" t="n">
        <v>0</v>
      </c>
      <c r="R4652" s="2" t="inlineStr"/>
    </row>
    <row r="4653" ht="15" customHeight="1">
      <c r="A4653" t="inlineStr">
        <is>
          <t>A 6055-2022</t>
        </is>
      </c>
      <c r="B4653" s="1" t="n">
        <v>44599</v>
      </c>
      <c r="C4653" s="1" t="n">
        <v>45182</v>
      </c>
      <c r="D4653" t="inlineStr">
        <is>
          <t>JÄMTLANDS LÄN</t>
        </is>
      </c>
      <c r="E4653" t="inlineStr">
        <is>
          <t>STRÖMSUND</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6019-2022</t>
        </is>
      </c>
      <c r="B4654" s="1" t="n">
        <v>44599</v>
      </c>
      <c r="C4654" s="1" t="n">
        <v>45182</v>
      </c>
      <c r="D4654" t="inlineStr">
        <is>
          <t>JÄMTLANDS LÄN</t>
        </is>
      </c>
      <c r="E4654" t="inlineStr">
        <is>
          <t>RAGUNDA</t>
        </is>
      </c>
      <c r="G4654" t="n">
        <v>6.5</v>
      </c>
      <c r="H4654" t="n">
        <v>0</v>
      </c>
      <c r="I4654" t="n">
        <v>0</v>
      </c>
      <c r="J4654" t="n">
        <v>0</v>
      </c>
      <c r="K4654" t="n">
        <v>0</v>
      </c>
      <c r="L4654" t="n">
        <v>0</v>
      </c>
      <c r="M4654" t="n">
        <v>0</v>
      </c>
      <c r="N4654" t="n">
        <v>0</v>
      </c>
      <c r="O4654" t="n">
        <v>0</v>
      </c>
      <c r="P4654" t="n">
        <v>0</v>
      </c>
      <c r="Q4654" t="n">
        <v>0</v>
      </c>
      <c r="R4654" s="2" t="inlineStr"/>
    </row>
    <row r="4655" ht="15" customHeight="1">
      <c r="A4655" t="inlineStr">
        <is>
          <t>A 6090-2022</t>
        </is>
      </c>
      <c r="B4655" s="1" t="n">
        <v>44599</v>
      </c>
      <c r="C4655" s="1" t="n">
        <v>45182</v>
      </c>
      <c r="D4655" t="inlineStr">
        <is>
          <t>JÄMTLANDS LÄN</t>
        </is>
      </c>
      <c r="E4655" t="inlineStr">
        <is>
          <t>BERG</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6309-2022</t>
        </is>
      </c>
      <c r="B4656" s="1" t="n">
        <v>44600</v>
      </c>
      <c r="C4656" s="1" t="n">
        <v>45182</v>
      </c>
      <c r="D4656" t="inlineStr">
        <is>
          <t>JÄMTLANDS LÄN</t>
        </is>
      </c>
      <c r="E4656" t="inlineStr">
        <is>
          <t>HÄRJEDALEN</t>
        </is>
      </c>
      <c r="G4656" t="n">
        <v>38.2</v>
      </c>
      <c r="H4656" t="n">
        <v>0</v>
      </c>
      <c r="I4656" t="n">
        <v>0</v>
      </c>
      <c r="J4656" t="n">
        <v>0</v>
      </c>
      <c r="K4656" t="n">
        <v>0</v>
      </c>
      <c r="L4656" t="n">
        <v>0</v>
      </c>
      <c r="M4656" t="n">
        <v>0</v>
      </c>
      <c r="N4656" t="n">
        <v>0</v>
      </c>
      <c r="O4656" t="n">
        <v>0</v>
      </c>
      <c r="P4656" t="n">
        <v>0</v>
      </c>
      <c r="Q4656" t="n">
        <v>0</v>
      </c>
      <c r="R4656" s="2" t="inlineStr"/>
    </row>
    <row r="4657" ht="15" customHeight="1">
      <c r="A4657" t="inlineStr">
        <is>
          <t>A 6208-2022</t>
        </is>
      </c>
      <c r="B4657" s="1" t="n">
        <v>44600</v>
      </c>
      <c r="C4657" s="1" t="n">
        <v>45182</v>
      </c>
      <c r="D4657" t="inlineStr">
        <is>
          <t>JÄMTLANDS LÄN</t>
        </is>
      </c>
      <c r="E4657" t="inlineStr">
        <is>
          <t>HÄRJEDALEN</t>
        </is>
      </c>
      <c r="G4657" t="n">
        <v>1.2</v>
      </c>
      <c r="H4657" t="n">
        <v>0</v>
      </c>
      <c r="I4657" t="n">
        <v>0</v>
      </c>
      <c r="J4657" t="n">
        <v>0</v>
      </c>
      <c r="K4657" t="n">
        <v>0</v>
      </c>
      <c r="L4657" t="n">
        <v>0</v>
      </c>
      <c r="M4657" t="n">
        <v>0</v>
      </c>
      <c r="N4657" t="n">
        <v>0</v>
      </c>
      <c r="O4657" t="n">
        <v>0</v>
      </c>
      <c r="P4657" t="n">
        <v>0</v>
      </c>
      <c r="Q4657" t="n">
        <v>0</v>
      </c>
      <c r="R4657" s="2" t="inlineStr"/>
    </row>
    <row r="4658" ht="15" customHeight="1">
      <c r="A4658" t="inlineStr">
        <is>
          <t>A 6202-2022</t>
        </is>
      </c>
      <c r="B4658" s="1" t="n">
        <v>44600</v>
      </c>
      <c r="C4658" s="1" t="n">
        <v>45182</v>
      </c>
      <c r="D4658" t="inlineStr">
        <is>
          <t>JÄMTLANDS LÄN</t>
        </is>
      </c>
      <c r="E4658" t="inlineStr">
        <is>
          <t>STRÖMSUND</t>
        </is>
      </c>
      <c r="G4658" t="n">
        <v>4.1</v>
      </c>
      <c r="H4658" t="n">
        <v>0</v>
      </c>
      <c r="I4658" t="n">
        <v>0</v>
      </c>
      <c r="J4658" t="n">
        <v>0</v>
      </c>
      <c r="K4658" t="n">
        <v>0</v>
      </c>
      <c r="L4658" t="n">
        <v>0</v>
      </c>
      <c r="M4658" t="n">
        <v>0</v>
      </c>
      <c r="N4658" t="n">
        <v>0</v>
      </c>
      <c r="O4658" t="n">
        <v>0</v>
      </c>
      <c r="P4658" t="n">
        <v>0</v>
      </c>
      <c r="Q4658" t="n">
        <v>0</v>
      </c>
      <c r="R4658" s="2" t="inlineStr"/>
    </row>
    <row r="4659" ht="15" customHeight="1">
      <c r="A4659" t="inlineStr">
        <is>
          <t>A 6312-2022</t>
        </is>
      </c>
      <c r="B4659" s="1" t="n">
        <v>44600</v>
      </c>
      <c r="C4659" s="1" t="n">
        <v>45182</v>
      </c>
      <c r="D4659" t="inlineStr">
        <is>
          <t>JÄMTLANDS LÄN</t>
        </is>
      </c>
      <c r="E4659" t="inlineStr">
        <is>
          <t>HÄRJEDALEN</t>
        </is>
      </c>
      <c r="G4659" t="n">
        <v>18.4</v>
      </c>
      <c r="H4659" t="n">
        <v>0</v>
      </c>
      <c r="I4659" t="n">
        <v>0</v>
      </c>
      <c r="J4659" t="n">
        <v>0</v>
      </c>
      <c r="K4659" t="n">
        <v>0</v>
      </c>
      <c r="L4659" t="n">
        <v>0</v>
      </c>
      <c r="M4659" t="n">
        <v>0</v>
      </c>
      <c r="N4659" t="n">
        <v>0</v>
      </c>
      <c r="O4659" t="n">
        <v>0</v>
      </c>
      <c r="P4659" t="n">
        <v>0</v>
      </c>
      <c r="Q4659" t="n">
        <v>0</v>
      </c>
      <c r="R4659" s="2" t="inlineStr"/>
    </row>
    <row r="4660" ht="15" customHeight="1">
      <c r="A4660" t="inlineStr">
        <is>
          <t>A 6461-2022</t>
        </is>
      </c>
      <c r="B4660" s="1" t="n">
        <v>44601</v>
      </c>
      <c r="C4660" s="1" t="n">
        <v>45182</v>
      </c>
      <c r="D4660" t="inlineStr">
        <is>
          <t>JÄMTLANDS LÄN</t>
        </is>
      </c>
      <c r="E4660" t="inlineStr">
        <is>
          <t>BRÄCKE</t>
        </is>
      </c>
      <c r="G4660" t="n">
        <v>0.9</v>
      </c>
      <c r="H4660" t="n">
        <v>0</v>
      </c>
      <c r="I4660" t="n">
        <v>0</v>
      </c>
      <c r="J4660" t="n">
        <v>0</v>
      </c>
      <c r="K4660" t="n">
        <v>0</v>
      </c>
      <c r="L4660" t="n">
        <v>0</v>
      </c>
      <c r="M4660" t="n">
        <v>0</v>
      </c>
      <c r="N4660" t="n">
        <v>0</v>
      </c>
      <c r="O4660" t="n">
        <v>0</v>
      </c>
      <c r="P4660" t="n">
        <v>0</v>
      </c>
      <c r="Q4660" t="n">
        <v>0</v>
      </c>
      <c r="R4660" s="2" t="inlineStr"/>
    </row>
    <row r="4661" ht="15" customHeight="1">
      <c r="A4661" t="inlineStr">
        <is>
          <t>A 6492-2022</t>
        </is>
      </c>
      <c r="B4661" s="1" t="n">
        <v>44601</v>
      </c>
      <c r="C4661" s="1" t="n">
        <v>45182</v>
      </c>
      <c r="D4661" t="inlineStr">
        <is>
          <t>JÄMTLANDS LÄN</t>
        </is>
      </c>
      <c r="E4661" t="inlineStr">
        <is>
          <t>RAGUNDA</t>
        </is>
      </c>
      <c r="G4661" t="n">
        <v>0.8</v>
      </c>
      <c r="H4661" t="n">
        <v>0</v>
      </c>
      <c r="I4661" t="n">
        <v>0</v>
      </c>
      <c r="J4661" t="n">
        <v>0</v>
      </c>
      <c r="K4661" t="n">
        <v>0</v>
      </c>
      <c r="L4661" t="n">
        <v>0</v>
      </c>
      <c r="M4661" t="n">
        <v>0</v>
      </c>
      <c r="N4661" t="n">
        <v>0</v>
      </c>
      <c r="O4661" t="n">
        <v>0</v>
      </c>
      <c r="P4661" t="n">
        <v>0</v>
      </c>
      <c r="Q4661" t="n">
        <v>0</v>
      </c>
      <c r="R4661" s="2" t="inlineStr"/>
    </row>
    <row r="4662" ht="15" customHeight="1">
      <c r="A4662" t="inlineStr">
        <is>
          <t>A 6460-2022</t>
        </is>
      </c>
      <c r="B4662" s="1" t="n">
        <v>44601</v>
      </c>
      <c r="C4662" s="1" t="n">
        <v>45182</v>
      </c>
      <c r="D4662" t="inlineStr">
        <is>
          <t>JÄMTLANDS LÄN</t>
        </is>
      </c>
      <c r="E4662" t="inlineStr">
        <is>
          <t>BRÄCKE</t>
        </is>
      </c>
      <c r="G4662" t="n">
        <v>1.6</v>
      </c>
      <c r="H4662" t="n">
        <v>0</v>
      </c>
      <c r="I4662" t="n">
        <v>0</v>
      </c>
      <c r="J4662" t="n">
        <v>0</v>
      </c>
      <c r="K4662" t="n">
        <v>0</v>
      </c>
      <c r="L4662" t="n">
        <v>0</v>
      </c>
      <c r="M4662" t="n">
        <v>0</v>
      </c>
      <c r="N4662" t="n">
        <v>0</v>
      </c>
      <c r="O4662" t="n">
        <v>0</v>
      </c>
      <c r="P4662" t="n">
        <v>0</v>
      </c>
      <c r="Q4662" t="n">
        <v>0</v>
      </c>
      <c r="R4662" s="2" t="inlineStr"/>
    </row>
    <row r="4663" ht="15" customHeight="1">
      <c r="A4663" t="inlineStr">
        <is>
          <t>A 6648-2022</t>
        </is>
      </c>
      <c r="B4663" s="1" t="n">
        <v>44601</v>
      </c>
      <c r="C4663" s="1" t="n">
        <v>45182</v>
      </c>
      <c r="D4663" t="inlineStr">
        <is>
          <t>JÄMTLANDS LÄN</t>
        </is>
      </c>
      <c r="E4663" t="inlineStr">
        <is>
          <t>BRÄCKE</t>
        </is>
      </c>
      <c r="F4663" t="inlineStr">
        <is>
          <t>SCA</t>
        </is>
      </c>
      <c r="G4663" t="n">
        <v>0.8</v>
      </c>
      <c r="H4663" t="n">
        <v>0</v>
      </c>
      <c r="I4663" t="n">
        <v>0</v>
      </c>
      <c r="J4663" t="n">
        <v>0</v>
      </c>
      <c r="K4663" t="n">
        <v>0</v>
      </c>
      <c r="L4663" t="n">
        <v>0</v>
      </c>
      <c r="M4663" t="n">
        <v>0</v>
      </c>
      <c r="N4663" t="n">
        <v>0</v>
      </c>
      <c r="O4663" t="n">
        <v>0</v>
      </c>
      <c r="P4663" t="n">
        <v>0</v>
      </c>
      <c r="Q4663" t="n">
        <v>0</v>
      </c>
      <c r="R4663" s="2" t="inlineStr"/>
    </row>
    <row r="4664" ht="15" customHeight="1">
      <c r="A4664" t="inlineStr">
        <is>
          <t>A 6490-2022</t>
        </is>
      </c>
      <c r="B4664" s="1" t="n">
        <v>44601</v>
      </c>
      <c r="C4664" s="1" t="n">
        <v>45182</v>
      </c>
      <c r="D4664" t="inlineStr">
        <is>
          <t>JÄMTLANDS LÄN</t>
        </is>
      </c>
      <c r="E4664" t="inlineStr">
        <is>
          <t>RAGUNDA</t>
        </is>
      </c>
      <c r="G4664" t="n">
        <v>3.8</v>
      </c>
      <c r="H4664" t="n">
        <v>0</v>
      </c>
      <c r="I4664" t="n">
        <v>0</v>
      </c>
      <c r="J4664" t="n">
        <v>0</v>
      </c>
      <c r="K4664" t="n">
        <v>0</v>
      </c>
      <c r="L4664" t="n">
        <v>0</v>
      </c>
      <c r="M4664" t="n">
        <v>0</v>
      </c>
      <c r="N4664" t="n">
        <v>0</v>
      </c>
      <c r="O4664" t="n">
        <v>0</v>
      </c>
      <c r="P4664" t="n">
        <v>0</v>
      </c>
      <c r="Q4664" t="n">
        <v>0</v>
      </c>
      <c r="R4664" s="2" t="inlineStr"/>
    </row>
    <row r="4665" ht="15" customHeight="1">
      <c r="A4665" t="inlineStr">
        <is>
          <t>A 6552-2022</t>
        </is>
      </c>
      <c r="B4665" s="1" t="n">
        <v>44601</v>
      </c>
      <c r="C4665" s="1" t="n">
        <v>45182</v>
      </c>
      <c r="D4665" t="inlineStr">
        <is>
          <t>JÄMTLANDS LÄN</t>
        </is>
      </c>
      <c r="E4665" t="inlineStr">
        <is>
          <t>RAGUNDA</t>
        </is>
      </c>
      <c r="G4665" t="n">
        <v>0.6</v>
      </c>
      <c r="H4665" t="n">
        <v>0</v>
      </c>
      <c r="I4665" t="n">
        <v>0</v>
      </c>
      <c r="J4665" t="n">
        <v>0</v>
      </c>
      <c r="K4665" t="n">
        <v>0</v>
      </c>
      <c r="L4665" t="n">
        <v>0</v>
      </c>
      <c r="M4665" t="n">
        <v>0</v>
      </c>
      <c r="N4665" t="n">
        <v>0</v>
      </c>
      <c r="O4665" t="n">
        <v>0</v>
      </c>
      <c r="P4665" t="n">
        <v>0</v>
      </c>
      <c r="Q4665" t="n">
        <v>0</v>
      </c>
      <c r="R4665" s="2" t="inlineStr"/>
    </row>
    <row r="4666" ht="15" customHeight="1">
      <c r="A4666" t="inlineStr">
        <is>
          <t>A 6919-2022</t>
        </is>
      </c>
      <c r="B4666" s="1" t="n">
        <v>44602</v>
      </c>
      <c r="C4666" s="1" t="n">
        <v>45182</v>
      </c>
      <c r="D4666" t="inlineStr">
        <is>
          <t>JÄMTLANDS LÄN</t>
        </is>
      </c>
      <c r="E4666" t="inlineStr">
        <is>
          <t>BERG</t>
        </is>
      </c>
      <c r="F4666" t="inlineStr">
        <is>
          <t>SCA</t>
        </is>
      </c>
      <c r="G4666" t="n">
        <v>5</v>
      </c>
      <c r="H4666" t="n">
        <v>0</v>
      </c>
      <c r="I4666" t="n">
        <v>0</v>
      </c>
      <c r="J4666" t="n">
        <v>0</v>
      </c>
      <c r="K4666" t="n">
        <v>0</v>
      </c>
      <c r="L4666" t="n">
        <v>0</v>
      </c>
      <c r="M4666" t="n">
        <v>0</v>
      </c>
      <c r="N4666" t="n">
        <v>0</v>
      </c>
      <c r="O4666" t="n">
        <v>0</v>
      </c>
      <c r="P4666" t="n">
        <v>0</v>
      </c>
      <c r="Q4666" t="n">
        <v>0</v>
      </c>
      <c r="R4666" s="2" t="inlineStr"/>
    </row>
    <row r="4667" ht="15" customHeight="1">
      <c r="A4667" t="inlineStr">
        <is>
          <t>A 6935-2022</t>
        </is>
      </c>
      <c r="B4667" s="1" t="n">
        <v>44603</v>
      </c>
      <c r="C4667" s="1" t="n">
        <v>45182</v>
      </c>
      <c r="D4667" t="inlineStr">
        <is>
          <t>JÄMTLANDS LÄN</t>
        </is>
      </c>
      <c r="E4667" t="inlineStr">
        <is>
          <t>HÄRJEDALEN</t>
        </is>
      </c>
      <c r="F4667" t="inlineStr">
        <is>
          <t>Holmen skog AB</t>
        </is>
      </c>
      <c r="G4667" t="n">
        <v>4</v>
      </c>
      <c r="H4667" t="n">
        <v>0</v>
      </c>
      <c r="I4667" t="n">
        <v>0</v>
      </c>
      <c r="J4667" t="n">
        <v>0</v>
      </c>
      <c r="K4667" t="n">
        <v>0</v>
      </c>
      <c r="L4667" t="n">
        <v>0</v>
      </c>
      <c r="M4667" t="n">
        <v>0</v>
      </c>
      <c r="N4667" t="n">
        <v>0</v>
      </c>
      <c r="O4667" t="n">
        <v>0</v>
      </c>
      <c r="P4667" t="n">
        <v>0</v>
      </c>
      <c r="Q4667" t="n">
        <v>0</v>
      </c>
      <c r="R4667" s="2" t="inlineStr"/>
    </row>
    <row r="4668" ht="15" customHeight="1">
      <c r="A4668" t="inlineStr">
        <is>
          <t>A 6948-2022</t>
        </is>
      </c>
      <c r="B4668" s="1" t="n">
        <v>44603</v>
      </c>
      <c r="C4668" s="1" t="n">
        <v>45182</v>
      </c>
      <c r="D4668" t="inlineStr">
        <is>
          <t>JÄMTLANDS LÄN</t>
        </is>
      </c>
      <c r="E4668" t="inlineStr">
        <is>
          <t>HÄRJEDALEN</t>
        </is>
      </c>
      <c r="F4668" t="inlineStr">
        <is>
          <t>Holmen skog AB</t>
        </is>
      </c>
      <c r="G4668" t="n">
        <v>29.9</v>
      </c>
      <c r="H4668" t="n">
        <v>0</v>
      </c>
      <c r="I4668" t="n">
        <v>0</v>
      </c>
      <c r="J4668" t="n">
        <v>0</v>
      </c>
      <c r="K4668" t="n">
        <v>0</v>
      </c>
      <c r="L4668" t="n">
        <v>0</v>
      </c>
      <c r="M4668" t="n">
        <v>0</v>
      </c>
      <c r="N4668" t="n">
        <v>0</v>
      </c>
      <c r="O4668" t="n">
        <v>0</v>
      </c>
      <c r="P4668" t="n">
        <v>0</v>
      </c>
      <c r="Q4668" t="n">
        <v>0</v>
      </c>
      <c r="R4668" s="2" t="inlineStr"/>
    </row>
    <row r="4669" ht="15" customHeight="1">
      <c r="A4669" t="inlineStr">
        <is>
          <t>A 6941-2022</t>
        </is>
      </c>
      <c r="B4669" s="1" t="n">
        <v>44603</v>
      </c>
      <c r="C4669" s="1" t="n">
        <v>45182</v>
      </c>
      <c r="D4669" t="inlineStr">
        <is>
          <t>JÄMTLANDS LÄN</t>
        </is>
      </c>
      <c r="E4669" t="inlineStr">
        <is>
          <t>HÄRJEDALEN</t>
        </is>
      </c>
      <c r="F4669" t="inlineStr">
        <is>
          <t>Holmen skog AB</t>
        </is>
      </c>
      <c r="G4669" t="n">
        <v>2.7</v>
      </c>
      <c r="H4669" t="n">
        <v>0</v>
      </c>
      <c r="I4669" t="n">
        <v>0</v>
      </c>
      <c r="J4669" t="n">
        <v>0</v>
      </c>
      <c r="K4669" t="n">
        <v>0</v>
      </c>
      <c r="L4669" t="n">
        <v>0</v>
      </c>
      <c r="M4669" t="n">
        <v>0</v>
      </c>
      <c r="N4669" t="n">
        <v>0</v>
      </c>
      <c r="O4669" t="n">
        <v>0</v>
      </c>
      <c r="P4669" t="n">
        <v>0</v>
      </c>
      <c r="Q4669" t="n">
        <v>0</v>
      </c>
      <c r="R4669" s="2" t="inlineStr"/>
    </row>
    <row r="4670" ht="15" customHeight="1">
      <c r="A4670" t="inlineStr">
        <is>
          <t>A 7023-2022</t>
        </is>
      </c>
      <c r="B4670" s="1" t="n">
        <v>44603</v>
      </c>
      <c r="C4670" s="1" t="n">
        <v>45182</v>
      </c>
      <c r="D4670" t="inlineStr">
        <is>
          <t>JÄMTLANDS LÄN</t>
        </is>
      </c>
      <c r="E4670" t="inlineStr">
        <is>
          <t>STRÖMSUND</t>
        </is>
      </c>
      <c r="G4670" t="n">
        <v>11.6</v>
      </c>
      <c r="H4670" t="n">
        <v>0</v>
      </c>
      <c r="I4670" t="n">
        <v>0</v>
      </c>
      <c r="J4670" t="n">
        <v>0</v>
      </c>
      <c r="K4670" t="n">
        <v>0</v>
      </c>
      <c r="L4670" t="n">
        <v>0</v>
      </c>
      <c r="M4670" t="n">
        <v>0</v>
      </c>
      <c r="N4670" t="n">
        <v>0</v>
      </c>
      <c r="O4670" t="n">
        <v>0</v>
      </c>
      <c r="P4670" t="n">
        <v>0</v>
      </c>
      <c r="Q4670" t="n">
        <v>0</v>
      </c>
      <c r="R4670" s="2" t="inlineStr"/>
    </row>
    <row r="4671" ht="15" customHeight="1">
      <c r="A4671" t="inlineStr">
        <is>
          <t>A 6938-2022</t>
        </is>
      </c>
      <c r="B4671" s="1" t="n">
        <v>44603</v>
      </c>
      <c r="C4671" s="1" t="n">
        <v>45182</v>
      </c>
      <c r="D4671" t="inlineStr">
        <is>
          <t>JÄMTLANDS LÄN</t>
        </is>
      </c>
      <c r="E4671" t="inlineStr">
        <is>
          <t>HÄRJEDALEN</t>
        </is>
      </c>
      <c r="F4671" t="inlineStr">
        <is>
          <t>Holmen skog AB</t>
        </is>
      </c>
      <c r="G4671" t="n">
        <v>4.3</v>
      </c>
      <c r="H4671" t="n">
        <v>0</v>
      </c>
      <c r="I4671" t="n">
        <v>0</v>
      </c>
      <c r="J4671" t="n">
        <v>0</v>
      </c>
      <c r="K4671" t="n">
        <v>0</v>
      </c>
      <c r="L4671" t="n">
        <v>0</v>
      </c>
      <c r="M4671" t="n">
        <v>0</v>
      </c>
      <c r="N4671" t="n">
        <v>0</v>
      </c>
      <c r="O4671" t="n">
        <v>0</v>
      </c>
      <c r="P4671" t="n">
        <v>0</v>
      </c>
      <c r="Q4671" t="n">
        <v>0</v>
      </c>
      <c r="R4671" s="2" t="inlineStr"/>
    </row>
    <row r="4672" ht="15" customHeight="1">
      <c r="A4672" t="inlineStr">
        <is>
          <t>A 6946-2022</t>
        </is>
      </c>
      <c r="B4672" s="1" t="n">
        <v>44603</v>
      </c>
      <c r="C4672" s="1" t="n">
        <v>45182</v>
      </c>
      <c r="D4672" t="inlineStr">
        <is>
          <t>JÄMTLANDS LÄN</t>
        </is>
      </c>
      <c r="E4672" t="inlineStr">
        <is>
          <t>HÄRJEDALEN</t>
        </is>
      </c>
      <c r="F4672" t="inlineStr">
        <is>
          <t>Holmen skog AB</t>
        </is>
      </c>
      <c r="G4672" t="n">
        <v>0.5</v>
      </c>
      <c r="H4672" t="n">
        <v>0</v>
      </c>
      <c r="I4672" t="n">
        <v>0</v>
      </c>
      <c r="J4672" t="n">
        <v>0</v>
      </c>
      <c r="K4672" t="n">
        <v>0</v>
      </c>
      <c r="L4672" t="n">
        <v>0</v>
      </c>
      <c r="M4672" t="n">
        <v>0</v>
      </c>
      <c r="N4672" t="n">
        <v>0</v>
      </c>
      <c r="O4672" t="n">
        <v>0</v>
      </c>
      <c r="P4672" t="n">
        <v>0</v>
      </c>
      <c r="Q4672" t="n">
        <v>0</v>
      </c>
      <c r="R4672" s="2" t="inlineStr"/>
    </row>
    <row r="4673" ht="15" customHeight="1">
      <c r="A4673" t="inlineStr">
        <is>
          <t>A 7260-2022</t>
        </is>
      </c>
      <c r="B4673" s="1" t="n">
        <v>44606</v>
      </c>
      <c r="C4673" s="1" t="n">
        <v>45182</v>
      </c>
      <c r="D4673" t="inlineStr">
        <is>
          <t>JÄMTLANDS LÄN</t>
        </is>
      </c>
      <c r="E4673" t="inlineStr">
        <is>
          <t>STRÖMSUND</t>
        </is>
      </c>
      <c r="F4673" t="inlineStr">
        <is>
          <t>SCA</t>
        </is>
      </c>
      <c r="G4673" t="n">
        <v>76.40000000000001</v>
      </c>
      <c r="H4673" t="n">
        <v>0</v>
      </c>
      <c r="I4673" t="n">
        <v>0</v>
      </c>
      <c r="J4673" t="n">
        <v>0</v>
      </c>
      <c r="K4673" t="n">
        <v>0</v>
      </c>
      <c r="L4673" t="n">
        <v>0</v>
      </c>
      <c r="M4673" t="n">
        <v>0</v>
      </c>
      <c r="N4673" t="n">
        <v>0</v>
      </c>
      <c r="O4673" t="n">
        <v>0</v>
      </c>
      <c r="P4673" t="n">
        <v>0</v>
      </c>
      <c r="Q4673" t="n">
        <v>0</v>
      </c>
      <c r="R4673" s="2" t="inlineStr"/>
    </row>
    <row r="4674" ht="15" customHeight="1">
      <c r="A4674" t="inlineStr">
        <is>
          <t>A 7482-2022</t>
        </is>
      </c>
      <c r="B4674" s="1" t="n">
        <v>44606</v>
      </c>
      <c r="C4674" s="1" t="n">
        <v>45182</v>
      </c>
      <c r="D4674" t="inlineStr">
        <is>
          <t>JÄMTLANDS LÄN</t>
        </is>
      </c>
      <c r="E4674" t="inlineStr">
        <is>
          <t>BERG</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7448-2022</t>
        </is>
      </c>
      <c r="B4675" s="1" t="n">
        <v>44606</v>
      </c>
      <c r="C4675" s="1" t="n">
        <v>45182</v>
      </c>
      <c r="D4675" t="inlineStr">
        <is>
          <t>JÄMTLANDS LÄN</t>
        </is>
      </c>
      <c r="E4675" t="inlineStr">
        <is>
          <t>RAGUNDA</t>
        </is>
      </c>
      <c r="G4675" t="n">
        <v>2.6</v>
      </c>
      <c r="H4675" t="n">
        <v>0</v>
      </c>
      <c r="I4675" t="n">
        <v>0</v>
      </c>
      <c r="J4675" t="n">
        <v>0</v>
      </c>
      <c r="K4675" t="n">
        <v>0</v>
      </c>
      <c r="L4675" t="n">
        <v>0</v>
      </c>
      <c r="M4675" t="n">
        <v>0</v>
      </c>
      <c r="N4675" t="n">
        <v>0</v>
      </c>
      <c r="O4675" t="n">
        <v>0</v>
      </c>
      <c r="P4675" t="n">
        <v>0</v>
      </c>
      <c r="Q4675" t="n">
        <v>0</v>
      </c>
      <c r="R4675" s="2" t="inlineStr"/>
    </row>
    <row r="4676" ht="15" customHeight="1">
      <c r="A4676" t="inlineStr">
        <is>
          <t>A 7447-2022</t>
        </is>
      </c>
      <c r="B4676" s="1" t="n">
        <v>44606</v>
      </c>
      <c r="C4676" s="1" t="n">
        <v>45182</v>
      </c>
      <c r="D4676" t="inlineStr">
        <is>
          <t>JÄMTLANDS LÄN</t>
        </is>
      </c>
      <c r="E4676" t="inlineStr">
        <is>
          <t>BERG</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7573-2022</t>
        </is>
      </c>
      <c r="B4677" s="1" t="n">
        <v>44607</v>
      </c>
      <c r="C4677" s="1" t="n">
        <v>45182</v>
      </c>
      <c r="D4677" t="inlineStr">
        <is>
          <t>JÄMTLANDS LÄN</t>
        </is>
      </c>
      <c r="E4677" t="inlineStr">
        <is>
          <t>ÖSTERSUND</t>
        </is>
      </c>
      <c r="G4677" t="n">
        <v>0.5</v>
      </c>
      <c r="H4677" t="n">
        <v>0</v>
      </c>
      <c r="I4677" t="n">
        <v>0</v>
      </c>
      <c r="J4677" t="n">
        <v>0</v>
      </c>
      <c r="K4677" t="n">
        <v>0</v>
      </c>
      <c r="L4677" t="n">
        <v>0</v>
      </c>
      <c r="M4677" t="n">
        <v>0</v>
      </c>
      <c r="N4677" t="n">
        <v>0</v>
      </c>
      <c r="O4677" t="n">
        <v>0</v>
      </c>
      <c r="P4677" t="n">
        <v>0</v>
      </c>
      <c r="Q4677" t="n">
        <v>0</v>
      </c>
      <c r="R4677" s="2" t="inlineStr"/>
    </row>
    <row r="4678" ht="15" customHeight="1">
      <c r="A4678" t="inlineStr">
        <is>
          <t>A 8231-2022</t>
        </is>
      </c>
      <c r="B4678" s="1" t="n">
        <v>44609</v>
      </c>
      <c r="C4678" s="1" t="n">
        <v>45182</v>
      </c>
      <c r="D4678" t="inlineStr">
        <is>
          <t>JÄMTLANDS LÄN</t>
        </is>
      </c>
      <c r="E4678" t="inlineStr">
        <is>
          <t>RAGUNDA</t>
        </is>
      </c>
      <c r="F4678" t="inlineStr">
        <is>
          <t>SCA</t>
        </is>
      </c>
      <c r="G4678" t="n">
        <v>24.1</v>
      </c>
      <c r="H4678" t="n">
        <v>0</v>
      </c>
      <c r="I4678" t="n">
        <v>0</v>
      </c>
      <c r="J4678" t="n">
        <v>0</v>
      </c>
      <c r="K4678" t="n">
        <v>0</v>
      </c>
      <c r="L4678" t="n">
        <v>0</v>
      </c>
      <c r="M4678" t="n">
        <v>0</v>
      </c>
      <c r="N4678" t="n">
        <v>0</v>
      </c>
      <c r="O4678" t="n">
        <v>0</v>
      </c>
      <c r="P4678" t="n">
        <v>0</v>
      </c>
      <c r="Q4678" t="n">
        <v>0</v>
      </c>
      <c r="R4678" s="2" t="inlineStr"/>
    </row>
    <row r="4679" ht="15" customHeight="1">
      <c r="A4679" t="inlineStr">
        <is>
          <t>A 8052-2022</t>
        </is>
      </c>
      <c r="B4679" s="1" t="n">
        <v>44609</v>
      </c>
      <c r="C4679" s="1" t="n">
        <v>45182</v>
      </c>
      <c r="D4679" t="inlineStr">
        <is>
          <t>JÄMTLANDS LÄN</t>
        </is>
      </c>
      <c r="E4679" t="inlineStr">
        <is>
          <t>BRÄCKE</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8066-2022</t>
        </is>
      </c>
      <c r="B4680" s="1" t="n">
        <v>44609</v>
      </c>
      <c r="C4680" s="1" t="n">
        <v>45182</v>
      </c>
      <c r="D4680" t="inlineStr">
        <is>
          <t>JÄMTLANDS LÄN</t>
        </is>
      </c>
      <c r="E4680" t="inlineStr">
        <is>
          <t>STRÖMSUND</t>
        </is>
      </c>
      <c r="G4680" t="n">
        <v>11.9</v>
      </c>
      <c r="H4680" t="n">
        <v>0</v>
      </c>
      <c r="I4680" t="n">
        <v>0</v>
      </c>
      <c r="J4680" t="n">
        <v>0</v>
      </c>
      <c r="K4680" t="n">
        <v>0</v>
      </c>
      <c r="L4680" t="n">
        <v>0</v>
      </c>
      <c r="M4680" t="n">
        <v>0</v>
      </c>
      <c r="N4680" t="n">
        <v>0</v>
      </c>
      <c r="O4680" t="n">
        <v>0</v>
      </c>
      <c r="P4680" t="n">
        <v>0</v>
      </c>
      <c r="Q4680" t="n">
        <v>0</v>
      </c>
      <c r="R4680" s="2" t="inlineStr"/>
    </row>
    <row r="4681" ht="15" customHeight="1">
      <c r="A4681" t="inlineStr">
        <is>
          <t>A 8027-2022</t>
        </is>
      </c>
      <c r="B4681" s="1" t="n">
        <v>44609</v>
      </c>
      <c r="C4681" s="1" t="n">
        <v>45182</v>
      </c>
      <c r="D4681" t="inlineStr">
        <is>
          <t>JÄMTLANDS LÄN</t>
        </is>
      </c>
      <c r="E4681" t="inlineStr">
        <is>
          <t>ÖSTERSUND</t>
        </is>
      </c>
      <c r="G4681" t="n">
        <v>1.6</v>
      </c>
      <c r="H4681" t="n">
        <v>0</v>
      </c>
      <c r="I4681" t="n">
        <v>0</v>
      </c>
      <c r="J4681" t="n">
        <v>0</v>
      </c>
      <c r="K4681" t="n">
        <v>0</v>
      </c>
      <c r="L4681" t="n">
        <v>0</v>
      </c>
      <c r="M4681" t="n">
        <v>0</v>
      </c>
      <c r="N4681" t="n">
        <v>0</v>
      </c>
      <c r="O4681" t="n">
        <v>0</v>
      </c>
      <c r="P4681" t="n">
        <v>0</v>
      </c>
      <c r="Q4681" t="n">
        <v>0</v>
      </c>
      <c r="R4681" s="2" t="inlineStr"/>
    </row>
    <row r="4682" ht="15" customHeight="1">
      <c r="A4682" t="inlineStr">
        <is>
          <t>A 8230-2022</t>
        </is>
      </c>
      <c r="B4682" s="1" t="n">
        <v>44609</v>
      </c>
      <c r="C4682" s="1" t="n">
        <v>45182</v>
      </c>
      <c r="D4682" t="inlineStr">
        <is>
          <t>JÄMTLANDS LÄN</t>
        </is>
      </c>
      <c r="E4682" t="inlineStr">
        <is>
          <t>KROKOM</t>
        </is>
      </c>
      <c r="F4682" t="inlineStr">
        <is>
          <t>SCA</t>
        </is>
      </c>
      <c r="G4682" t="n">
        <v>11.3</v>
      </c>
      <c r="H4682" t="n">
        <v>0</v>
      </c>
      <c r="I4682" t="n">
        <v>0</v>
      </c>
      <c r="J4682" t="n">
        <v>0</v>
      </c>
      <c r="K4682" t="n">
        <v>0</v>
      </c>
      <c r="L4682" t="n">
        <v>0</v>
      </c>
      <c r="M4682" t="n">
        <v>0</v>
      </c>
      <c r="N4682" t="n">
        <v>0</v>
      </c>
      <c r="O4682" t="n">
        <v>0</v>
      </c>
      <c r="P4682" t="n">
        <v>0</v>
      </c>
      <c r="Q4682" t="n">
        <v>0</v>
      </c>
      <c r="R4682" s="2" t="inlineStr"/>
    </row>
    <row r="4683" ht="15" customHeight="1">
      <c r="A4683" t="inlineStr">
        <is>
          <t>A 8239-2022</t>
        </is>
      </c>
      <c r="B4683" s="1" t="n">
        <v>44609</v>
      </c>
      <c r="C4683" s="1" t="n">
        <v>45182</v>
      </c>
      <c r="D4683" t="inlineStr">
        <is>
          <t>JÄMTLANDS LÄN</t>
        </is>
      </c>
      <c r="E4683" t="inlineStr">
        <is>
          <t>STRÖMSUND</t>
        </is>
      </c>
      <c r="F4683" t="inlineStr">
        <is>
          <t>SCA</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8388-2022</t>
        </is>
      </c>
      <c r="B4684" s="1" t="n">
        <v>44610</v>
      </c>
      <c r="C4684" s="1" t="n">
        <v>45182</v>
      </c>
      <c r="D4684" t="inlineStr">
        <is>
          <t>JÄMTLANDS LÄN</t>
        </is>
      </c>
      <c r="E4684" t="inlineStr">
        <is>
          <t>BERG</t>
        </is>
      </c>
      <c r="G4684" t="n">
        <v>2.6</v>
      </c>
      <c r="H4684" t="n">
        <v>0</v>
      </c>
      <c r="I4684" t="n">
        <v>0</v>
      </c>
      <c r="J4684" t="n">
        <v>0</v>
      </c>
      <c r="K4684" t="n">
        <v>0</v>
      </c>
      <c r="L4684" t="n">
        <v>0</v>
      </c>
      <c r="M4684" t="n">
        <v>0</v>
      </c>
      <c r="N4684" t="n">
        <v>0</v>
      </c>
      <c r="O4684" t="n">
        <v>0</v>
      </c>
      <c r="P4684" t="n">
        <v>0</v>
      </c>
      <c r="Q4684" t="n">
        <v>0</v>
      </c>
      <c r="R4684" s="2" t="inlineStr"/>
    </row>
    <row r="4685" ht="15" customHeight="1">
      <c r="A4685" t="inlineStr">
        <is>
          <t>A 8422-2022</t>
        </is>
      </c>
      <c r="B4685" s="1" t="n">
        <v>44610</v>
      </c>
      <c r="C4685" s="1" t="n">
        <v>45182</v>
      </c>
      <c r="D4685" t="inlineStr">
        <is>
          <t>JÄMTLANDS LÄN</t>
        </is>
      </c>
      <c r="E4685" t="inlineStr">
        <is>
          <t>BRÄCKE</t>
        </is>
      </c>
      <c r="F4685" t="inlineStr">
        <is>
          <t>SCA</t>
        </is>
      </c>
      <c r="G4685" t="n">
        <v>0.5</v>
      </c>
      <c r="H4685" t="n">
        <v>0</v>
      </c>
      <c r="I4685" t="n">
        <v>0</v>
      </c>
      <c r="J4685" t="n">
        <v>0</v>
      </c>
      <c r="K4685" t="n">
        <v>0</v>
      </c>
      <c r="L4685" t="n">
        <v>0</v>
      </c>
      <c r="M4685" t="n">
        <v>0</v>
      </c>
      <c r="N4685" t="n">
        <v>0</v>
      </c>
      <c r="O4685" t="n">
        <v>0</v>
      </c>
      <c r="P4685" t="n">
        <v>0</v>
      </c>
      <c r="Q4685" t="n">
        <v>0</v>
      </c>
      <c r="R4685" s="2" t="inlineStr"/>
    </row>
    <row r="4686" ht="15" customHeight="1">
      <c r="A4686" t="inlineStr">
        <is>
          <t>A 8569-2022</t>
        </is>
      </c>
      <c r="B4686" s="1" t="n">
        <v>44610</v>
      </c>
      <c r="C4686" s="1" t="n">
        <v>45182</v>
      </c>
      <c r="D4686" t="inlineStr">
        <is>
          <t>JÄMTLANDS LÄN</t>
        </is>
      </c>
      <c r="E4686" t="inlineStr">
        <is>
          <t>KROKOM</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8368-2022</t>
        </is>
      </c>
      <c r="B4687" s="1" t="n">
        <v>44610</v>
      </c>
      <c r="C4687" s="1" t="n">
        <v>45182</v>
      </c>
      <c r="D4687" t="inlineStr">
        <is>
          <t>JÄMTLANDS LÄN</t>
        </is>
      </c>
      <c r="E4687" t="inlineStr">
        <is>
          <t>HÄRJEDALEN</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8559-2022</t>
        </is>
      </c>
      <c r="B4688" s="1" t="n">
        <v>44610</v>
      </c>
      <c r="C4688" s="1" t="n">
        <v>45182</v>
      </c>
      <c r="D4688" t="inlineStr">
        <is>
          <t>JÄMTLANDS LÄN</t>
        </is>
      </c>
      <c r="E4688" t="inlineStr">
        <is>
          <t>KROKOM</t>
        </is>
      </c>
      <c r="G4688" t="n">
        <v>0.5</v>
      </c>
      <c r="H4688" t="n">
        <v>0</v>
      </c>
      <c r="I4688" t="n">
        <v>0</v>
      </c>
      <c r="J4688" t="n">
        <v>0</v>
      </c>
      <c r="K4688" t="n">
        <v>0</v>
      </c>
      <c r="L4688" t="n">
        <v>0</v>
      </c>
      <c r="M4688" t="n">
        <v>0</v>
      </c>
      <c r="N4688" t="n">
        <v>0</v>
      </c>
      <c r="O4688" t="n">
        <v>0</v>
      </c>
      <c r="P4688" t="n">
        <v>0</v>
      </c>
      <c r="Q4688" t="n">
        <v>0</v>
      </c>
      <c r="R4688" s="2" t="inlineStr"/>
    </row>
    <row r="4689" ht="15" customHeight="1">
      <c r="A4689" t="inlineStr">
        <is>
          <t>A 8538-2022</t>
        </is>
      </c>
      <c r="B4689" s="1" t="n">
        <v>44613</v>
      </c>
      <c r="C4689" s="1" t="n">
        <v>45182</v>
      </c>
      <c r="D4689" t="inlineStr">
        <is>
          <t>JÄMTLANDS LÄN</t>
        </is>
      </c>
      <c r="E4689" t="inlineStr">
        <is>
          <t>HÄRJEDALEN</t>
        </is>
      </c>
      <c r="F4689" t="inlineStr">
        <is>
          <t>Naturvårdsverket</t>
        </is>
      </c>
      <c r="G4689" t="n">
        <v>0.4</v>
      </c>
      <c r="H4689" t="n">
        <v>0</v>
      </c>
      <c r="I4689" t="n">
        <v>0</v>
      </c>
      <c r="J4689" t="n">
        <v>0</v>
      </c>
      <c r="K4689" t="n">
        <v>0</v>
      </c>
      <c r="L4689" t="n">
        <v>0</v>
      </c>
      <c r="M4689" t="n">
        <v>0</v>
      </c>
      <c r="N4689" t="n">
        <v>0</v>
      </c>
      <c r="O4689" t="n">
        <v>0</v>
      </c>
      <c r="P4689" t="n">
        <v>0</v>
      </c>
      <c r="Q4689" t="n">
        <v>0</v>
      </c>
      <c r="R4689" s="2" t="inlineStr"/>
    </row>
    <row r="4690" ht="15" customHeight="1">
      <c r="A4690" t="inlineStr">
        <is>
          <t>A 8594-2022</t>
        </is>
      </c>
      <c r="B4690" s="1" t="n">
        <v>44613</v>
      </c>
      <c r="C4690" s="1" t="n">
        <v>45182</v>
      </c>
      <c r="D4690" t="inlineStr">
        <is>
          <t>JÄMTLANDS LÄN</t>
        </is>
      </c>
      <c r="E4690" t="inlineStr">
        <is>
          <t>BERG</t>
        </is>
      </c>
      <c r="G4690" t="n">
        <v>4.2</v>
      </c>
      <c r="H4690" t="n">
        <v>0</v>
      </c>
      <c r="I4690" t="n">
        <v>0</v>
      </c>
      <c r="J4690" t="n">
        <v>0</v>
      </c>
      <c r="K4690" t="n">
        <v>0</v>
      </c>
      <c r="L4690" t="n">
        <v>0</v>
      </c>
      <c r="M4690" t="n">
        <v>0</v>
      </c>
      <c r="N4690" t="n">
        <v>0</v>
      </c>
      <c r="O4690" t="n">
        <v>0</v>
      </c>
      <c r="P4690" t="n">
        <v>0</v>
      </c>
      <c r="Q4690" t="n">
        <v>0</v>
      </c>
      <c r="R4690" s="2" t="inlineStr"/>
    </row>
    <row r="4691" ht="15" customHeight="1">
      <c r="A4691" t="inlineStr">
        <is>
          <t>A 8647-2022</t>
        </is>
      </c>
      <c r="B4691" s="1" t="n">
        <v>44613</v>
      </c>
      <c r="C4691" s="1" t="n">
        <v>45182</v>
      </c>
      <c r="D4691" t="inlineStr">
        <is>
          <t>JÄMTLANDS LÄN</t>
        </is>
      </c>
      <c r="E4691" t="inlineStr">
        <is>
          <t>ÖSTERSUND</t>
        </is>
      </c>
      <c r="G4691" t="n">
        <v>1.1</v>
      </c>
      <c r="H4691" t="n">
        <v>0</v>
      </c>
      <c r="I4691" t="n">
        <v>0</v>
      </c>
      <c r="J4691" t="n">
        <v>0</v>
      </c>
      <c r="K4691" t="n">
        <v>0</v>
      </c>
      <c r="L4691" t="n">
        <v>0</v>
      </c>
      <c r="M4691" t="n">
        <v>0</v>
      </c>
      <c r="N4691" t="n">
        <v>0</v>
      </c>
      <c r="O4691" t="n">
        <v>0</v>
      </c>
      <c r="P4691" t="n">
        <v>0</v>
      </c>
      <c r="Q4691" t="n">
        <v>0</v>
      </c>
      <c r="R4691" s="2" t="inlineStr"/>
    </row>
    <row r="4692" ht="15" customHeight="1">
      <c r="A4692" t="inlineStr">
        <is>
          <t>A 8795-2022</t>
        </is>
      </c>
      <c r="B4692" s="1" t="n">
        <v>44614</v>
      </c>
      <c r="C4692" s="1" t="n">
        <v>45182</v>
      </c>
      <c r="D4692" t="inlineStr">
        <is>
          <t>JÄMTLANDS LÄN</t>
        </is>
      </c>
      <c r="E4692" t="inlineStr">
        <is>
          <t>RAGUNDA</t>
        </is>
      </c>
      <c r="G4692" t="n">
        <v>3.9</v>
      </c>
      <c r="H4692" t="n">
        <v>0</v>
      </c>
      <c r="I4692" t="n">
        <v>0</v>
      </c>
      <c r="J4692" t="n">
        <v>0</v>
      </c>
      <c r="K4692" t="n">
        <v>0</v>
      </c>
      <c r="L4692" t="n">
        <v>0</v>
      </c>
      <c r="M4692" t="n">
        <v>0</v>
      </c>
      <c r="N4692" t="n">
        <v>0</v>
      </c>
      <c r="O4692" t="n">
        <v>0</v>
      </c>
      <c r="P4692" t="n">
        <v>0</v>
      </c>
      <c r="Q4692" t="n">
        <v>0</v>
      </c>
      <c r="R4692" s="2" t="inlineStr"/>
    </row>
    <row r="4693" ht="15" customHeight="1">
      <c r="A4693" t="inlineStr">
        <is>
          <t>A 8808-2022</t>
        </is>
      </c>
      <c r="B4693" s="1" t="n">
        <v>44614</v>
      </c>
      <c r="C4693" s="1" t="n">
        <v>45182</v>
      </c>
      <c r="D4693" t="inlineStr">
        <is>
          <t>JÄMTLANDS LÄN</t>
        </is>
      </c>
      <c r="E4693" t="inlineStr">
        <is>
          <t>RAGUNDA</t>
        </is>
      </c>
      <c r="G4693" t="n">
        <v>3.3</v>
      </c>
      <c r="H4693" t="n">
        <v>0</v>
      </c>
      <c r="I4693" t="n">
        <v>0</v>
      </c>
      <c r="J4693" t="n">
        <v>0</v>
      </c>
      <c r="K4693" t="n">
        <v>0</v>
      </c>
      <c r="L4693" t="n">
        <v>0</v>
      </c>
      <c r="M4693" t="n">
        <v>0</v>
      </c>
      <c r="N4693" t="n">
        <v>0</v>
      </c>
      <c r="O4693" t="n">
        <v>0</v>
      </c>
      <c r="P4693" t="n">
        <v>0</v>
      </c>
      <c r="Q4693" t="n">
        <v>0</v>
      </c>
      <c r="R4693" s="2" t="inlineStr"/>
    </row>
    <row r="4694" ht="15" customHeight="1">
      <c r="A4694" t="inlineStr">
        <is>
          <t>A 8823-2022</t>
        </is>
      </c>
      <c r="B4694" s="1" t="n">
        <v>44614</v>
      </c>
      <c r="C4694" s="1" t="n">
        <v>45182</v>
      </c>
      <c r="D4694" t="inlineStr">
        <is>
          <t>JÄMTLANDS LÄN</t>
        </is>
      </c>
      <c r="E4694" t="inlineStr">
        <is>
          <t>HÄRJEDALEN</t>
        </is>
      </c>
      <c r="F4694" t="inlineStr">
        <is>
          <t>Naturvårdsverket</t>
        </is>
      </c>
      <c r="G4694" t="n">
        <v>23.7</v>
      </c>
      <c r="H4694" t="n">
        <v>0</v>
      </c>
      <c r="I4694" t="n">
        <v>0</v>
      </c>
      <c r="J4694" t="n">
        <v>0</v>
      </c>
      <c r="K4694" t="n">
        <v>0</v>
      </c>
      <c r="L4694" t="n">
        <v>0</v>
      </c>
      <c r="M4694" t="n">
        <v>0</v>
      </c>
      <c r="N4694" t="n">
        <v>0</v>
      </c>
      <c r="O4694" t="n">
        <v>0</v>
      </c>
      <c r="P4694" t="n">
        <v>0</v>
      </c>
      <c r="Q4694" t="n">
        <v>0</v>
      </c>
      <c r="R4694" s="2" t="inlineStr"/>
    </row>
    <row r="4695" ht="15" customHeight="1">
      <c r="A4695" t="inlineStr">
        <is>
          <t>A 8787-2022</t>
        </is>
      </c>
      <c r="B4695" s="1" t="n">
        <v>44614</v>
      </c>
      <c r="C4695" s="1" t="n">
        <v>45182</v>
      </c>
      <c r="D4695" t="inlineStr">
        <is>
          <t>JÄMTLANDS LÄN</t>
        </is>
      </c>
      <c r="E4695" t="inlineStr">
        <is>
          <t>RAGUNDA</t>
        </is>
      </c>
      <c r="G4695" t="n">
        <v>6.4</v>
      </c>
      <c r="H4695" t="n">
        <v>0</v>
      </c>
      <c r="I4695" t="n">
        <v>0</v>
      </c>
      <c r="J4695" t="n">
        <v>0</v>
      </c>
      <c r="K4695" t="n">
        <v>0</v>
      </c>
      <c r="L4695" t="n">
        <v>0</v>
      </c>
      <c r="M4695" t="n">
        <v>0</v>
      </c>
      <c r="N4695" t="n">
        <v>0</v>
      </c>
      <c r="O4695" t="n">
        <v>0</v>
      </c>
      <c r="P4695" t="n">
        <v>0</v>
      </c>
      <c r="Q4695" t="n">
        <v>0</v>
      </c>
      <c r="R4695" s="2" t="inlineStr"/>
    </row>
    <row r="4696" ht="15" customHeight="1">
      <c r="A4696" t="inlineStr">
        <is>
          <t>A 8811-2022</t>
        </is>
      </c>
      <c r="B4696" s="1" t="n">
        <v>44614</v>
      </c>
      <c r="C4696" s="1" t="n">
        <v>45182</v>
      </c>
      <c r="D4696" t="inlineStr">
        <is>
          <t>JÄMTLANDS LÄN</t>
        </is>
      </c>
      <c r="E4696" t="inlineStr">
        <is>
          <t>RAGUNDA</t>
        </is>
      </c>
      <c r="G4696" t="n">
        <v>1.4</v>
      </c>
      <c r="H4696" t="n">
        <v>0</v>
      </c>
      <c r="I4696" t="n">
        <v>0</v>
      </c>
      <c r="J4696" t="n">
        <v>0</v>
      </c>
      <c r="K4696" t="n">
        <v>0</v>
      </c>
      <c r="L4696" t="n">
        <v>0</v>
      </c>
      <c r="M4696" t="n">
        <v>0</v>
      </c>
      <c r="N4696" t="n">
        <v>0</v>
      </c>
      <c r="O4696" t="n">
        <v>0</v>
      </c>
      <c r="P4696" t="n">
        <v>0</v>
      </c>
      <c r="Q4696" t="n">
        <v>0</v>
      </c>
      <c r="R4696" s="2" t="inlineStr"/>
    </row>
    <row r="4697" ht="15" customHeight="1">
      <c r="A4697" t="inlineStr">
        <is>
          <t>A 8802-2022</t>
        </is>
      </c>
      <c r="B4697" s="1" t="n">
        <v>44614</v>
      </c>
      <c r="C4697" s="1" t="n">
        <v>45182</v>
      </c>
      <c r="D4697" t="inlineStr">
        <is>
          <t>JÄMTLANDS LÄN</t>
        </is>
      </c>
      <c r="E4697" t="inlineStr">
        <is>
          <t>RAGUNDA</t>
        </is>
      </c>
      <c r="G4697" t="n">
        <v>2.8</v>
      </c>
      <c r="H4697" t="n">
        <v>0</v>
      </c>
      <c r="I4697" t="n">
        <v>0</v>
      </c>
      <c r="J4697" t="n">
        <v>0</v>
      </c>
      <c r="K4697" t="n">
        <v>0</v>
      </c>
      <c r="L4697" t="n">
        <v>0</v>
      </c>
      <c r="M4697" t="n">
        <v>0</v>
      </c>
      <c r="N4697" t="n">
        <v>0</v>
      </c>
      <c r="O4697" t="n">
        <v>0</v>
      </c>
      <c r="P4697" t="n">
        <v>0</v>
      </c>
      <c r="Q4697" t="n">
        <v>0</v>
      </c>
      <c r="R4697" s="2" t="inlineStr"/>
    </row>
    <row r="4698" ht="15" customHeight="1">
      <c r="A4698" t="inlineStr">
        <is>
          <t>A 9187-2022</t>
        </is>
      </c>
      <c r="B4698" s="1" t="n">
        <v>44615</v>
      </c>
      <c r="C4698" s="1" t="n">
        <v>45182</v>
      </c>
      <c r="D4698" t="inlineStr">
        <is>
          <t>JÄMTLANDS LÄN</t>
        </is>
      </c>
      <c r="E4698" t="inlineStr">
        <is>
          <t>RAGUNDA</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9114-2022</t>
        </is>
      </c>
      <c r="B4699" s="1" t="n">
        <v>44615</v>
      </c>
      <c r="C4699" s="1" t="n">
        <v>45182</v>
      </c>
      <c r="D4699" t="inlineStr">
        <is>
          <t>JÄMTLANDS LÄN</t>
        </is>
      </c>
      <c r="E4699" t="inlineStr">
        <is>
          <t>BERG</t>
        </is>
      </c>
      <c r="G4699" t="n">
        <v>2.9</v>
      </c>
      <c r="H4699" t="n">
        <v>0</v>
      </c>
      <c r="I4699" t="n">
        <v>0</v>
      </c>
      <c r="J4699" t="n">
        <v>0</v>
      </c>
      <c r="K4699" t="n">
        <v>0</v>
      </c>
      <c r="L4699" t="n">
        <v>0</v>
      </c>
      <c r="M4699" t="n">
        <v>0</v>
      </c>
      <c r="N4699" t="n">
        <v>0</v>
      </c>
      <c r="O4699" t="n">
        <v>0</v>
      </c>
      <c r="P4699" t="n">
        <v>0</v>
      </c>
      <c r="Q4699" t="n">
        <v>0</v>
      </c>
      <c r="R4699" s="2" t="inlineStr"/>
    </row>
    <row r="4700" ht="15" customHeight="1">
      <c r="A4700" t="inlineStr">
        <is>
          <t>A 9185-2022</t>
        </is>
      </c>
      <c r="B4700" s="1" t="n">
        <v>44615</v>
      </c>
      <c r="C4700" s="1" t="n">
        <v>45182</v>
      </c>
      <c r="D4700" t="inlineStr">
        <is>
          <t>JÄMTLANDS LÄN</t>
        </is>
      </c>
      <c r="E4700" t="inlineStr">
        <is>
          <t>RAGUNDA</t>
        </is>
      </c>
      <c r="G4700" t="n">
        <v>1.1</v>
      </c>
      <c r="H4700" t="n">
        <v>0</v>
      </c>
      <c r="I4700" t="n">
        <v>0</v>
      </c>
      <c r="J4700" t="n">
        <v>0</v>
      </c>
      <c r="K4700" t="n">
        <v>0</v>
      </c>
      <c r="L4700" t="n">
        <v>0</v>
      </c>
      <c r="M4700" t="n">
        <v>0</v>
      </c>
      <c r="N4700" t="n">
        <v>0</v>
      </c>
      <c r="O4700" t="n">
        <v>0</v>
      </c>
      <c r="P4700" t="n">
        <v>0</v>
      </c>
      <c r="Q4700" t="n">
        <v>0</v>
      </c>
      <c r="R4700" s="2" t="inlineStr"/>
    </row>
    <row r="4701" ht="15" customHeight="1">
      <c r="A4701" t="inlineStr">
        <is>
          <t>A 9095-2022</t>
        </is>
      </c>
      <c r="B4701" s="1" t="n">
        <v>44615</v>
      </c>
      <c r="C4701" s="1" t="n">
        <v>45182</v>
      </c>
      <c r="D4701" t="inlineStr">
        <is>
          <t>JÄMTLANDS LÄN</t>
        </is>
      </c>
      <c r="E4701" t="inlineStr">
        <is>
          <t>HÄRJEDALEN</t>
        </is>
      </c>
      <c r="F4701" t="inlineStr">
        <is>
          <t>Kyrkan</t>
        </is>
      </c>
      <c r="G4701" t="n">
        <v>15.9</v>
      </c>
      <c r="H4701" t="n">
        <v>0</v>
      </c>
      <c r="I4701" t="n">
        <v>0</v>
      </c>
      <c r="J4701" t="n">
        <v>0</v>
      </c>
      <c r="K4701" t="n">
        <v>0</v>
      </c>
      <c r="L4701" t="n">
        <v>0</v>
      </c>
      <c r="M4701" t="n">
        <v>0</v>
      </c>
      <c r="N4701" t="n">
        <v>0</v>
      </c>
      <c r="O4701" t="n">
        <v>0</v>
      </c>
      <c r="P4701" t="n">
        <v>0</v>
      </c>
      <c r="Q4701" t="n">
        <v>0</v>
      </c>
      <c r="R4701" s="2" t="inlineStr"/>
    </row>
    <row r="4702" ht="15" customHeight="1">
      <c r="A4702" t="inlineStr">
        <is>
          <t>A 9957-2022</t>
        </is>
      </c>
      <c r="B4702" s="1" t="n">
        <v>44620</v>
      </c>
      <c r="C4702" s="1" t="n">
        <v>45182</v>
      </c>
      <c r="D4702" t="inlineStr">
        <is>
          <t>JÄMTLANDS LÄN</t>
        </is>
      </c>
      <c r="E4702" t="inlineStr">
        <is>
          <t>STRÖMSUND</t>
        </is>
      </c>
      <c r="G4702" t="n">
        <v>1.2</v>
      </c>
      <c r="H4702" t="n">
        <v>0</v>
      </c>
      <c r="I4702" t="n">
        <v>0</v>
      </c>
      <c r="J4702" t="n">
        <v>0</v>
      </c>
      <c r="K4702" t="n">
        <v>0</v>
      </c>
      <c r="L4702" t="n">
        <v>0</v>
      </c>
      <c r="M4702" t="n">
        <v>0</v>
      </c>
      <c r="N4702" t="n">
        <v>0</v>
      </c>
      <c r="O4702" t="n">
        <v>0</v>
      </c>
      <c r="P4702" t="n">
        <v>0</v>
      </c>
      <c r="Q4702" t="n">
        <v>0</v>
      </c>
      <c r="R4702" s="2" t="inlineStr"/>
    </row>
    <row r="4703" ht="15" customHeight="1">
      <c r="A4703" t="inlineStr">
        <is>
          <t>A 10136-2022</t>
        </is>
      </c>
      <c r="B4703" s="1" t="n">
        <v>44621</v>
      </c>
      <c r="C4703" s="1" t="n">
        <v>45182</v>
      </c>
      <c r="D4703" t="inlineStr">
        <is>
          <t>JÄMTLANDS LÄN</t>
        </is>
      </c>
      <c r="E4703" t="inlineStr">
        <is>
          <t>STRÖMSUND</t>
        </is>
      </c>
      <c r="F4703" t="inlineStr">
        <is>
          <t>SCA</t>
        </is>
      </c>
      <c r="G4703" t="n">
        <v>0.4</v>
      </c>
      <c r="H4703" t="n">
        <v>0</v>
      </c>
      <c r="I4703" t="n">
        <v>0</v>
      </c>
      <c r="J4703" t="n">
        <v>0</v>
      </c>
      <c r="K4703" t="n">
        <v>0</v>
      </c>
      <c r="L4703" t="n">
        <v>0</v>
      </c>
      <c r="M4703" t="n">
        <v>0</v>
      </c>
      <c r="N4703" t="n">
        <v>0</v>
      </c>
      <c r="O4703" t="n">
        <v>0</v>
      </c>
      <c r="P4703" t="n">
        <v>0</v>
      </c>
      <c r="Q4703" t="n">
        <v>0</v>
      </c>
      <c r="R4703" s="2" t="inlineStr"/>
    </row>
    <row r="4704" ht="15" customHeight="1">
      <c r="A4704" t="inlineStr">
        <is>
          <t>A 10120-2022</t>
        </is>
      </c>
      <c r="B4704" s="1" t="n">
        <v>44621</v>
      </c>
      <c r="C4704" s="1" t="n">
        <v>45182</v>
      </c>
      <c r="D4704" t="inlineStr">
        <is>
          <t>JÄMTLANDS LÄN</t>
        </is>
      </c>
      <c r="E4704" t="inlineStr">
        <is>
          <t>RAGUNDA</t>
        </is>
      </c>
      <c r="G4704" t="n">
        <v>0.4</v>
      </c>
      <c r="H4704" t="n">
        <v>0</v>
      </c>
      <c r="I4704" t="n">
        <v>0</v>
      </c>
      <c r="J4704" t="n">
        <v>0</v>
      </c>
      <c r="K4704" t="n">
        <v>0</v>
      </c>
      <c r="L4704" t="n">
        <v>0</v>
      </c>
      <c r="M4704" t="n">
        <v>0</v>
      </c>
      <c r="N4704" t="n">
        <v>0</v>
      </c>
      <c r="O4704" t="n">
        <v>0</v>
      </c>
      <c r="P4704" t="n">
        <v>0</v>
      </c>
      <c r="Q4704" t="n">
        <v>0</v>
      </c>
      <c r="R4704" s="2" t="inlineStr"/>
    </row>
    <row r="4705" ht="15" customHeight="1">
      <c r="A4705" t="inlineStr">
        <is>
          <t>A 10144-2022</t>
        </is>
      </c>
      <c r="B4705" s="1" t="n">
        <v>44621</v>
      </c>
      <c r="C4705" s="1" t="n">
        <v>45182</v>
      </c>
      <c r="D4705" t="inlineStr">
        <is>
          <t>JÄMTLANDS LÄN</t>
        </is>
      </c>
      <c r="E4705" t="inlineStr">
        <is>
          <t>STRÖMSUND</t>
        </is>
      </c>
      <c r="F4705" t="inlineStr">
        <is>
          <t>SCA</t>
        </is>
      </c>
      <c r="G4705" t="n">
        <v>7.3</v>
      </c>
      <c r="H4705" t="n">
        <v>0</v>
      </c>
      <c r="I4705" t="n">
        <v>0</v>
      </c>
      <c r="J4705" t="n">
        <v>0</v>
      </c>
      <c r="K4705" t="n">
        <v>0</v>
      </c>
      <c r="L4705" t="n">
        <v>0</v>
      </c>
      <c r="M4705" t="n">
        <v>0</v>
      </c>
      <c r="N4705" t="n">
        <v>0</v>
      </c>
      <c r="O4705" t="n">
        <v>0</v>
      </c>
      <c r="P4705" t="n">
        <v>0</v>
      </c>
      <c r="Q4705" t="n">
        <v>0</v>
      </c>
      <c r="R4705" s="2" t="inlineStr"/>
    </row>
    <row r="4706" ht="15" customHeight="1">
      <c r="A4706" t="inlineStr">
        <is>
          <t>A 10322-2022</t>
        </is>
      </c>
      <c r="B4706" s="1" t="n">
        <v>44622</v>
      </c>
      <c r="C4706" s="1" t="n">
        <v>45182</v>
      </c>
      <c r="D4706" t="inlineStr">
        <is>
          <t>JÄMTLANDS LÄN</t>
        </is>
      </c>
      <c r="E4706" t="inlineStr">
        <is>
          <t>STRÖMSUND</t>
        </is>
      </c>
      <c r="F4706" t="inlineStr">
        <is>
          <t>SCA</t>
        </is>
      </c>
      <c r="G4706" t="n">
        <v>5</v>
      </c>
      <c r="H4706" t="n">
        <v>0</v>
      </c>
      <c r="I4706" t="n">
        <v>0</v>
      </c>
      <c r="J4706" t="n">
        <v>0</v>
      </c>
      <c r="K4706" t="n">
        <v>0</v>
      </c>
      <c r="L4706" t="n">
        <v>0</v>
      </c>
      <c r="M4706" t="n">
        <v>0</v>
      </c>
      <c r="N4706" t="n">
        <v>0</v>
      </c>
      <c r="O4706" t="n">
        <v>0</v>
      </c>
      <c r="P4706" t="n">
        <v>0</v>
      </c>
      <c r="Q4706" t="n">
        <v>0</v>
      </c>
      <c r="R4706" s="2" t="inlineStr"/>
    </row>
    <row r="4707" ht="15" customHeight="1">
      <c r="A4707" t="inlineStr">
        <is>
          <t>A 10534-2022</t>
        </is>
      </c>
      <c r="B4707" s="1" t="n">
        <v>44623</v>
      </c>
      <c r="C4707" s="1" t="n">
        <v>45182</v>
      </c>
      <c r="D4707" t="inlineStr">
        <is>
          <t>JÄMTLANDS LÄN</t>
        </is>
      </c>
      <c r="E4707" t="inlineStr">
        <is>
          <t>BRÄCKE</t>
        </is>
      </c>
      <c r="G4707" t="n">
        <v>2.5</v>
      </c>
      <c r="H4707" t="n">
        <v>0</v>
      </c>
      <c r="I4707" t="n">
        <v>0</v>
      </c>
      <c r="J4707" t="n">
        <v>0</v>
      </c>
      <c r="K4707" t="n">
        <v>0</v>
      </c>
      <c r="L4707" t="n">
        <v>0</v>
      </c>
      <c r="M4707" t="n">
        <v>0</v>
      </c>
      <c r="N4707" t="n">
        <v>0</v>
      </c>
      <c r="O4707" t="n">
        <v>0</v>
      </c>
      <c r="P4707" t="n">
        <v>0</v>
      </c>
      <c r="Q4707" t="n">
        <v>0</v>
      </c>
      <c r="R4707" s="2" t="inlineStr"/>
    </row>
    <row r="4708" ht="15" customHeight="1">
      <c r="A4708" t="inlineStr">
        <is>
          <t>A 10533-2022</t>
        </is>
      </c>
      <c r="B4708" s="1" t="n">
        <v>44623</v>
      </c>
      <c r="C4708" s="1" t="n">
        <v>45182</v>
      </c>
      <c r="D4708" t="inlineStr">
        <is>
          <t>JÄMTLANDS LÄN</t>
        </is>
      </c>
      <c r="E4708" t="inlineStr">
        <is>
          <t>BRÄCKE</t>
        </is>
      </c>
      <c r="G4708" t="n">
        <v>5.4</v>
      </c>
      <c r="H4708" t="n">
        <v>0</v>
      </c>
      <c r="I4708" t="n">
        <v>0</v>
      </c>
      <c r="J4708" t="n">
        <v>0</v>
      </c>
      <c r="K4708" t="n">
        <v>0</v>
      </c>
      <c r="L4708" t="n">
        <v>0</v>
      </c>
      <c r="M4708" t="n">
        <v>0</v>
      </c>
      <c r="N4708" t="n">
        <v>0</v>
      </c>
      <c r="O4708" t="n">
        <v>0</v>
      </c>
      <c r="P4708" t="n">
        <v>0</v>
      </c>
      <c r="Q4708" t="n">
        <v>0</v>
      </c>
      <c r="R4708" s="2" t="inlineStr"/>
    </row>
    <row r="4709" ht="15" customHeight="1">
      <c r="A4709" t="inlineStr">
        <is>
          <t>A 10543-2022</t>
        </is>
      </c>
      <c r="B4709" s="1" t="n">
        <v>44623</v>
      </c>
      <c r="C4709" s="1" t="n">
        <v>45182</v>
      </c>
      <c r="D4709" t="inlineStr">
        <is>
          <t>JÄMTLANDS LÄN</t>
        </is>
      </c>
      <c r="E4709" t="inlineStr">
        <is>
          <t>BRÄCKE</t>
        </is>
      </c>
      <c r="G4709" t="n">
        <v>9.199999999999999</v>
      </c>
      <c r="H4709" t="n">
        <v>0</v>
      </c>
      <c r="I4709" t="n">
        <v>0</v>
      </c>
      <c r="J4709" t="n">
        <v>0</v>
      </c>
      <c r="K4709" t="n">
        <v>0</v>
      </c>
      <c r="L4709" t="n">
        <v>0</v>
      </c>
      <c r="M4709" t="n">
        <v>0</v>
      </c>
      <c r="N4709" t="n">
        <v>0</v>
      </c>
      <c r="O4709" t="n">
        <v>0</v>
      </c>
      <c r="P4709" t="n">
        <v>0</v>
      </c>
      <c r="Q4709" t="n">
        <v>0</v>
      </c>
      <c r="R4709" s="2" t="inlineStr"/>
    </row>
    <row r="4710" ht="15" customHeight="1">
      <c r="A4710" t="inlineStr">
        <is>
          <t>A 10532-2022</t>
        </is>
      </c>
      <c r="B4710" s="1" t="n">
        <v>44623</v>
      </c>
      <c r="C4710" s="1" t="n">
        <v>45182</v>
      </c>
      <c r="D4710" t="inlineStr">
        <is>
          <t>JÄMTLANDS LÄN</t>
        </is>
      </c>
      <c r="E4710" t="inlineStr">
        <is>
          <t>BRÄCKE</t>
        </is>
      </c>
      <c r="G4710" t="n">
        <v>3.1</v>
      </c>
      <c r="H4710" t="n">
        <v>0</v>
      </c>
      <c r="I4710" t="n">
        <v>0</v>
      </c>
      <c r="J4710" t="n">
        <v>0</v>
      </c>
      <c r="K4710" t="n">
        <v>0</v>
      </c>
      <c r="L4710" t="n">
        <v>0</v>
      </c>
      <c r="M4710" t="n">
        <v>0</v>
      </c>
      <c r="N4710" t="n">
        <v>0</v>
      </c>
      <c r="O4710" t="n">
        <v>0</v>
      </c>
      <c r="P4710" t="n">
        <v>0</v>
      </c>
      <c r="Q4710" t="n">
        <v>0</v>
      </c>
      <c r="R4710" s="2" t="inlineStr"/>
    </row>
    <row r="4711" ht="15" customHeight="1">
      <c r="A4711" t="inlineStr">
        <is>
          <t>A 10476-2022</t>
        </is>
      </c>
      <c r="B4711" s="1" t="n">
        <v>44623</v>
      </c>
      <c r="C4711" s="1" t="n">
        <v>45182</v>
      </c>
      <c r="D4711" t="inlineStr">
        <is>
          <t>JÄMTLANDS LÄN</t>
        </is>
      </c>
      <c r="E4711" t="inlineStr">
        <is>
          <t>BRÄCKE</t>
        </is>
      </c>
      <c r="G4711" t="n">
        <v>3.8</v>
      </c>
      <c r="H4711" t="n">
        <v>0</v>
      </c>
      <c r="I4711" t="n">
        <v>0</v>
      </c>
      <c r="J4711" t="n">
        <v>0</v>
      </c>
      <c r="K4711" t="n">
        <v>0</v>
      </c>
      <c r="L4711" t="n">
        <v>0</v>
      </c>
      <c r="M4711" t="n">
        <v>0</v>
      </c>
      <c r="N4711" t="n">
        <v>0</v>
      </c>
      <c r="O4711" t="n">
        <v>0</v>
      </c>
      <c r="P4711" t="n">
        <v>0</v>
      </c>
      <c r="Q4711" t="n">
        <v>0</v>
      </c>
      <c r="R4711" s="2" t="inlineStr"/>
    </row>
    <row r="4712" ht="15" customHeight="1">
      <c r="A4712" t="inlineStr">
        <is>
          <t>A 10535-2022</t>
        </is>
      </c>
      <c r="B4712" s="1" t="n">
        <v>44623</v>
      </c>
      <c r="C4712" s="1" t="n">
        <v>45182</v>
      </c>
      <c r="D4712" t="inlineStr">
        <is>
          <t>JÄMTLANDS LÄN</t>
        </is>
      </c>
      <c r="E4712" t="inlineStr">
        <is>
          <t>BRÄCKE</t>
        </is>
      </c>
      <c r="G4712" t="n">
        <v>0.7</v>
      </c>
      <c r="H4712" t="n">
        <v>0</v>
      </c>
      <c r="I4712" t="n">
        <v>0</v>
      </c>
      <c r="J4712" t="n">
        <v>0</v>
      </c>
      <c r="K4712" t="n">
        <v>0</v>
      </c>
      <c r="L4712" t="n">
        <v>0</v>
      </c>
      <c r="M4712" t="n">
        <v>0</v>
      </c>
      <c r="N4712" t="n">
        <v>0</v>
      </c>
      <c r="O4712" t="n">
        <v>0</v>
      </c>
      <c r="P4712" t="n">
        <v>0</v>
      </c>
      <c r="Q4712" t="n">
        <v>0</v>
      </c>
      <c r="R4712" s="2" t="inlineStr"/>
    </row>
    <row r="4713" ht="15" customHeight="1">
      <c r="A4713" t="inlineStr">
        <is>
          <t>A 10647-2022</t>
        </is>
      </c>
      <c r="B4713" s="1" t="n">
        <v>44624</v>
      </c>
      <c r="C4713" s="1" t="n">
        <v>45182</v>
      </c>
      <c r="D4713" t="inlineStr">
        <is>
          <t>JÄMTLANDS LÄN</t>
        </is>
      </c>
      <c r="E4713" t="inlineStr">
        <is>
          <t>STRÖMSUND</t>
        </is>
      </c>
      <c r="G4713" t="n">
        <v>1</v>
      </c>
      <c r="H4713" t="n">
        <v>0</v>
      </c>
      <c r="I4713" t="n">
        <v>0</v>
      </c>
      <c r="J4713" t="n">
        <v>0</v>
      </c>
      <c r="K4713" t="n">
        <v>0</v>
      </c>
      <c r="L4713" t="n">
        <v>0</v>
      </c>
      <c r="M4713" t="n">
        <v>0</v>
      </c>
      <c r="N4713" t="n">
        <v>0</v>
      </c>
      <c r="O4713" t="n">
        <v>0</v>
      </c>
      <c r="P4713" t="n">
        <v>0</v>
      </c>
      <c r="Q4713" t="n">
        <v>0</v>
      </c>
      <c r="R4713" s="2" t="inlineStr"/>
    </row>
    <row r="4714" ht="15" customHeight="1">
      <c r="A4714" t="inlineStr">
        <is>
          <t>A 10656-2022</t>
        </is>
      </c>
      <c r="B4714" s="1" t="n">
        <v>44624</v>
      </c>
      <c r="C4714" s="1" t="n">
        <v>45182</v>
      </c>
      <c r="D4714" t="inlineStr">
        <is>
          <t>JÄMTLANDS LÄN</t>
        </is>
      </c>
      <c r="E4714" t="inlineStr">
        <is>
          <t>STRÖMSUND</t>
        </is>
      </c>
      <c r="G4714" t="n">
        <v>2.5</v>
      </c>
      <c r="H4714" t="n">
        <v>0</v>
      </c>
      <c r="I4714" t="n">
        <v>0</v>
      </c>
      <c r="J4714" t="n">
        <v>0</v>
      </c>
      <c r="K4714" t="n">
        <v>0</v>
      </c>
      <c r="L4714" t="n">
        <v>0</v>
      </c>
      <c r="M4714" t="n">
        <v>0</v>
      </c>
      <c r="N4714" t="n">
        <v>0</v>
      </c>
      <c r="O4714" t="n">
        <v>0</v>
      </c>
      <c r="P4714" t="n">
        <v>0</v>
      </c>
      <c r="Q4714" t="n">
        <v>0</v>
      </c>
      <c r="R4714" s="2" t="inlineStr"/>
    </row>
    <row r="4715" ht="15" customHeight="1">
      <c r="A4715" t="inlineStr">
        <is>
          <t>A 10698-2022</t>
        </is>
      </c>
      <c r="B4715" s="1" t="n">
        <v>44624</v>
      </c>
      <c r="C4715" s="1" t="n">
        <v>45182</v>
      </c>
      <c r="D4715" t="inlineStr">
        <is>
          <t>JÄMTLANDS LÄN</t>
        </is>
      </c>
      <c r="E4715" t="inlineStr">
        <is>
          <t>STRÖMSUND</t>
        </is>
      </c>
      <c r="F4715" t="inlineStr">
        <is>
          <t>SCA</t>
        </is>
      </c>
      <c r="G4715" t="n">
        <v>0.3</v>
      </c>
      <c r="H4715" t="n">
        <v>0</v>
      </c>
      <c r="I4715" t="n">
        <v>0</v>
      </c>
      <c r="J4715" t="n">
        <v>0</v>
      </c>
      <c r="K4715" t="n">
        <v>0</v>
      </c>
      <c r="L4715" t="n">
        <v>0</v>
      </c>
      <c r="M4715" t="n">
        <v>0</v>
      </c>
      <c r="N4715" t="n">
        <v>0</v>
      </c>
      <c r="O4715" t="n">
        <v>0</v>
      </c>
      <c r="P4715" t="n">
        <v>0</v>
      </c>
      <c r="Q4715" t="n">
        <v>0</v>
      </c>
      <c r="R4715" s="2" t="inlineStr"/>
    </row>
    <row r="4716" ht="15" customHeight="1">
      <c r="A4716" t="inlineStr">
        <is>
          <t>A 10904-2022</t>
        </is>
      </c>
      <c r="B4716" s="1" t="n">
        <v>44627</v>
      </c>
      <c r="C4716" s="1" t="n">
        <v>45182</v>
      </c>
      <c r="D4716" t="inlineStr">
        <is>
          <t>JÄMTLANDS LÄN</t>
        </is>
      </c>
      <c r="E4716" t="inlineStr">
        <is>
          <t>STRÖMSUND</t>
        </is>
      </c>
      <c r="G4716" t="n">
        <v>4.3</v>
      </c>
      <c r="H4716" t="n">
        <v>0</v>
      </c>
      <c r="I4716" t="n">
        <v>0</v>
      </c>
      <c r="J4716" t="n">
        <v>0</v>
      </c>
      <c r="K4716" t="n">
        <v>0</v>
      </c>
      <c r="L4716" t="n">
        <v>0</v>
      </c>
      <c r="M4716" t="n">
        <v>0</v>
      </c>
      <c r="N4716" t="n">
        <v>0</v>
      </c>
      <c r="O4716" t="n">
        <v>0</v>
      </c>
      <c r="P4716" t="n">
        <v>0</v>
      </c>
      <c r="Q4716" t="n">
        <v>0</v>
      </c>
      <c r="R4716" s="2" t="inlineStr"/>
    </row>
    <row r="4717" ht="15" customHeight="1">
      <c r="A4717" t="inlineStr">
        <is>
          <t>A 10815-2022</t>
        </is>
      </c>
      <c r="B4717" s="1" t="n">
        <v>44627</v>
      </c>
      <c r="C4717" s="1" t="n">
        <v>45182</v>
      </c>
      <c r="D4717" t="inlineStr">
        <is>
          <t>JÄMTLANDS LÄN</t>
        </is>
      </c>
      <c r="E4717" t="inlineStr">
        <is>
          <t>BRÄCKE</t>
        </is>
      </c>
      <c r="G4717" t="n">
        <v>9</v>
      </c>
      <c r="H4717" t="n">
        <v>0</v>
      </c>
      <c r="I4717" t="n">
        <v>0</v>
      </c>
      <c r="J4717" t="n">
        <v>0</v>
      </c>
      <c r="K4717" t="n">
        <v>0</v>
      </c>
      <c r="L4717" t="n">
        <v>0</v>
      </c>
      <c r="M4717" t="n">
        <v>0</v>
      </c>
      <c r="N4717" t="n">
        <v>0</v>
      </c>
      <c r="O4717" t="n">
        <v>0</v>
      </c>
      <c r="P4717" t="n">
        <v>0</v>
      </c>
      <c r="Q4717" t="n">
        <v>0</v>
      </c>
      <c r="R4717" s="2" t="inlineStr"/>
    </row>
    <row r="4718" ht="15" customHeight="1">
      <c r="A4718" t="inlineStr">
        <is>
          <t>A 10905-2022</t>
        </is>
      </c>
      <c r="B4718" s="1" t="n">
        <v>44627</v>
      </c>
      <c r="C4718" s="1" t="n">
        <v>45182</v>
      </c>
      <c r="D4718" t="inlineStr">
        <is>
          <t>JÄMTLANDS LÄN</t>
        </is>
      </c>
      <c r="E4718" t="inlineStr">
        <is>
          <t>RAGUNDA</t>
        </is>
      </c>
      <c r="G4718" t="n">
        <v>3.9</v>
      </c>
      <c r="H4718" t="n">
        <v>0</v>
      </c>
      <c r="I4718" t="n">
        <v>0</v>
      </c>
      <c r="J4718" t="n">
        <v>0</v>
      </c>
      <c r="K4718" t="n">
        <v>0</v>
      </c>
      <c r="L4718" t="n">
        <v>0</v>
      </c>
      <c r="M4718" t="n">
        <v>0</v>
      </c>
      <c r="N4718" t="n">
        <v>0</v>
      </c>
      <c r="O4718" t="n">
        <v>0</v>
      </c>
      <c r="P4718" t="n">
        <v>0</v>
      </c>
      <c r="Q4718" t="n">
        <v>0</v>
      </c>
      <c r="R4718" s="2" t="inlineStr"/>
    </row>
    <row r="4719" ht="15" customHeight="1">
      <c r="A4719" t="inlineStr">
        <is>
          <t>A 11111-2022</t>
        </is>
      </c>
      <c r="B4719" s="1" t="n">
        <v>44628</v>
      </c>
      <c r="C4719" s="1" t="n">
        <v>45182</v>
      </c>
      <c r="D4719" t="inlineStr">
        <is>
          <t>JÄMTLANDS LÄN</t>
        </is>
      </c>
      <c r="E4719" t="inlineStr">
        <is>
          <t>ÅRE</t>
        </is>
      </c>
      <c r="G4719" t="n">
        <v>2.8</v>
      </c>
      <c r="H4719" t="n">
        <v>0</v>
      </c>
      <c r="I4719" t="n">
        <v>0</v>
      </c>
      <c r="J4719" t="n">
        <v>0</v>
      </c>
      <c r="K4719" t="n">
        <v>0</v>
      </c>
      <c r="L4719" t="n">
        <v>0</v>
      </c>
      <c r="M4719" t="n">
        <v>0</v>
      </c>
      <c r="N4719" t="n">
        <v>0</v>
      </c>
      <c r="O4719" t="n">
        <v>0</v>
      </c>
      <c r="P4719" t="n">
        <v>0</v>
      </c>
      <c r="Q4719" t="n">
        <v>0</v>
      </c>
      <c r="R4719" s="2" t="inlineStr"/>
    </row>
    <row r="4720" ht="15" customHeight="1">
      <c r="A4720" t="inlineStr">
        <is>
          <t>A 10972-2022</t>
        </is>
      </c>
      <c r="B4720" s="1" t="n">
        <v>44628</v>
      </c>
      <c r="C4720" s="1" t="n">
        <v>45182</v>
      </c>
      <c r="D4720" t="inlineStr">
        <is>
          <t>JÄMTLANDS LÄN</t>
        </is>
      </c>
      <c r="E4720" t="inlineStr">
        <is>
          <t>RAGUNDA</t>
        </is>
      </c>
      <c r="G4720" t="n">
        <v>9.5</v>
      </c>
      <c r="H4720" t="n">
        <v>0</v>
      </c>
      <c r="I4720" t="n">
        <v>0</v>
      </c>
      <c r="J4720" t="n">
        <v>0</v>
      </c>
      <c r="K4720" t="n">
        <v>0</v>
      </c>
      <c r="L4720" t="n">
        <v>0</v>
      </c>
      <c r="M4720" t="n">
        <v>0</v>
      </c>
      <c r="N4720" t="n">
        <v>0</v>
      </c>
      <c r="O4720" t="n">
        <v>0</v>
      </c>
      <c r="P4720" t="n">
        <v>0</v>
      </c>
      <c r="Q4720" t="n">
        <v>0</v>
      </c>
      <c r="R4720" s="2" t="inlineStr"/>
    </row>
    <row r="4721" ht="15" customHeight="1">
      <c r="A4721" t="inlineStr">
        <is>
          <t>A 11112-2022</t>
        </is>
      </c>
      <c r="B4721" s="1" t="n">
        <v>44628</v>
      </c>
      <c r="C4721" s="1" t="n">
        <v>45182</v>
      </c>
      <c r="D4721" t="inlineStr">
        <is>
          <t>JÄMTLANDS LÄN</t>
        </is>
      </c>
      <c r="E4721" t="inlineStr">
        <is>
          <t>ÅRE</t>
        </is>
      </c>
      <c r="G4721" t="n">
        <v>6.6</v>
      </c>
      <c r="H4721" t="n">
        <v>0</v>
      </c>
      <c r="I4721" t="n">
        <v>0</v>
      </c>
      <c r="J4721" t="n">
        <v>0</v>
      </c>
      <c r="K4721" t="n">
        <v>0</v>
      </c>
      <c r="L4721" t="n">
        <v>0</v>
      </c>
      <c r="M4721" t="n">
        <v>0</v>
      </c>
      <c r="N4721" t="n">
        <v>0</v>
      </c>
      <c r="O4721" t="n">
        <v>0</v>
      </c>
      <c r="P4721" t="n">
        <v>0</v>
      </c>
      <c r="Q4721" t="n">
        <v>0</v>
      </c>
      <c r="R4721" s="2" t="inlineStr"/>
    </row>
    <row r="4722" ht="15" customHeight="1">
      <c r="A4722" t="inlineStr">
        <is>
          <t>A 11093-2022</t>
        </is>
      </c>
      <c r="B4722" s="1" t="n">
        <v>44628</v>
      </c>
      <c r="C4722" s="1" t="n">
        <v>45182</v>
      </c>
      <c r="D4722" t="inlineStr">
        <is>
          <t>JÄMTLANDS LÄN</t>
        </is>
      </c>
      <c r="E4722" t="inlineStr">
        <is>
          <t>BRÄCKE</t>
        </is>
      </c>
      <c r="G4722" t="n">
        <v>16.4</v>
      </c>
      <c r="H4722" t="n">
        <v>0</v>
      </c>
      <c r="I4722" t="n">
        <v>0</v>
      </c>
      <c r="J4722" t="n">
        <v>0</v>
      </c>
      <c r="K4722" t="n">
        <v>0</v>
      </c>
      <c r="L4722" t="n">
        <v>0</v>
      </c>
      <c r="M4722" t="n">
        <v>0</v>
      </c>
      <c r="N4722" t="n">
        <v>0</v>
      </c>
      <c r="O4722" t="n">
        <v>0</v>
      </c>
      <c r="P4722" t="n">
        <v>0</v>
      </c>
      <c r="Q4722" t="n">
        <v>0</v>
      </c>
      <c r="R4722" s="2" t="inlineStr"/>
    </row>
    <row r="4723" ht="15" customHeight="1">
      <c r="A4723" t="inlineStr">
        <is>
          <t>A 11288-2022</t>
        </is>
      </c>
      <c r="B4723" s="1" t="n">
        <v>44629</v>
      </c>
      <c r="C4723" s="1" t="n">
        <v>45182</v>
      </c>
      <c r="D4723" t="inlineStr">
        <is>
          <t>JÄMTLANDS LÄN</t>
        </is>
      </c>
      <c r="E4723" t="inlineStr">
        <is>
          <t>RAGUNDA</t>
        </is>
      </c>
      <c r="G4723" t="n">
        <v>4.9</v>
      </c>
      <c r="H4723" t="n">
        <v>0</v>
      </c>
      <c r="I4723" t="n">
        <v>0</v>
      </c>
      <c r="J4723" t="n">
        <v>0</v>
      </c>
      <c r="K4723" t="n">
        <v>0</v>
      </c>
      <c r="L4723" t="n">
        <v>0</v>
      </c>
      <c r="M4723" t="n">
        <v>0</v>
      </c>
      <c r="N4723" t="n">
        <v>0</v>
      </c>
      <c r="O4723" t="n">
        <v>0</v>
      </c>
      <c r="P4723" t="n">
        <v>0</v>
      </c>
      <c r="Q4723" t="n">
        <v>0</v>
      </c>
      <c r="R4723" s="2" t="inlineStr"/>
    </row>
    <row r="4724" ht="15" customHeight="1">
      <c r="A4724" t="inlineStr">
        <is>
          <t>A 11522-2022</t>
        </is>
      </c>
      <c r="B4724" s="1" t="n">
        <v>44631</v>
      </c>
      <c r="C4724" s="1" t="n">
        <v>45182</v>
      </c>
      <c r="D4724" t="inlineStr">
        <is>
          <t>JÄMTLANDS LÄN</t>
        </is>
      </c>
      <c r="E4724" t="inlineStr">
        <is>
          <t>HÄRJEDALEN</t>
        </is>
      </c>
      <c r="F4724" t="inlineStr">
        <is>
          <t>Holmen skog AB</t>
        </is>
      </c>
      <c r="G4724" t="n">
        <v>9.699999999999999</v>
      </c>
      <c r="H4724" t="n">
        <v>0</v>
      </c>
      <c r="I4724" t="n">
        <v>0</v>
      </c>
      <c r="J4724" t="n">
        <v>0</v>
      </c>
      <c r="K4724" t="n">
        <v>0</v>
      </c>
      <c r="L4724" t="n">
        <v>0</v>
      </c>
      <c r="M4724" t="n">
        <v>0</v>
      </c>
      <c r="N4724" t="n">
        <v>0</v>
      </c>
      <c r="O4724" t="n">
        <v>0</v>
      </c>
      <c r="P4724" t="n">
        <v>0</v>
      </c>
      <c r="Q4724" t="n">
        <v>0</v>
      </c>
      <c r="R4724" s="2" t="inlineStr"/>
    </row>
    <row r="4725" ht="15" customHeight="1">
      <c r="A4725" t="inlineStr">
        <is>
          <t>A 11578-2022</t>
        </is>
      </c>
      <c r="B4725" s="1" t="n">
        <v>44631</v>
      </c>
      <c r="C4725" s="1" t="n">
        <v>45182</v>
      </c>
      <c r="D4725" t="inlineStr">
        <is>
          <t>JÄMTLANDS LÄN</t>
        </is>
      </c>
      <c r="E4725" t="inlineStr">
        <is>
          <t>STRÖMSUND</t>
        </is>
      </c>
      <c r="G4725" t="n">
        <v>9.9</v>
      </c>
      <c r="H4725" t="n">
        <v>0</v>
      </c>
      <c r="I4725" t="n">
        <v>0</v>
      </c>
      <c r="J4725" t="n">
        <v>0</v>
      </c>
      <c r="K4725" t="n">
        <v>0</v>
      </c>
      <c r="L4725" t="n">
        <v>0</v>
      </c>
      <c r="M4725" t="n">
        <v>0</v>
      </c>
      <c r="N4725" t="n">
        <v>0</v>
      </c>
      <c r="O4725" t="n">
        <v>0</v>
      </c>
      <c r="P4725" t="n">
        <v>0</v>
      </c>
      <c r="Q4725" t="n">
        <v>0</v>
      </c>
      <c r="R4725" s="2" t="inlineStr"/>
    </row>
    <row r="4726" ht="15" customHeight="1">
      <c r="A4726" t="inlineStr">
        <is>
          <t>A 11591-2022</t>
        </is>
      </c>
      <c r="B4726" s="1" t="n">
        <v>44631</v>
      </c>
      <c r="C4726" s="1" t="n">
        <v>45182</v>
      </c>
      <c r="D4726" t="inlineStr">
        <is>
          <t>JÄMTLANDS LÄN</t>
        </is>
      </c>
      <c r="E4726" t="inlineStr">
        <is>
          <t>KROKOM</t>
        </is>
      </c>
      <c r="G4726" t="n">
        <v>2</v>
      </c>
      <c r="H4726" t="n">
        <v>0</v>
      </c>
      <c r="I4726" t="n">
        <v>0</v>
      </c>
      <c r="J4726" t="n">
        <v>0</v>
      </c>
      <c r="K4726" t="n">
        <v>0</v>
      </c>
      <c r="L4726" t="n">
        <v>0</v>
      </c>
      <c r="M4726" t="n">
        <v>0</v>
      </c>
      <c r="N4726" t="n">
        <v>0</v>
      </c>
      <c r="O4726" t="n">
        <v>0</v>
      </c>
      <c r="P4726" t="n">
        <v>0</v>
      </c>
      <c r="Q4726" t="n">
        <v>0</v>
      </c>
      <c r="R4726" s="2" t="inlineStr"/>
    </row>
    <row r="4727" ht="15" customHeight="1">
      <c r="A4727" t="inlineStr">
        <is>
          <t>A 11500-2022</t>
        </is>
      </c>
      <c r="B4727" s="1" t="n">
        <v>44631</v>
      </c>
      <c r="C4727" s="1" t="n">
        <v>45182</v>
      </c>
      <c r="D4727" t="inlineStr">
        <is>
          <t>JÄMTLANDS LÄN</t>
        </is>
      </c>
      <c r="E4727" t="inlineStr">
        <is>
          <t>ÅRE</t>
        </is>
      </c>
      <c r="G4727" t="n">
        <v>0.5</v>
      </c>
      <c r="H4727" t="n">
        <v>0</v>
      </c>
      <c r="I4727" t="n">
        <v>0</v>
      </c>
      <c r="J4727" t="n">
        <v>0</v>
      </c>
      <c r="K4727" t="n">
        <v>0</v>
      </c>
      <c r="L4727" t="n">
        <v>0</v>
      </c>
      <c r="M4727" t="n">
        <v>0</v>
      </c>
      <c r="N4727" t="n">
        <v>0</v>
      </c>
      <c r="O4727" t="n">
        <v>0</v>
      </c>
      <c r="P4727" t="n">
        <v>0</v>
      </c>
      <c r="Q4727" t="n">
        <v>0</v>
      </c>
      <c r="R4727" s="2" t="inlineStr"/>
    </row>
    <row r="4728" ht="15" customHeight="1">
      <c r="A4728" t="inlineStr">
        <is>
          <t>A 11551-2022</t>
        </is>
      </c>
      <c r="B4728" s="1" t="n">
        <v>44631</v>
      </c>
      <c r="C4728" s="1" t="n">
        <v>45182</v>
      </c>
      <c r="D4728" t="inlineStr">
        <is>
          <t>JÄMTLANDS LÄN</t>
        </is>
      </c>
      <c r="E4728" t="inlineStr">
        <is>
          <t>HÄRJEDALEN</t>
        </is>
      </c>
      <c r="F4728" t="inlineStr">
        <is>
          <t>Holmen skog AB</t>
        </is>
      </c>
      <c r="G4728" t="n">
        <v>17.6</v>
      </c>
      <c r="H4728" t="n">
        <v>0</v>
      </c>
      <c r="I4728" t="n">
        <v>0</v>
      </c>
      <c r="J4728" t="n">
        <v>0</v>
      </c>
      <c r="K4728" t="n">
        <v>0</v>
      </c>
      <c r="L4728" t="n">
        <v>0</v>
      </c>
      <c r="M4728" t="n">
        <v>0</v>
      </c>
      <c r="N4728" t="n">
        <v>0</v>
      </c>
      <c r="O4728" t="n">
        <v>0</v>
      </c>
      <c r="P4728" t="n">
        <v>0</v>
      </c>
      <c r="Q4728" t="n">
        <v>0</v>
      </c>
      <c r="R4728" s="2" t="inlineStr"/>
    </row>
    <row r="4729" ht="15" customHeight="1">
      <c r="A4729" t="inlineStr">
        <is>
          <t>A 11557-2022</t>
        </is>
      </c>
      <c r="B4729" s="1" t="n">
        <v>44631</v>
      </c>
      <c r="C4729" s="1" t="n">
        <v>45182</v>
      </c>
      <c r="D4729" t="inlineStr">
        <is>
          <t>JÄMTLANDS LÄN</t>
        </is>
      </c>
      <c r="E4729" t="inlineStr">
        <is>
          <t>HÄRJEDALEN</t>
        </is>
      </c>
      <c r="F4729" t="inlineStr">
        <is>
          <t>Holmen skog AB</t>
        </is>
      </c>
      <c r="G4729" t="n">
        <v>2.7</v>
      </c>
      <c r="H4729" t="n">
        <v>0</v>
      </c>
      <c r="I4729" t="n">
        <v>0</v>
      </c>
      <c r="J4729" t="n">
        <v>0</v>
      </c>
      <c r="K4729" t="n">
        <v>0</v>
      </c>
      <c r="L4729" t="n">
        <v>0</v>
      </c>
      <c r="M4729" t="n">
        <v>0</v>
      </c>
      <c r="N4729" t="n">
        <v>0</v>
      </c>
      <c r="O4729" t="n">
        <v>0</v>
      </c>
      <c r="P4729" t="n">
        <v>0</v>
      </c>
      <c r="Q4729" t="n">
        <v>0</v>
      </c>
      <c r="R4729" s="2" t="inlineStr"/>
    </row>
    <row r="4730" ht="15" customHeight="1">
      <c r="A4730" t="inlineStr">
        <is>
          <t>A 12018-2022</t>
        </is>
      </c>
      <c r="B4730" s="1" t="n">
        <v>44635</v>
      </c>
      <c r="C4730" s="1" t="n">
        <v>45182</v>
      </c>
      <c r="D4730" t="inlineStr">
        <is>
          <t>JÄMTLANDS LÄN</t>
        </is>
      </c>
      <c r="E4730" t="inlineStr">
        <is>
          <t>STRÖMSUND</t>
        </is>
      </c>
      <c r="F4730" t="inlineStr">
        <is>
          <t>SCA</t>
        </is>
      </c>
      <c r="G4730" t="n">
        <v>2.5</v>
      </c>
      <c r="H4730" t="n">
        <v>0</v>
      </c>
      <c r="I4730" t="n">
        <v>0</v>
      </c>
      <c r="J4730" t="n">
        <v>0</v>
      </c>
      <c r="K4730" t="n">
        <v>0</v>
      </c>
      <c r="L4730" t="n">
        <v>0</v>
      </c>
      <c r="M4730" t="n">
        <v>0</v>
      </c>
      <c r="N4730" t="n">
        <v>0</v>
      </c>
      <c r="O4730" t="n">
        <v>0</v>
      </c>
      <c r="P4730" t="n">
        <v>0</v>
      </c>
      <c r="Q4730" t="n">
        <v>0</v>
      </c>
      <c r="R4730" s="2" t="inlineStr"/>
    </row>
    <row r="4731" ht="15" customHeight="1">
      <c r="A4731" t="inlineStr">
        <is>
          <t>A 11856-2022</t>
        </is>
      </c>
      <c r="B4731" s="1" t="n">
        <v>44635</v>
      </c>
      <c r="C4731" s="1" t="n">
        <v>45182</v>
      </c>
      <c r="D4731" t="inlineStr">
        <is>
          <t>JÄMTLANDS LÄN</t>
        </is>
      </c>
      <c r="E4731" t="inlineStr">
        <is>
          <t>STRÖMSUND</t>
        </is>
      </c>
      <c r="G4731" t="n">
        <v>7.4</v>
      </c>
      <c r="H4731" t="n">
        <v>0</v>
      </c>
      <c r="I4731" t="n">
        <v>0</v>
      </c>
      <c r="J4731" t="n">
        <v>0</v>
      </c>
      <c r="K4731" t="n">
        <v>0</v>
      </c>
      <c r="L4731" t="n">
        <v>0</v>
      </c>
      <c r="M4731" t="n">
        <v>0</v>
      </c>
      <c r="N4731" t="n">
        <v>0</v>
      </c>
      <c r="O4731" t="n">
        <v>0</v>
      </c>
      <c r="P4731" t="n">
        <v>0</v>
      </c>
      <c r="Q4731" t="n">
        <v>0</v>
      </c>
      <c r="R4731" s="2" t="inlineStr"/>
    </row>
    <row r="4732" ht="15" customHeight="1">
      <c r="A4732" t="inlineStr">
        <is>
          <t>A 11933-2022</t>
        </is>
      </c>
      <c r="B4732" s="1" t="n">
        <v>44635</v>
      </c>
      <c r="C4732" s="1" t="n">
        <v>45182</v>
      </c>
      <c r="D4732" t="inlineStr">
        <is>
          <t>JÄMTLANDS LÄN</t>
        </is>
      </c>
      <c r="E4732" t="inlineStr">
        <is>
          <t>ÖSTERSUND</t>
        </is>
      </c>
      <c r="G4732" t="n">
        <v>0.7</v>
      </c>
      <c r="H4732" t="n">
        <v>0</v>
      </c>
      <c r="I4732" t="n">
        <v>0</v>
      </c>
      <c r="J4732" t="n">
        <v>0</v>
      </c>
      <c r="K4732" t="n">
        <v>0</v>
      </c>
      <c r="L4732" t="n">
        <v>0</v>
      </c>
      <c r="M4732" t="n">
        <v>0</v>
      </c>
      <c r="N4732" t="n">
        <v>0</v>
      </c>
      <c r="O4732" t="n">
        <v>0</v>
      </c>
      <c r="P4732" t="n">
        <v>0</v>
      </c>
      <c r="Q4732" t="n">
        <v>0</v>
      </c>
      <c r="R4732" s="2" t="inlineStr"/>
    </row>
    <row r="4733" ht="15" customHeight="1">
      <c r="A4733" t="inlineStr">
        <is>
          <t>A 12024-2022</t>
        </is>
      </c>
      <c r="B4733" s="1" t="n">
        <v>44635</v>
      </c>
      <c r="C4733" s="1" t="n">
        <v>45182</v>
      </c>
      <c r="D4733" t="inlineStr">
        <is>
          <t>JÄMTLANDS LÄN</t>
        </is>
      </c>
      <c r="E4733" t="inlineStr">
        <is>
          <t>RAGUNDA</t>
        </is>
      </c>
      <c r="F4733" t="inlineStr">
        <is>
          <t>SCA</t>
        </is>
      </c>
      <c r="G4733" t="n">
        <v>4.9</v>
      </c>
      <c r="H4733" t="n">
        <v>0</v>
      </c>
      <c r="I4733" t="n">
        <v>0</v>
      </c>
      <c r="J4733" t="n">
        <v>0</v>
      </c>
      <c r="K4733" t="n">
        <v>0</v>
      </c>
      <c r="L4733" t="n">
        <v>0</v>
      </c>
      <c r="M4733" t="n">
        <v>0</v>
      </c>
      <c r="N4733" t="n">
        <v>0</v>
      </c>
      <c r="O4733" t="n">
        <v>0</v>
      </c>
      <c r="P4733" t="n">
        <v>0</v>
      </c>
      <c r="Q4733" t="n">
        <v>0</v>
      </c>
      <c r="R4733" s="2" t="inlineStr"/>
    </row>
    <row r="4734" ht="15" customHeight="1">
      <c r="A4734" t="inlineStr">
        <is>
          <t>A 12285-2022</t>
        </is>
      </c>
      <c r="B4734" s="1" t="n">
        <v>44637</v>
      </c>
      <c r="C4734" s="1" t="n">
        <v>45182</v>
      </c>
      <c r="D4734" t="inlineStr">
        <is>
          <t>JÄMTLANDS LÄN</t>
        </is>
      </c>
      <c r="E4734" t="inlineStr">
        <is>
          <t>ÖSTERSUND</t>
        </is>
      </c>
      <c r="G4734" t="n">
        <v>1.4</v>
      </c>
      <c r="H4734" t="n">
        <v>0</v>
      </c>
      <c r="I4734" t="n">
        <v>0</v>
      </c>
      <c r="J4734" t="n">
        <v>0</v>
      </c>
      <c r="K4734" t="n">
        <v>0</v>
      </c>
      <c r="L4734" t="n">
        <v>0</v>
      </c>
      <c r="M4734" t="n">
        <v>0</v>
      </c>
      <c r="N4734" t="n">
        <v>0</v>
      </c>
      <c r="O4734" t="n">
        <v>0</v>
      </c>
      <c r="P4734" t="n">
        <v>0</v>
      </c>
      <c r="Q4734" t="n">
        <v>0</v>
      </c>
      <c r="R4734" s="2" t="inlineStr"/>
    </row>
    <row r="4735" ht="15" customHeight="1">
      <c r="A4735" t="inlineStr">
        <is>
          <t>A 13383-2022</t>
        </is>
      </c>
      <c r="B4735" s="1" t="n">
        <v>44637</v>
      </c>
      <c r="C4735" s="1" t="n">
        <v>45182</v>
      </c>
      <c r="D4735" t="inlineStr">
        <is>
          <t>JÄMTLANDS LÄN</t>
        </is>
      </c>
      <c r="E4735" t="inlineStr">
        <is>
          <t>ÅRE</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12388-2022</t>
        </is>
      </c>
      <c r="B4736" s="1" t="n">
        <v>44637</v>
      </c>
      <c r="C4736" s="1" t="n">
        <v>45182</v>
      </c>
      <c r="D4736" t="inlineStr">
        <is>
          <t>JÄMTLANDS LÄN</t>
        </is>
      </c>
      <c r="E4736" t="inlineStr">
        <is>
          <t>BRÄCKE</t>
        </is>
      </c>
      <c r="G4736" t="n">
        <v>27.6</v>
      </c>
      <c r="H4736" t="n">
        <v>0</v>
      </c>
      <c r="I4736" t="n">
        <v>0</v>
      </c>
      <c r="J4736" t="n">
        <v>0</v>
      </c>
      <c r="K4736" t="n">
        <v>0</v>
      </c>
      <c r="L4736" t="n">
        <v>0</v>
      </c>
      <c r="M4736" t="n">
        <v>0</v>
      </c>
      <c r="N4736" t="n">
        <v>0</v>
      </c>
      <c r="O4736" t="n">
        <v>0</v>
      </c>
      <c r="P4736" t="n">
        <v>0</v>
      </c>
      <c r="Q4736" t="n">
        <v>0</v>
      </c>
      <c r="R4736" s="2" t="inlineStr"/>
    </row>
    <row r="4737" ht="15" customHeight="1">
      <c r="A4737" t="inlineStr">
        <is>
          <t>A 12286-2022</t>
        </is>
      </c>
      <c r="B4737" s="1" t="n">
        <v>44637</v>
      </c>
      <c r="C4737" s="1" t="n">
        <v>45182</v>
      </c>
      <c r="D4737" t="inlineStr">
        <is>
          <t>JÄMTLANDS LÄN</t>
        </is>
      </c>
      <c r="E4737" t="inlineStr">
        <is>
          <t>ÖSTERSUND</t>
        </is>
      </c>
      <c r="G4737" t="n">
        <v>0.5</v>
      </c>
      <c r="H4737" t="n">
        <v>0</v>
      </c>
      <c r="I4737" t="n">
        <v>0</v>
      </c>
      <c r="J4737" t="n">
        <v>0</v>
      </c>
      <c r="K4737" t="n">
        <v>0</v>
      </c>
      <c r="L4737" t="n">
        <v>0</v>
      </c>
      <c r="M4737" t="n">
        <v>0</v>
      </c>
      <c r="N4737" t="n">
        <v>0</v>
      </c>
      <c r="O4737" t="n">
        <v>0</v>
      </c>
      <c r="P4737" t="n">
        <v>0</v>
      </c>
      <c r="Q4737" t="n">
        <v>0</v>
      </c>
      <c r="R4737" s="2" t="inlineStr"/>
    </row>
    <row r="4738" ht="15" customHeight="1">
      <c r="A4738" t="inlineStr">
        <is>
          <t>A 12457-2022</t>
        </is>
      </c>
      <c r="B4738" s="1" t="n">
        <v>44638</v>
      </c>
      <c r="C4738" s="1" t="n">
        <v>45182</v>
      </c>
      <c r="D4738" t="inlineStr">
        <is>
          <t>JÄMTLANDS LÄN</t>
        </is>
      </c>
      <c r="E4738" t="inlineStr">
        <is>
          <t>BERG</t>
        </is>
      </c>
      <c r="G4738" t="n">
        <v>11.7</v>
      </c>
      <c r="H4738" t="n">
        <v>0</v>
      </c>
      <c r="I4738" t="n">
        <v>0</v>
      </c>
      <c r="J4738" t="n">
        <v>0</v>
      </c>
      <c r="K4738" t="n">
        <v>0</v>
      </c>
      <c r="L4738" t="n">
        <v>0</v>
      </c>
      <c r="M4738" t="n">
        <v>0</v>
      </c>
      <c r="N4738" t="n">
        <v>0</v>
      </c>
      <c r="O4738" t="n">
        <v>0</v>
      </c>
      <c r="P4738" t="n">
        <v>0</v>
      </c>
      <c r="Q4738" t="n">
        <v>0</v>
      </c>
      <c r="R4738" s="2" t="inlineStr"/>
    </row>
    <row r="4739" ht="15" customHeight="1">
      <c r="A4739" t="inlineStr">
        <is>
          <t>A 12610-2022</t>
        </is>
      </c>
      <c r="B4739" s="1" t="n">
        <v>44638</v>
      </c>
      <c r="C4739" s="1" t="n">
        <v>45182</v>
      </c>
      <c r="D4739" t="inlineStr">
        <is>
          <t>JÄMTLANDS LÄN</t>
        </is>
      </c>
      <c r="E4739" t="inlineStr">
        <is>
          <t>BRÄCKE</t>
        </is>
      </c>
      <c r="G4739" t="n">
        <v>1</v>
      </c>
      <c r="H4739" t="n">
        <v>0</v>
      </c>
      <c r="I4739" t="n">
        <v>0</v>
      </c>
      <c r="J4739" t="n">
        <v>0</v>
      </c>
      <c r="K4739" t="n">
        <v>0</v>
      </c>
      <c r="L4739" t="n">
        <v>0</v>
      </c>
      <c r="M4739" t="n">
        <v>0</v>
      </c>
      <c r="N4739" t="n">
        <v>0</v>
      </c>
      <c r="O4739" t="n">
        <v>0</v>
      </c>
      <c r="P4739" t="n">
        <v>0</v>
      </c>
      <c r="Q4739" t="n">
        <v>0</v>
      </c>
      <c r="R4739" s="2" t="inlineStr"/>
    </row>
    <row r="4740" ht="15" customHeight="1">
      <c r="A4740" t="inlineStr">
        <is>
          <t>A 12543-2022</t>
        </is>
      </c>
      <c r="B4740" s="1" t="n">
        <v>44638</v>
      </c>
      <c r="C4740" s="1" t="n">
        <v>45182</v>
      </c>
      <c r="D4740" t="inlineStr">
        <is>
          <t>JÄMTLANDS LÄN</t>
        </is>
      </c>
      <c r="E4740" t="inlineStr">
        <is>
          <t>KROKOM</t>
        </is>
      </c>
      <c r="G4740" t="n">
        <v>7.9</v>
      </c>
      <c r="H4740" t="n">
        <v>0</v>
      </c>
      <c r="I4740" t="n">
        <v>0</v>
      </c>
      <c r="J4740" t="n">
        <v>0</v>
      </c>
      <c r="K4740" t="n">
        <v>0</v>
      </c>
      <c r="L4740" t="n">
        <v>0</v>
      </c>
      <c r="M4740" t="n">
        <v>0</v>
      </c>
      <c r="N4740" t="n">
        <v>0</v>
      </c>
      <c r="O4740" t="n">
        <v>0</v>
      </c>
      <c r="P4740" t="n">
        <v>0</v>
      </c>
      <c r="Q4740" t="n">
        <v>0</v>
      </c>
      <c r="R4740" s="2" t="inlineStr"/>
    </row>
    <row r="4741" ht="15" customHeight="1">
      <c r="A4741" t="inlineStr">
        <is>
          <t>A 12601-2022</t>
        </is>
      </c>
      <c r="B4741" s="1" t="n">
        <v>44638</v>
      </c>
      <c r="C4741" s="1" t="n">
        <v>45182</v>
      </c>
      <c r="D4741" t="inlineStr">
        <is>
          <t>JÄMTLANDS LÄN</t>
        </is>
      </c>
      <c r="E4741" t="inlineStr">
        <is>
          <t>BRÄCKE</t>
        </is>
      </c>
      <c r="G4741" t="n">
        <v>3.1</v>
      </c>
      <c r="H4741" t="n">
        <v>0</v>
      </c>
      <c r="I4741" t="n">
        <v>0</v>
      </c>
      <c r="J4741" t="n">
        <v>0</v>
      </c>
      <c r="K4741" t="n">
        <v>0</v>
      </c>
      <c r="L4741" t="n">
        <v>0</v>
      </c>
      <c r="M4741" t="n">
        <v>0</v>
      </c>
      <c r="N4741" t="n">
        <v>0</v>
      </c>
      <c r="O4741" t="n">
        <v>0</v>
      </c>
      <c r="P4741" t="n">
        <v>0</v>
      </c>
      <c r="Q4741" t="n">
        <v>0</v>
      </c>
      <c r="R4741" s="2" t="inlineStr"/>
    </row>
    <row r="4742" ht="15" customHeight="1">
      <c r="A4742" t="inlineStr">
        <is>
          <t>A 12773-2022</t>
        </is>
      </c>
      <c r="B4742" s="1" t="n">
        <v>44641</v>
      </c>
      <c r="C4742" s="1" t="n">
        <v>45182</v>
      </c>
      <c r="D4742" t="inlineStr">
        <is>
          <t>JÄMTLANDS LÄN</t>
        </is>
      </c>
      <c r="E4742" t="inlineStr">
        <is>
          <t>RAGUNDA</t>
        </is>
      </c>
      <c r="F4742" t="inlineStr">
        <is>
          <t>SCA</t>
        </is>
      </c>
      <c r="G4742" t="n">
        <v>14.7</v>
      </c>
      <c r="H4742" t="n">
        <v>0</v>
      </c>
      <c r="I4742" t="n">
        <v>0</v>
      </c>
      <c r="J4742" t="n">
        <v>0</v>
      </c>
      <c r="K4742" t="n">
        <v>0</v>
      </c>
      <c r="L4742" t="n">
        <v>0</v>
      </c>
      <c r="M4742" t="n">
        <v>0</v>
      </c>
      <c r="N4742" t="n">
        <v>0</v>
      </c>
      <c r="O4742" t="n">
        <v>0</v>
      </c>
      <c r="P4742" t="n">
        <v>0</v>
      </c>
      <c r="Q4742" t="n">
        <v>0</v>
      </c>
      <c r="R4742" s="2" t="inlineStr"/>
    </row>
    <row r="4743" ht="15" customHeight="1">
      <c r="A4743" t="inlineStr">
        <is>
          <t>A 12768-2022</t>
        </is>
      </c>
      <c r="B4743" s="1" t="n">
        <v>44641</v>
      </c>
      <c r="C4743" s="1" t="n">
        <v>45182</v>
      </c>
      <c r="D4743" t="inlineStr">
        <is>
          <t>JÄMTLANDS LÄN</t>
        </is>
      </c>
      <c r="E4743" t="inlineStr">
        <is>
          <t>RAGUNDA</t>
        </is>
      </c>
      <c r="F4743" t="inlineStr">
        <is>
          <t>SCA</t>
        </is>
      </c>
      <c r="G4743" t="n">
        <v>8</v>
      </c>
      <c r="H4743" t="n">
        <v>0</v>
      </c>
      <c r="I4743" t="n">
        <v>0</v>
      </c>
      <c r="J4743" t="n">
        <v>0</v>
      </c>
      <c r="K4743" t="n">
        <v>0</v>
      </c>
      <c r="L4743" t="n">
        <v>0</v>
      </c>
      <c r="M4743" t="n">
        <v>0</v>
      </c>
      <c r="N4743" t="n">
        <v>0</v>
      </c>
      <c r="O4743" t="n">
        <v>0</v>
      </c>
      <c r="P4743" t="n">
        <v>0</v>
      </c>
      <c r="Q4743" t="n">
        <v>0</v>
      </c>
      <c r="R4743" s="2" t="inlineStr"/>
    </row>
    <row r="4744" ht="15" customHeight="1">
      <c r="A4744" t="inlineStr">
        <is>
          <t>A 12810-2022</t>
        </is>
      </c>
      <c r="B4744" s="1" t="n">
        <v>44642</v>
      </c>
      <c r="C4744" s="1" t="n">
        <v>45182</v>
      </c>
      <c r="D4744" t="inlineStr">
        <is>
          <t>JÄMTLANDS LÄN</t>
        </is>
      </c>
      <c r="E4744" t="inlineStr">
        <is>
          <t>HÄRJEDALEN</t>
        </is>
      </c>
      <c r="F4744" t="inlineStr">
        <is>
          <t>Holmen skog AB</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12822-2022</t>
        </is>
      </c>
      <c r="B4745" s="1" t="n">
        <v>44642</v>
      </c>
      <c r="C4745" s="1" t="n">
        <v>45182</v>
      </c>
      <c r="D4745" t="inlineStr">
        <is>
          <t>JÄMTLANDS LÄN</t>
        </is>
      </c>
      <c r="E4745" t="inlineStr">
        <is>
          <t>STRÖMSUND</t>
        </is>
      </c>
      <c r="G4745" t="n">
        <v>2.2</v>
      </c>
      <c r="H4745" t="n">
        <v>0</v>
      </c>
      <c r="I4745" t="n">
        <v>0</v>
      </c>
      <c r="J4745" t="n">
        <v>0</v>
      </c>
      <c r="K4745" t="n">
        <v>0</v>
      </c>
      <c r="L4745" t="n">
        <v>0</v>
      </c>
      <c r="M4745" t="n">
        <v>0</v>
      </c>
      <c r="N4745" t="n">
        <v>0</v>
      </c>
      <c r="O4745" t="n">
        <v>0</v>
      </c>
      <c r="P4745" t="n">
        <v>0</v>
      </c>
      <c r="Q4745" t="n">
        <v>0</v>
      </c>
      <c r="R4745" s="2" t="inlineStr"/>
    </row>
    <row r="4746" ht="15" customHeight="1">
      <c r="A4746" t="inlineStr">
        <is>
          <t>A 13024-2022</t>
        </is>
      </c>
      <c r="B4746" s="1" t="n">
        <v>44643</v>
      </c>
      <c r="C4746" s="1" t="n">
        <v>45182</v>
      </c>
      <c r="D4746" t="inlineStr">
        <is>
          <t>JÄMTLANDS LÄN</t>
        </is>
      </c>
      <c r="E4746" t="inlineStr">
        <is>
          <t>ÖSTERSUND</t>
        </is>
      </c>
      <c r="G4746" t="n">
        <v>0.9</v>
      </c>
      <c r="H4746" t="n">
        <v>0</v>
      </c>
      <c r="I4746" t="n">
        <v>0</v>
      </c>
      <c r="J4746" t="n">
        <v>0</v>
      </c>
      <c r="K4746" t="n">
        <v>0</v>
      </c>
      <c r="L4746" t="n">
        <v>0</v>
      </c>
      <c r="M4746" t="n">
        <v>0</v>
      </c>
      <c r="N4746" t="n">
        <v>0</v>
      </c>
      <c r="O4746" t="n">
        <v>0</v>
      </c>
      <c r="P4746" t="n">
        <v>0</v>
      </c>
      <c r="Q4746" t="n">
        <v>0</v>
      </c>
      <c r="R4746" s="2" t="inlineStr"/>
    </row>
    <row r="4747" ht="15" customHeight="1">
      <c r="A4747" t="inlineStr">
        <is>
          <t>A 13098-2022</t>
        </is>
      </c>
      <c r="B4747" s="1" t="n">
        <v>44643</v>
      </c>
      <c r="C4747" s="1" t="n">
        <v>45182</v>
      </c>
      <c r="D4747" t="inlineStr">
        <is>
          <t>JÄMTLANDS LÄN</t>
        </is>
      </c>
      <c r="E4747" t="inlineStr">
        <is>
          <t>STRÖMSUND</t>
        </is>
      </c>
      <c r="F4747" t="inlineStr">
        <is>
          <t>SCA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13303-2022</t>
        </is>
      </c>
      <c r="B4748" s="1" t="n">
        <v>44644</v>
      </c>
      <c r="C4748" s="1" t="n">
        <v>45182</v>
      </c>
      <c r="D4748" t="inlineStr">
        <is>
          <t>JÄMTLANDS LÄN</t>
        </is>
      </c>
      <c r="E4748" t="inlineStr">
        <is>
          <t>RAGUNDA</t>
        </is>
      </c>
      <c r="F4748" t="inlineStr">
        <is>
          <t>SCA</t>
        </is>
      </c>
      <c r="G4748" t="n">
        <v>2.9</v>
      </c>
      <c r="H4748" t="n">
        <v>0</v>
      </c>
      <c r="I4748" t="n">
        <v>0</v>
      </c>
      <c r="J4748" t="n">
        <v>0</v>
      </c>
      <c r="K4748" t="n">
        <v>0</v>
      </c>
      <c r="L4748" t="n">
        <v>0</v>
      </c>
      <c r="M4748" t="n">
        <v>0</v>
      </c>
      <c r="N4748" t="n">
        <v>0</v>
      </c>
      <c r="O4748" t="n">
        <v>0</v>
      </c>
      <c r="P4748" t="n">
        <v>0</v>
      </c>
      <c r="Q4748" t="n">
        <v>0</v>
      </c>
      <c r="R4748" s="2" t="inlineStr"/>
    </row>
    <row r="4749" ht="15" customHeight="1">
      <c r="A4749" t="inlineStr">
        <is>
          <t>A 13221-2022</t>
        </is>
      </c>
      <c r="B4749" s="1" t="n">
        <v>44644</v>
      </c>
      <c r="C4749" s="1" t="n">
        <v>45182</v>
      </c>
      <c r="D4749" t="inlineStr">
        <is>
          <t>JÄMTLANDS LÄN</t>
        </is>
      </c>
      <c r="E4749" t="inlineStr">
        <is>
          <t>ÅRE</t>
        </is>
      </c>
      <c r="F4749" t="inlineStr">
        <is>
          <t>Övriga Aktiebolag</t>
        </is>
      </c>
      <c r="G4749" t="n">
        <v>13.7</v>
      </c>
      <c r="H4749" t="n">
        <v>0</v>
      </c>
      <c r="I4749" t="n">
        <v>0</v>
      </c>
      <c r="J4749" t="n">
        <v>0</v>
      </c>
      <c r="K4749" t="n">
        <v>0</v>
      </c>
      <c r="L4749" t="n">
        <v>0</v>
      </c>
      <c r="M4749" t="n">
        <v>0</v>
      </c>
      <c r="N4749" t="n">
        <v>0</v>
      </c>
      <c r="O4749" t="n">
        <v>0</v>
      </c>
      <c r="P4749" t="n">
        <v>0</v>
      </c>
      <c r="Q4749" t="n">
        <v>0</v>
      </c>
      <c r="R4749" s="2" t="inlineStr"/>
    </row>
    <row r="4750" ht="15" customHeight="1">
      <c r="A4750" t="inlineStr">
        <is>
          <t>A 13302-2022</t>
        </is>
      </c>
      <c r="B4750" s="1" t="n">
        <v>44644</v>
      </c>
      <c r="C4750" s="1" t="n">
        <v>45182</v>
      </c>
      <c r="D4750" t="inlineStr">
        <is>
          <t>JÄMTLANDS LÄN</t>
        </is>
      </c>
      <c r="E4750" t="inlineStr">
        <is>
          <t>RAGUNDA</t>
        </is>
      </c>
      <c r="F4750" t="inlineStr">
        <is>
          <t>SCA</t>
        </is>
      </c>
      <c r="G4750" t="n">
        <v>35.6</v>
      </c>
      <c r="H4750" t="n">
        <v>0</v>
      </c>
      <c r="I4750" t="n">
        <v>0</v>
      </c>
      <c r="J4750" t="n">
        <v>0</v>
      </c>
      <c r="K4750" t="n">
        <v>0</v>
      </c>
      <c r="L4750" t="n">
        <v>0</v>
      </c>
      <c r="M4750" t="n">
        <v>0</v>
      </c>
      <c r="N4750" t="n">
        <v>0</v>
      </c>
      <c r="O4750" t="n">
        <v>0</v>
      </c>
      <c r="P4750" t="n">
        <v>0</v>
      </c>
      <c r="Q4750" t="n">
        <v>0</v>
      </c>
      <c r="R4750" s="2" t="inlineStr"/>
    </row>
    <row r="4751" ht="15" customHeight="1">
      <c r="A4751" t="inlineStr">
        <is>
          <t>A 13525-2022</t>
        </is>
      </c>
      <c r="B4751" s="1" t="n">
        <v>44648</v>
      </c>
      <c r="C4751" s="1" t="n">
        <v>45182</v>
      </c>
      <c r="D4751" t="inlineStr">
        <is>
          <t>JÄMTLANDS LÄN</t>
        </is>
      </c>
      <c r="E4751" t="inlineStr">
        <is>
          <t>BRÄCKE</t>
        </is>
      </c>
      <c r="G4751" t="n">
        <v>0.5</v>
      </c>
      <c r="H4751" t="n">
        <v>0</v>
      </c>
      <c r="I4751" t="n">
        <v>0</v>
      </c>
      <c r="J4751" t="n">
        <v>0</v>
      </c>
      <c r="K4751" t="n">
        <v>0</v>
      </c>
      <c r="L4751" t="n">
        <v>0</v>
      </c>
      <c r="M4751" t="n">
        <v>0</v>
      </c>
      <c r="N4751" t="n">
        <v>0</v>
      </c>
      <c r="O4751" t="n">
        <v>0</v>
      </c>
      <c r="P4751" t="n">
        <v>0</v>
      </c>
      <c r="Q4751" t="n">
        <v>0</v>
      </c>
      <c r="R4751" s="2" t="inlineStr"/>
    </row>
    <row r="4752" ht="15" customHeight="1">
      <c r="A4752" t="inlineStr">
        <is>
          <t>A 13636-2022</t>
        </is>
      </c>
      <c r="B4752" s="1" t="n">
        <v>44648</v>
      </c>
      <c r="C4752" s="1" t="n">
        <v>45182</v>
      </c>
      <c r="D4752" t="inlineStr">
        <is>
          <t>JÄMTLANDS LÄN</t>
        </is>
      </c>
      <c r="E4752" t="inlineStr">
        <is>
          <t>BERG</t>
        </is>
      </c>
      <c r="G4752" t="n">
        <v>1.2</v>
      </c>
      <c r="H4752" t="n">
        <v>0</v>
      </c>
      <c r="I4752" t="n">
        <v>0</v>
      </c>
      <c r="J4752" t="n">
        <v>0</v>
      </c>
      <c r="K4752" t="n">
        <v>0</v>
      </c>
      <c r="L4752" t="n">
        <v>0</v>
      </c>
      <c r="M4752" t="n">
        <v>0</v>
      </c>
      <c r="N4752" t="n">
        <v>0</v>
      </c>
      <c r="O4752" t="n">
        <v>0</v>
      </c>
      <c r="P4752" t="n">
        <v>0</v>
      </c>
      <c r="Q4752" t="n">
        <v>0</v>
      </c>
      <c r="R4752" s="2" t="inlineStr"/>
    </row>
    <row r="4753" ht="15" customHeight="1">
      <c r="A4753" t="inlineStr">
        <is>
          <t>A 13768-2022</t>
        </is>
      </c>
      <c r="B4753" s="1" t="n">
        <v>44649</v>
      </c>
      <c r="C4753" s="1" t="n">
        <v>45182</v>
      </c>
      <c r="D4753" t="inlineStr">
        <is>
          <t>JÄMTLANDS LÄN</t>
        </is>
      </c>
      <c r="E4753" t="inlineStr">
        <is>
          <t>RAGUNDA</t>
        </is>
      </c>
      <c r="F4753" t="inlineStr">
        <is>
          <t>Kommuner</t>
        </is>
      </c>
      <c r="G4753" t="n">
        <v>2.6</v>
      </c>
      <c r="H4753" t="n">
        <v>0</v>
      </c>
      <c r="I4753" t="n">
        <v>0</v>
      </c>
      <c r="J4753" t="n">
        <v>0</v>
      </c>
      <c r="K4753" t="n">
        <v>0</v>
      </c>
      <c r="L4753" t="n">
        <v>0</v>
      </c>
      <c r="M4753" t="n">
        <v>0</v>
      </c>
      <c r="N4753" t="n">
        <v>0</v>
      </c>
      <c r="O4753" t="n">
        <v>0</v>
      </c>
      <c r="P4753" t="n">
        <v>0</v>
      </c>
      <c r="Q4753" t="n">
        <v>0</v>
      </c>
      <c r="R4753" s="2" t="inlineStr"/>
    </row>
    <row r="4754" ht="15" customHeight="1">
      <c r="A4754" t="inlineStr">
        <is>
          <t>A 13911-2022</t>
        </is>
      </c>
      <c r="B4754" s="1" t="n">
        <v>44650</v>
      </c>
      <c r="C4754" s="1" t="n">
        <v>45182</v>
      </c>
      <c r="D4754" t="inlineStr">
        <is>
          <t>JÄMTLANDS LÄN</t>
        </is>
      </c>
      <c r="E4754" t="inlineStr">
        <is>
          <t>RAGUNDA</t>
        </is>
      </c>
      <c r="G4754" t="n">
        <v>0.6</v>
      </c>
      <c r="H4754" t="n">
        <v>0</v>
      </c>
      <c r="I4754" t="n">
        <v>0</v>
      </c>
      <c r="J4754" t="n">
        <v>0</v>
      </c>
      <c r="K4754" t="n">
        <v>0</v>
      </c>
      <c r="L4754" t="n">
        <v>0</v>
      </c>
      <c r="M4754" t="n">
        <v>0</v>
      </c>
      <c r="N4754" t="n">
        <v>0</v>
      </c>
      <c r="O4754" t="n">
        <v>0</v>
      </c>
      <c r="P4754" t="n">
        <v>0</v>
      </c>
      <c r="Q4754" t="n">
        <v>0</v>
      </c>
      <c r="R4754" s="2" t="inlineStr"/>
    </row>
    <row r="4755" ht="15" customHeight="1">
      <c r="A4755" t="inlineStr">
        <is>
          <t>A 13991-2022</t>
        </is>
      </c>
      <c r="B4755" s="1" t="n">
        <v>44650</v>
      </c>
      <c r="C4755" s="1" t="n">
        <v>45182</v>
      </c>
      <c r="D4755" t="inlineStr">
        <is>
          <t>JÄMTLANDS LÄN</t>
        </is>
      </c>
      <c r="E4755" t="inlineStr">
        <is>
          <t>HÄRJEDALEN</t>
        </is>
      </c>
      <c r="F4755" t="inlineStr">
        <is>
          <t>Holmen skog AB</t>
        </is>
      </c>
      <c r="G4755" t="n">
        <v>6.2</v>
      </c>
      <c r="H4755" t="n">
        <v>0</v>
      </c>
      <c r="I4755" t="n">
        <v>0</v>
      </c>
      <c r="J4755" t="n">
        <v>0</v>
      </c>
      <c r="K4755" t="n">
        <v>0</v>
      </c>
      <c r="L4755" t="n">
        <v>0</v>
      </c>
      <c r="M4755" t="n">
        <v>0</v>
      </c>
      <c r="N4755" t="n">
        <v>0</v>
      </c>
      <c r="O4755" t="n">
        <v>0</v>
      </c>
      <c r="P4755" t="n">
        <v>0</v>
      </c>
      <c r="Q4755" t="n">
        <v>0</v>
      </c>
      <c r="R4755" s="2" t="inlineStr"/>
    </row>
    <row r="4756" ht="15" customHeight="1">
      <c r="A4756" t="inlineStr">
        <is>
          <t>A 13964-2022</t>
        </is>
      </c>
      <c r="B4756" s="1" t="n">
        <v>44650</v>
      </c>
      <c r="C4756" s="1" t="n">
        <v>45182</v>
      </c>
      <c r="D4756" t="inlineStr">
        <is>
          <t>JÄMTLANDS LÄN</t>
        </is>
      </c>
      <c r="E4756" t="inlineStr">
        <is>
          <t>RAGUNDA</t>
        </is>
      </c>
      <c r="G4756" t="n">
        <v>2.6</v>
      </c>
      <c r="H4756" t="n">
        <v>0</v>
      </c>
      <c r="I4756" t="n">
        <v>0</v>
      </c>
      <c r="J4756" t="n">
        <v>0</v>
      </c>
      <c r="K4756" t="n">
        <v>0</v>
      </c>
      <c r="L4756" t="n">
        <v>0</v>
      </c>
      <c r="M4756" t="n">
        <v>0</v>
      </c>
      <c r="N4756" t="n">
        <v>0</v>
      </c>
      <c r="O4756" t="n">
        <v>0</v>
      </c>
      <c r="P4756" t="n">
        <v>0</v>
      </c>
      <c r="Q4756" t="n">
        <v>0</v>
      </c>
      <c r="R4756" s="2" t="inlineStr"/>
    </row>
    <row r="4757" ht="15" customHeight="1">
      <c r="A4757" t="inlineStr">
        <is>
          <t>A 14043-2022</t>
        </is>
      </c>
      <c r="B4757" s="1" t="n">
        <v>44650</v>
      </c>
      <c r="C4757" s="1" t="n">
        <v>45182</v>
      </c>
      <c r="D4757" t="inlineStr">
        <is>
          <t>JÄMTLANDS LÄN</t>
        </is>
      </c>
      <c r="E4757" t="inlineStr">
        <is>
          <t>STRÖMSUND</t>
        </is>
      </c>
      <c r="G4757" t="n">
        <v>11.6</v>
      </c>
      <c r="H4757" t="n">
        <v>0</v>
      </c>
      <c r="I4757" t="n">
        <v>0</v>
      </c>
      <c r="J4757" t="n">
        <v>0</v>
      </c>
      <c r="K4757" t="n">
        <v>0</v>
      </c>
      <c r="L4757" t="n">
        <v>0</v>
      </c>
      <c r="M4757" t="n">
        <v>0</v>
      </c>
      <c r="N4757" t="n">
        <v>0</v>
      </c>
      <c r="O4757" t="n">
        <v>0</v>
      </c>
      <c r="P4757" t="n">
        <v>0</v>
      </c>
      <c r="Q4757" t="n">
        <v>0</v>
      </c>
      <c r="R4757" s="2" t="inlineStr"/>
    </row>
    <row r="4758" ht="15" customHeight="1">
      <c r="A4758" t="inlineStr">
        <is>
          <t>A 14281-2022</t>
        </is>
      </c>
      <c r="B4758" s="1" t="n">
        <v>44651</v>
      </c>
      <c r="C4758" s="1" t="n">
        <v>45182</v>
      </c>
      <c r="D4758" t="inlineStr">
        <is>
          <t>JÄMTLANDS LÄN</t>
        </is>
      </c>
      <c r="E4758" t="inlineStr">
        <is>
          <t>STRÖMSUND</t>
        </is>
      </c>
      <c r="G4758" t="n">
        <v>2.9</v>
      </c>
      <c r="H4758" t="n">
        <v>0</v>
      </c>
      <c r="I4758" t="n">
        <v>0</v>
      </c>
      <c r="J4758" t="n">
        <v>0</v>
      </c>
      <c r="K4758" t="n">
        <v>0</v>
      </c>
      <c r="L4758" t="n">
        <v>0</v>
      </c>
      <c r="M4758" t="n">
        <v>0</v>
      </c>
      <c r="N4758" t="n">
        <v>0</v>
      </c>
      <c r="O4758" t="n">
        <v>0</v>
      </c>
      <c r="P4758" t="n">
        <v>0</v>
      </c>
      <c r="Q4758" t="n">
        <v>0</v>
      </c>
      <c r="R4758" s="2" t="inlineStr"/>
    </row>
    <row r="4759" ht="15" customHeight="1">
      <c r="A4759" t="inlineStr">
        <is>
          <t>A 14283-2022</t>
        </is>
      </c>
      <c r="B4759" s="1" t="n">
        <v>44651</v>
      </c>
      <c r="C4759" s="1" t="n">
        <v>45182</v>
      </c>
      <c r="D4759" t="inlineStr">
        <is>
          <t>JÄMTLANDS LÄN</t>
        </is>
      </c>
      <c r="E4759" t="inlineStr">
        <is>
          <t>STRÖMSUND</t>
        </is>
      </c>
      <c r="F4759" t="inlineStr">
        <is>
          <t>SCA</t>
        </is>
      </c>
      <c r="G4759" t="n">
        <v>10.6</v>
      </c>
      <c r="H4759" t="n">
        <v>0</v>
      </c>
      <c r="I4759" t="n">
        <v>0</v>
      </c>
      <c r="J4759" t="n">
        <v>0</v>
      </c>
      <c r="K4759" t="n">
        <v>0</v>
      </c>
      <c r="L4759" t="n">
        <v>0</v>
      </c>
      <c r="M4759" t="n">
        <v>0</v>
      </c>
      <c r="N4759" t="n">
        <v>0</v>
      </c>
      <c r="O4759" t="n">
        <v>0</v>
      </c>
      <c r="P4759" t="n">
        <v>0</v>
      </c>
      <c r="Q4759" t="n">
        <v>0</v>
      </c>
      <c r="R4759" s="2" t="inlineStr"/>
    </row>
    <row r="4760" ht="15" customHeight="1">
      <c r="A4760" t="inlineStr">
        <is>
          <t>A 14289-2022</t>
        </is>
      </c>
      <c r="B4760" s="1" t="n">
        <v>44651</v>
      </c>
      <c r="C4760" s="1" t="n">
        <v>45182</v>
      </c>
      <c r="D4760" t="inlineStr">
        <is>
          <t>JÄMTLANDS LÄN</t>
        </is>
      </c>
      <c r="E4760" t="inlineStr">
        <is>
          <t>STRÖMSUND</t>
        </is>
      </c>
      <c r="F4760" t="inlineStr">
        <is>
          <t>SCA</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14288-2022</t>
        </is>
      </c>
      <c r="B4761" s="1" t="n">
        <v>44651</v>
      </c>
      <c r="C4761" s="1" t="n">
        <v>45182</v>
      </c>
      <c r="D4761" t="inlineStr">
        <is>
          <t>JÄMTLANDS LÄN</t>
        </is>
      </c>
      <c r="E4761" t="inlineStr">
        <is>
          <t>STRÖMSUND</t>
        </is>
      </c>
      <c r="F4761" t="inlineStr">
        <is>
          <t>SCA</t>
        </is>
      </c>
      <c r="G4761" t="n">
        <v>3.7</v>
      </c>
      <c r="H4761" t="n">
        <v>0</v>
      </c>
      <c r="I4761" t="n">
        <v>0</v>
      </c>
      <c r="J4761" t="n">
        <v>0</v>
      </c>
      <c r="K4761" t="n">
        <v>0</v>
      </c>
      <c r="L4761" t="n">
        <v>0</v>
      </c>
      <c r="M4761" t="n">
        <v>0</v>
      </c>
      <c r="N4761" t="n">
        <v>0</v>
      </c>
      <c r="O4761" t="n">
        <v>0</v>
      </c>
      <c r="P4761" t="n">
        <v>0</v>
      </c>
      <c r="Q4761" t="n">
        <v>0</v>
      </c>
      <c r="R4761" s="2" t="inlineStr"/>
    </row>
    <row r="4762" ht="15" customHeight="1">
      <c r="A4762" t="inlineStr">
        <is>
          <t>A 14292-2022</t>
        </is>
      </c>
      <c r="B4762" s="1" t="n">
        <v>44651</v>
      </c>
      <c r="C4762" s="1" t="n">
        <v>45182</v>
      </c>
      <c r="D4762" t="inlineStr">
        <is>
          <t>JÄMTLANDS LÄN</t>
        </is>
      </c>
      <c r="E4762" t="inlineStr">
        <is>
          <t>STRÖMSUND</t>
        </is>
      </c>
      <c r="F4762" t="inlineStr">
        <is>
          <t>SCA</t>
        </is>
      </c>
      <c r="G4762" t="n">
        <v>4.5</v>
      </c>
      <c r="H4762" t="n">
        <v>0</v>
      </c>
      <c r="I4762" t="n">
        <v>0</v>
      </c>
      <c r="J4762" t="n">
        <v>0</v>
      </c>
      <c r="K4762" t="n">
        <v>0</v>
      </c>
      <c r="L4762" t="n">
        <v>0</v>
      </c>
      <c r="M4762" t="n">
        <v>0</v>
      </c>
      <c r="N4762" t="n">
        <v>0</v>
      </c>
      <c r="O4762" t="n">
        <v>0</v>
      </c>
      <c r="P4762" t="n">
        <v>0</v>
      </c>
      <c r="Q4762" t="n">
        <v>0</v>
      </c>
      <c r="R4762" s="2" t="inlineStr"/>
    </row>
    <row r="4763" ht="15" customHeight="1">
      <c r="A4763" t="inlineStr">
        <is>
          <t>A 14435-2022</t>
        </is>
      </c>
      <c r="B4763" s="1" t="n">
        <v>44652</v>
      </c>
      <c r="C4763" s="1" t="n">
        <v>45182</v>
      </c>
      <c r="D4763" t="inlineStr">
        <is>
          <t>JÄMTLANDS LÄN</t>
        </is>
      </c>
      <c r="E4763" t="inlineStr">
        <is>
          <t>RAGUNDA</t>
        </is>
      </c>
      <c r="F4763" t="inlineStr">
        <is>
          <t>SCA</t>
        </is>
      </c>
      <c r="G4763" t="n">
        <v>0.8</v>
      </c>
      <c r="H4763" t="n">
        <v>0</v>
      </c>
      <c r="I4763" t="n">
        <v>0</v>
      </c>
      <c r="J4763" t="n">
        <v>0</v>
      </c>
      <c r="K4763" t="n">
        <v>0</v>
      </c>
      <c r="L4763" t="n">
        <v>0</v>
      </c>
      <c r="M4763" t="n">
        <v>0</v>
      </c>
      <c r="N4763" t="n">
        <v>0</v>
      </c>
      <c r="O4763" t="n">
        <v>0</v>
      </c>
      <c r="P4763" t="n">
        <v>0</v>
      </c>
      <c r="Q4763" t="n">
        <v>0</v>
      </c>
      <c r="R4763" s="2" t="inlineStr"/>
    </row>
    <row r="4764" ht="15" customHeight="1">
      <c r="A4764" t="inlineStr">
        <is>
          <t>A 14441-2022</t>
        </is>
      </c>
      <c r="B4764" s="1" t="n">
        <v>44652</v>
      </c>
      <c r="C4764" s="1" t="n">
        <v>45182</v>
      </c>
      <c r="D4764" t="inlineStr">
        <is>
          <t>JÄMTLANDS LÄN</t>
        </is>
      </c>
      <c r="E4764" t="inlineStr">
        <is>
          <t>STRÖMSUND</t>
        </is>
      </c>
      <c r="F4764" t="inlineStr">
        <is>
          <t>SCA</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14341-2022</t>
        </is>
      </c>
      <c r="B4765" s="1" t="n">
        <v>44652</v>
      </c>
      <c r="C4765" s="1" t="n">
        <v>45182</v>
      </c>
      <c r="D4765" t="inlineStr">
        <is>
          <t>JÄMTLANDS LÄN</t>
        </is>
      </c>
      <c r="E4765" t="inlineStr">
        <is>
          <t>KROKOM</t>
        </is>
      </c>
      <c r="G4765" t="n">
        <v>39.8</v>
      </c>
      <c r="H4765" t="n">
        <v>0</v>
      </c>
      <c r="I4765" t="n">
        <v>0</v>
      </c>
      <c r="J4765" t="n">
        <v>0</v>
      </c>
      <c r="K4765" t="n">
        <v>0</v>
      </c>
      <c r="L4765" t="n">
        <v>0</v>
      </c>
      <c r="M4765" t="n">
        <v>0</v>
      </c>
      <c r="N4765" t="n">
        <v>0</v>
      </c>
      <c r="O4765" t="n">
        <v>0</v>
      </c>
      <c r="P4765" t="n">
        <v>0</v>
      </c>
      <c r="Q4765" t="n">
        <v>0</v>
      </c>
      <c r="R4765" s="2" t="inlineStr"/>
    </row>
    <row r="4766" ht="15" customHeight="1">
      <c r="A4766" t="inlineStr">
        <is>
          <t>A 14557-2022</t>
        </is>
      </c>
      <c r="B4766" s="1" t="n">
        <v>44655</v>
      </c>
      <c r="C4766" s="1" t="n">
        <v>45182</v>
      </c>
      <c r="D4766" t="inlineStr">
        <is>
          <t>JÄMTLANDS LÄN</t>
        </is>
      </c>
      <c r="E4766" t="inlineStr">
        <is>
          <t>STRÖMSUND</t>
        </is>
      </c>
      <c r="G4766" t="n">
        <v>3</v>
      </c>
      <c r="H4766" t="n">
        <v>0</v>
      </c>
      <c r="I4766" t="n">
        <v>0</v>
      </c>
      <c r="J4766" t="n">
        <v>0</v>
      </c>
      <c r="K4766" t="n">
        <v>0</v>
      </c>
      <c r="L4766" t="n">
        <v>0</v>
      </c>
      <c r="M4766" t="n">
        <v>0</v>
      </c>
      <c r="N4766" t="n">
        <v>0</v>
      </c>
      <c r="O4766" t="n">
        <v>0</v>
      </c>
      <c r="P4766" t="n">
        <v>0</v>
      </c>
      <c r="Q4766" t="n">
        <v>0</v>
      </c>
      <c r="R4766" s="2" t="inlineStr"/>
    </row>
    <row r="4767" ht="15" customHeight="1">
      <c r="A4767" t="inlineStr">
        <is>
          <t>A 14697-2022</t>
        </is>
      </c>
      <c r="B4767" s="1" t="n">
        <v>44655</v>
      </c>
      <c r="C4767" s="1" t="n">
        <v>45182</v>
      </c>
      <c r="D4767" t="inlineStr">
        <is>
          <t>JÄMTLANDS LÄN</t>
        </is>
      </c>
      <c r="E4767" t="inlineStr">
        <is>
          <t>RAGUNDA</t>
        </is>
      </c>
      <c r="F4767" t="inlineStr">
        <is>
          <t>SCA</t>
        </is>
      </c>
      <c r="G4767" t="n">
        <v>6.7</v>
      </c>
      <c r="H4767" t="n">
        <v>0</v>
      </c>
      <c r="I4767" t="n">
        <v>0</v>
      </c>
      <c r="J4767" t="n">
        <v>0</v>
      </c>
      <c r="K4767" t="n">
        <v>0</v>
      </c>
      <c r="L4767" t="n">
        <v>0</v>
      </c>
      <c r="M4767" t="n">
        <v>0</v>
      </c>
      <c r="N4767" t="n">
        <v>0</v>
      </c>
      <c r="O4767" t="n">
        <v>0</v>
      </c>
      <c r="P4767" t="n">
        <v>0</v>
      </c>
      <c r="Q4767" t="n">
        <v>0</v>
      </c>
      <c r="R4767" s="2" t="inlineStr"/>
    </row>
    <row r="4768" ht="15" customHeight="1">
      <c r="A4768" t="inlineStr">
        <is>
          <t>A 14657-2022</t>
        </is>
      </c>
      <c r="B4768" s="1" t="n">
        <v>44655</v>
      </c>
      <c r="C4768" s="1" t="n">
        <v>45182</v>
      </c>
      <c r="D4768" t="inlineStr">
        <is>
          <t>JÄMTLANDS LÄN</t>
        </is>
      </c>
      <c r="E4768" t="inlineStr">
        <is>
          <t>ÖSTERSUND</t>
        </is>
      </c>
      <c r="G4768" t="n">
        <v>1.1</v>
      </c>
      <c r="H4768" t="n">
        <v>0</v>
      </c>
      <c r="I4768" t="n">
        <v>0</v>
      </c>
      <c r="J4768" t="n">
        <v>0</v>
      </c>
      <c r="K4768" t="n">
        <v>0</v>
      </c>
      <c r="L4768" t="n">
        <v>0</v>
      </c>
      <c r="M4768" t="n">
        <v>0</v>
      </c>
      <c r="N4768" t="n">
        <v>0</v>
      </c>
      <c r="O4768" t="n">
        <v>0</v>
      </c>
      <c r="P4768" t="n">
        <v>0</v>
      </c>
      <c r="Q4768" t="n">
        <v>0</v>
      </c>
      <c r="R4768" s="2" t="inlineStr"/>
    </row>
    <row r="4769" ht="15" customHeight="1">
      <c r="A4769" t="inlineStr">
        <is>
          <t>A 14703-2022</t>
        </is>
      </c>
      <c r="B4769" s="1" t="n">
        <v>44655</v>
      </c>
      <c r="C4769" s="1" t="n">
        <v>45182</v>
      </c>
      <c r="D4769" t="inlineStr">
        <is>
          <t>JÄMTLANDS LÄN</t>
        </is>
      </c>
      <c r="E4769" t="inlineStr">
        <is>
          <t>STRÖMSUND</t>
        </is>
      </c>
      <c r="F4769" t="inlineStr">
        <is>
          <t>SCA</t>
        </is>
      </c>
      <c r="G4769" t="n">
        <v>2.7</v>
      </c>
      <c r="H4769" t="n">
        <v>0</v>
      </c>
      <c r="I4769" t="n">
        <v>0</v>
      </c>
      <c r="J4769" t="n">
        <v>0</v>
      </c>
      <c r="K4769" t="n">
        <v>0</v>
      </c>
      <c r="L4769" t="n">
        <v>0</v>
      </c>
      <c r="M4769" t="n">
        <v>0</v>
      </c>
      <c r="N4769" t="n">
        <v>0</v>
      </c>
      <c r="O4769" t="n">
        <v>0</v>
      </c>
      <c r="P4769" t="n">
        <v>0</v>
      </c>
      <c r="Q4769" t="n">
        <v>0</v>
      </c>
      <c r="R4769" s="2" t="inlineStr"/>
    </row>
    <row r="4770" ht="15" customHeight="1">
      <c r="A4770" t="inlineStr">
        <is>
          <t>A 14506-2022</t>
        </is>
      </c>
      <c r="B4770" s="1" t="n">
        <v>44655</v>
      </c>
      <c r="C4770" s="1" t="n">
        <v>45182</v>
      </c>
      <c r="D4770" t="inlineStr">
        <is>
          <t>JÄMTLANDS LÄN</t>
        </is>
      </c>
      <c r="E4770" t="inlineStr">
        <is>
          <t>BERG</t>
        </is>
      </c>
      <c r="G4770" t="n">
        <v>16.9</v>
      </c>
      <c r="H4770" t="n">
        <v>0</v>
      </c>
      <c r="I4770" t="n">
        <v>0</v>
      </c>
      <c r="J4770" t="n">
        <v>0</v>
      </c>
      <c r="K4770" t="n">
        <v>0</v>
      </c>
      <c r="L4770" t="n">
        <v>0</v>
      </c>
      <c r="M4770" t="n">
        <v>0</v>
      </c>
      <c r="N4770" t="n">
        <v>0</v>
      </c>
      <c r="O4770" t="n">
        <v>0</v>
      </c>
      <c r="P4770" t="n">
        <v>0</v>
      </c>
      <c r="Q4770" t="n">
        <v>0</v>
      </c>
      <c r="R4770" s="2" t="inlineStr"/>
    </row>
    <row r="4771" ht="15" customHeight="1">
      <c r="A4771" t="inlineStr">
        <is>
          <t>A 14550-2022</t>
        </is>
      </c>
      <c r="B4771" s="1" t="n">
        <v>44655</v>
      </c>
      <c r="C4771" s="1" t="n">
        <v>45182</v>
      </c>
      <c r="D4771" t="inlineStr">
        <is>
          <t>JÄMTLANDS LÄN</t>
        </is>
      </c>
      <c r="E4771" t="inlineStr">
        <is>
          <t>STRÖMSUND</t>
        </is>
      </c>
      <c r="G4771" t="n">
        <v>8</v>
      </c>
      <c r="H4771" t="n">
        <v>0</v>
      </c>
      <c r="I4771" t="n">
        <v>0</v>
      </c>
      <c r="J4771" t="n">
        <v>0</v>
      </c>
      <c r="K4771" t="n">
        <v>0</v>
      </c>
      <c r="L4771" t="n">
        <v>0</v>
      </c>
      <c r="M4771" t="n">
        <v>0</v>
      </c>
      <c r="N4771" t="n">
        <v>0</v>
      </c>
      <c r="O4771" t="n">
        <v>0</v>
      </c>
      <c r="P4771" t="n">
        <v>0</v>
      </c>
      <c r="Q4771" t="n">
        <v>0</v>
      </c>
      <c r="R4771" s="2" t="inlineStr"/>
    </row>
    <row r="4772" ht="15" customHeight="1">
      <c r="A4772" t="inlineStr">
        <is>
          <t>A 14648-2022</t>
        </is>
      </c>
      <c r="B4772" s="1" t="n">
        <v>44655</v>
      </c>
      <c r="C4772" s="1" t="n">
        <v>45182</v>
      </c>
      <c r="D4772" t="inlineStr">
        <is>
          <t>JÄMTLANDS LÄN</t>
        </is>
      </c>
      <c r="E4772" t="inlineStr">
        <is>
          <t>HÄRJEDALEN</t>
        </is>
      </c>
      <c r="G4772" t="n">
        <v>4.8</v>
      </c>
      <c r="H4772" t="n">
        <v>0</v>
      </c>
      <c r="I4772" t="n">
        <v>0</v>
      </c>
      <c r="J4772" t="n">
        <v>0</v>
      </c>
      <c r="K4772" t="n">
        <v>0</v>
      </c>
      <c r="L4772" t="n">
        <v>0</v>
      </c>
      <c r="M4772" t="n">
        <v>0</v>
      </c>
      <c r="N4772" t="n">
        <v>0</v>
      </c>
      <c r="O4772" t="n">
        <v>0</v>
      </c>
      <c r="P4772" t="n">
        <v>0</v>
      </c>
      <c r="Q4772" t="n">
        <v>0</v>
      </c>
      <c r="R4772" s="2" t="inlineStr"/>
    </row>
    <row r="4773" ht="15" customHeight="1">
      <c r="A4773" t="inlineStr">
        <is>
          <t>A 14696-2022</t>
        </is>
      </c>
      <c r="B4773" s="1" t="n">
        <v>44655</v>
      </c>
      <c r="C4773" s="1" t="n">
        <v>45182</v>
      </c>
      <c r="D4773" t="inlineStr">
        <is>
          <t>JÄMTLANDS LÄN</t>
        </is>
      </c>
      <c r="E4773" t="inlineStr">
        <is>
          <t>RAGUNDA</t>
        </is>
      </c>
      <c r="F4773" t="inlineStr">
        <is>
          <t>SCA</t>
        </is>
      </c>
      <c r="G4773" t="n">
        <v>3.4</v>
      </c>
      <c r="H4773" t="n">
        <v>0</v>
      </c>
      <c r="I4773" t="n">
        <v>0</v>
      </c>
      <c r="J4773" t="n">
        <v>0</v>
      </c>
      <c r="K4773" t="n">
        <v>0</v>
      </c>
      <c r="L4773" t="n">
        <v>0</v>
      </c>
      <c r="M4773" t="n">
        <v>0</v>
      </c>
      <c r="N4773" t="n">
        <v>0</v>
      </c>
      <c r="O4773" t="n">
        <v>0</v>
      </c>
      <c r="P4773" t="n">
        <v>0</v>
      </c>
      <c r="Q4773" t="n">
        <v>0</v>
      </c>
      <c r="R4773" s="2" t="inlineStr"/>
    </row>
    <row r="4774" ht="15" customHeight="1">
      <c r="A4774" t="inlineStr">
        <is>
          <t>A 14896-2022</t>
        </is>
      </c>
      <c r="B4774" s="1" t="n">
        <v>44656</v>
      </c>
      <c r="C4774" s="1" t="n">
        <v>45182</v>
      </c>
      <c r="D4774" t="inlineStr">
        <is>
          <t>JÄMTLANDS LÄN</t>
        </is>
      </c>
      <c r="E4774" t="inlineStr">
        <is>
          <t>RAGUNDA</t>
        </is>
      </c>
      <c r="F4774" t="inlineStr">
        <is>
          <t>SCA</t>
        </is>
      </c>
      <c r="G4774" t="n">
        <v>8.300000000000001</v>
      </c>
      <c r="H4774" t="n">
        <v>0</v>
      </c>
      <c r="I4774" t="n">
        <v>0</v>
      </c>
      <c r="J4774" t="n">
        <v>0</v>
      </c>
      <c r="K4774" t="n">
        <v>0</v>
      </c>
      <c r="L4774" t="n">
        <v>0</v>
      </c>
      <c r="M4774" t="n">
        <v>0</v>
      </c>
      <c r="N4774" t="n">
        <v>0</v>
      </c>
      <c r="O4774" t="n">
        <v>0</v>
      </c>
      <c r="P4774" t="n">
        <v>0</v>
      </c>
      <c r="Q4774" t="n">
        <v>0</v>
      </c>
      <c r="R4774" s="2" t="inlineStr"/>
    </row>
    <row r="4775" ht="15" customHeight="1">
      <c r="A4775" t="inlineStr">
        <is>
          <t>A 14898-2022</t>
        </is>
      </c>
      <c r="B4775" s="1" t="n">
        <v>44656</v>
      </c>
      <c r="C4775" s="1" t="n">
        <v>45182</v>
      </c>
      <c r="D4775" t="inlineStr">
        <is>
          <t>JÄMTLANDS LÄN</t>
        </is>
      </c>
      <c r="E4775" t="inlineStr">
        <is>
          <t>RAGUNDA</t>
        </is>
      </c>
      <c r="F4775" t="inlineStr">
        <is>
          <t>SCA</t>
        </is>
      </c>
      <c r="G4775" t="n">
        <v>7</v>
      </c>
      <c r="H4775" t="n">
        <v>0</v>
      </c>
      <c r="I4775" t="n">
        <v>0</v>
      </c>
      <c r="J4775" t="n">
        <v>0</v>
      </c>
      <c r="K4775" t="n">
        <v>0</v>
      </c>
      <c r="L4775" t="n">
        <v>0</v>
      </c>
      <c r="M4775" t="n">
        <v>0</v>
      </c>
      <c r="N4775" t="n">
        <v>0</v>
      </c>
      <c r="O4775" t="n">
        <v>0</v>
      </c>
      <c r="P4775" t="n">
        <v>0</v>
      </c>
      <c r="Q4775" t="n">
        <v>0</v>
      </c>
      <c r="R4775" s="2" t="inlineStr"/>
    </row>
    <row r="4776" ht="15" customHeight="1">
      <c r="A4776" t="inlineStr">
        <is>
          <t>A 15076-2022</t>
        </is>
      </c>
      <c r="B4776" s="1" t="n">
        <v>44657</v>
      </c>
      <c r="C4776" s="1" t="n">
        <v>45182</v>
      </c>
      <c r="D4776" t="inlineStr">
        <is>
          <t>JÄMTLANDS LÄN</t>
        </is>
      </c>
      <c r="E4776" t="inlineStr">
        <is>
          <t>BRÄCKE</t>
        </is>
      </c>
      <c r="G4776" t="n">
        <v>24.7</v>
      </c>
      <c r="H4776" t="n">
        <v>0</v>
      </c>
      <c r="I4776" t="n">
        <v>0</v>
      </c>
      <c r="J4776" t="n">
        <v>0</v>
      </c>
      <c r="K4776" t="n">
        <v>0</v>
      </c>
      <c r="L4776" t="n">
        <v>0</v>
      </c>
      <c r="M4776" t="n">
        <v>0</v>
      </c>
      <c r="N4776" t="n">
        <v>0</v>
      </c>
      <c r="O4776" t="n">
        <v>0</v>
      </c>
      <c r="P4776" t="n">
        <v>0</v>
      </c>
      <c r="Q4776" t="n">
        <v>0</v>
      </c>
      <c r="R4776" s="2" t="inlineStr"/>
    </row>
    <row r="4777" ht="15" customHeight="1">
      <c r="A4777" t="inlineStr">
        <is>
          <t>A 15093-2022</t>
        </is>
      </c>
      <c r="B4777" s="1" t="n">
        <v>44657</v>
      </c>
      <c r="C4777" s="1" t="n">
        <v>45182</v>
      </c>
      <c r="D4777" t="inlineStr">
        <is>
          <t>JÄMTLANDS LÄN</t>
        </is>
      </c>
      <c r="E4777" t="inlineStr">
        <is>
          <t>BRÄCKE</t>
        </is>
      </c>
      <c r="F4777" t="inlineStr">
        <is>
          <t>SCA</t>
        </is>
      </c>
      <c r="G4777" t="n">
        <v>14.4</v>
      </c>
      <c r="H4777" t="n">
        <v>0</v>
      </c>
      <c r="I4777" t="n">
        <v>0</v>
      </c>
      <c r="J4777" t="n">
        <v>0</v>
      </c>
      <c r="K4777" t="n">
        <v>0</v>
      </c>
      <c r="L4777" t="n">
        <v>0</v>
      </c>
      <c r="M4777" t="n">
        <v>0</v>
      </c>
      <c r="N4777" t="n">
        <v>0</v>
      </c>
      <c r="O4777" t="n">
        <v>0</v>
      </c>
      <c r="P4777" t="n">
        <v>0</v>
      </c>
      <c r="Q4777" t="n">
        <v>0</v>
      </c>
      <c r="R4777" s="2" t="inlineStr"/>
    </row>
    <row r="4778" ht="15" customHeight="1">
      <c r="A4778" t="inlineStr">
        <is>
          <t>A 15024-2022</t>
        </is>
      </c>
      <c r="B4778" s="1" t="n">
        <v>44657</v>
      </c>
      <c r="C4778" s="1" t="n">
        <v>45182</v>
      </c>
      <c r="D4778" t="inlineStr">
        <is>
          <t>JÄMTLANDS LÄN</t>
        </is>
      </c>
      <c r="E4778" t="inlineStr">
        <is>
          <t>RAGUNDA</t>
        </is>
      </c>
      <c r="G4778" t="n">
        <v>1.8</v>
      </c>
      <c r="H4778" t="n">
        <v>0</v>
      </c>
      <c r="I4778" t="n">
        <v>0</v>
      </c>
      <c r="J4778" t="n">
        <v>0</v>
      </c>
      <c r="K4778" t="n">
        <v>0</v>
      </c>
      <c r="L4778" t="n">
        <v>0</v>
      </c>
      <c r="M4778" t="n">
        <v>0</v>
      </c>
      <c r="N4778" t="n">
        <v>0</v>
      </c>
      <c r="O4778" t="n">
        <v>0</v>
      </c>
      <c r="P4778" t="n">
        <v>0</v>
      </c>
      <c r="Q4778" t="n">
        <v>0</v>
      </c>
      <c r="R4778" s="2" t="inlineStr"/>
    </row>
    <row r="4779" ht="15" customHeight="1">
      <c r="A4779" t="inlineStr">
        <is>
          <t>A 15141-2022</t>
        </is>
      </c>
      <c r="B4779" s="1" t="n">
        <v>44658</v>
      </c>
      <c r="C4779" s="1" t="n">
        <v>45182</v>
      </c>
      <c r="D4779" t="inlineStr">
        <is>
          <t>JÄMTLANDS LÄN</t>
        </is>
      </c>
      <c r="E4779" t="inlineStr">
        <is>
          <t>STRÖMSUND</t>
        </is>
      </c>
      <c r="G4779" t="n">
        <v>35</v>
      </c>
      <c r="H4779" t="n">
        <v>0</v>
      </c>
      <c r="I4779" t="n">
        <v>0</v>
      </c>
      <c r="J4779" t="n">
        <v>0</v>
      </c>
      <c r="K4779" t="n">
        <v>0</v>
      </c>
      <c r="L4779" t="n">
        <v>0</v>
      </c>
      <c r="M4779" t="n">
        <v>0</v>
      </c>
      <c r="N4779" t="n">
        <v>0</v>
      </c>
      <c r="O4779" t="n">
        <v>0</v>
      </c>
      <c r="P4779" t="n">
        <v>0</v>
      </c>
      <c r="Q4779" t="n">
        <v>0</v>
      </c>
      <c r="R4779" s="2" t="inlineStr"/>
    </row>
    <row r="4780" ht="15" customHeight="1">
      <c r="A4780" t="inlineStr">
        <is>
          <t>A 15149-2022</t>
        </is>
      </c>
      <c r="B4780" s="1" t="n">
        <v>44658</v>
      </c>
      <c r="C4780" s="1" t="n">
        <v>45182</v>
      </c>
      <c r="D4780" t="inlineStr">
        <is>
          <t>JÄMTLANDS LÄN</t>
        </is>
      </c>
      <c r="E4780" t="inlineStr">
        <is>
          <t>STRÖMSUND</t>
        </is>
      </c>
      <c r="G4780" t="n">
        <v>10.6</v>
      </c>
      <c r="H4780" t="n">
        <v>0</v>
      </c>
      <c r="I4780" t="n">
        <v>0</v>
      </c>
      <c r="J4780" t="n">
        <v>0</v>
      </c>
      <c r="K4780" t="n">
        <v>0</v>
      </c>
      <c r="L4780" t="n">
        <v>0</v>
      </c>
      <c r="M4780" t="n">
        <v>0</v>
      </c>
      <c r="N4780" t="n">
        <v>0</v>
      </c>
      <c r="O4780" t="n">
        <v>0</v>
      </c>
      <c r="P4780" t="n">
        <v>0</v>
      </c>
      <c r="Q4780" t="n">
        <v>0</v>
      </c>
      <c r="R4780" s="2" t="inlineStr"/>
    </row>
    <row r="4781" ht="15" customHeight="1">
      <c r="A4781" t="inlineStr">
        <is>
          <t>A 15231-2022</t>
        </is>
      </c>
      <c r="B4781" s="1" t="n">
        <v>44658</v>
      </c>
      <c r="C4781" s="1" t="n">
        <v>45182</v>
      </c>
      <c r="D4781" t="inlineStr">
        <is>
          <t>JÄMTLANDS LÄN</t>
        </is>
      </c>
      <c r="E4781" t="inlineStr">
        <is>
          <t>KROKOM</t>
        </is>
      </c>
      <c r="G4781" t="n">
        <v>5.7</v>
      </c>
      <c r="H4781" t="n">
        <v>0</v>
      </c>
      <c r="I4781" t="n">
        <v>0</v>
      </c>
      <c r="J4781" t="n">
        <v>0</v>
      </c>
      <c r="K4781" t="n">
        <v>0</v>
      </c>
      <c r="L4781" t="n">
        <v>0</v>
      </c>
      <c r="M4781" t="n">
        <v>0</v>
      </c>
      <c r="N4781" t="n">
        <v>0</v>
      </c>
      <c r="O4781" t="n">
        <v>0</v>
      </c>
      <c r="P4781" t="n">
        <v>0</v>
      </c>
      <c r="Q4781" t="n">
        <v>0</v>
      </c>
      <c r="R4781" s="2" t="inlineStr"/>
    </row>
    <row r="4782" ht="15" customHeight="1">
      <c r="A4782" t="inlineStr">
        <is>
          <t>A 15374-2022</t>
        </is>
      </c>
      <c r="B4782" s="1" t="n">
        <v>44659</v>
      </c>
      <c r="C4782" s="1" t="n">
        <v>45182</v>
      </c>
      <c r="D4782" t="inlineStr">
        <is>
          <t>JÄMTLANDS LÄN</t>
        </is>
      </c>
      <c r="E4782" t="inlineStr">
        <is>
          <t>HÄRJEDALEN</t>
        </is>
      </c>
      <c r="G4782" t="n">
        <v>1.9</v>
      </c>
      <c r="H4782" t="n">
        <v>0</v>
      </c>
      <c r="I4782" t="n">
        <v>0</v>
      </c>
      <c r="J4782" t="n">
        <v>0</v>
      </c>
      <c r="K4782" t="n">
        <v>0</v>
      </c>
      <c r="L4782" t="n">
        <v>0</v>
      </c>
      <c r="M4782" t="n">
        <v>0</v>
      </c>
      <c r="N4782" t="n">
        <v>0</v>
      </c>
      <c r="O4782" t="n">
        <v>0</v>
      </c>
      <c r="P4782" t="n">
        <v>0</v>
      </c>
      <c r="Q4782" t="n">
        <v>0</v>
      </c>
      <c r="R4782" s="2" t="inlineStr"/>
    </row>
    <row r="4783" ht="15" customHeight="1">
      <c r="A4783" t="inlineStr">
        <is>
          <t>A 15259-2022</t>
        </is>
      </c>
      <c r="B4783" s="1" t="n">
        <v>44659</v>
      </c>
      <c r="C4783" s="1" t="n">
        <v>45182</v>
      </c>
      <c r="D4783" t="inlineStr">
        <is>
          <t>JÄMTLANDS LÄN</t>
        </is>
      </c>
      <c r="E4783" t="inlineStr">
        <is>
          <t>STRÖMSUND</t>
        </is>
      </c>
      <c r="G4783" t="n">
        <v>52.4</v>
      </c>
      <c r="H4783" t="n">
        <v>0</v>
      </c>
      <c r="I4783" t="n">
        <v>0</v>
      </c>
      <c r="J4783" t="n">
        <v>0</v>
      </c>
      <c r="K4783" t="n">
        <v>0</v>
      </c>
      <c r="L4783" t="n">
        <v>0</v>
      </c>
      <c r="M4783" t="n">
        <v>0</v>
      </c>
      <c r="N4783" t="n">
        <v>0</v>
      </c>
      <c r="O4783" t="n">
        <v>0</v>
      </c>
      <c r="P4783" t="n">
        <v>0</v>
      </c>
      <c r="Q4783" t="n">
        <v>0</v>
      </c>
      <c r="R4783" s="2" t="inlineStr"/>
    </row>
    <row r="4784" ht="15" customHeight="1">
      <c r="A4784" t="inlineStr">
        <is>
          <t>A 15522-2022</t>
        </is>
      </c>
      <c r="B4784" s="1" t="n">
        <v>44662</v>
      </c>
      <c r="C4784" s="1" t="n">
        <v>45182</v>
      </c>
      <c r="D4784" t="inlineStr">
        <is>
          <t>JÄMTLANDS LÄN</t>
        </is>
      </c>
      <c r="E4784" t="inlineStr">
        <is>
          <t>STRÖMSUND</t>
        </is>
      </c>
      <c r="G4784" t="n">
        <v>41.8</v>
      </c>
      <c r="H4784" t="n">
        <v>0</v>
      </c>
      <c r="I4784" t="n">
        <v>0</v>
      </c>
      <c r="J4784" t="n">
        <v>0</v>
      </c>
      <c r="K4784" t="n">
        <v>0</v>
      </c>
      <c r="L4784" t="n">
        <v>0</v>
      </c>
      <c r="M4784" t="n">
        <v>0</v>
      </c>
      <c r="N4784" t="n">
        <v>0</v>
      </c>
      <c r="O4784" t="n">
        <v>0</v>
      </c>
      <c r="P4784" t="n">
        <v>0</v>
      </c>
      <c r="Q4784" t="n">
        <v>0</v>
      </c>
      <c r="R4784" s="2" t="inlineStr"/>
    </row>
    <row r="4785" ht="15" customHeight="1">
      <c r="A4785" t="inlineStr">
        <is>
          <t>A 15546-2022</t>
        </is>
      </c>
      <c r="B4785" s="1" t="n">
        <v>44662</v>
      </c>
      <c r="C4785" s="1" t="n">
        <v>45182</v>
      </c>
      <c r="D4785" t="inlineStr">
        <is>
          <t>JÄMTLANDS LÄN</t>
        </is>
      </c>
      <c r="E4785" t="inlineStr">
        <is>
          <t>STRÖMSUND</t>
        </is>
      </c>
      <c r="G4785" t="n">
        <v>12.3</v>
      </c>
      <c r="H4785" t="n">
        <v>0</v>
      </c>
      <c r="I4785" t="n">
        <v>0</v>
      </c>
      <c r="J4785" t="n">
        <v>0</v>
      </c>
      <c r="K4785" t="n">
        <v>0</v>
      </c>
      <c r="L4785" t="n">
        <v>0</v>
      </c>
      <c r="M4785" t="n">
        <v>0</v>
      </c>
      <c r="N4785" t="n">
        <v>0</v>
      </c>
      <c r="O4785" t="n">
        <v>0</v>
      </c>
      <c r="P4785" t="n">
        <v>0</v>
      </c>
      <c r="Q4785" t="n">
        <v>0</v>
      </c>
      <c r="R4785" s="2" t="inlineStr"/>
    </row>
    <row r="4786" ht="15" customHeight="1">
      <c r="A4786" t="inlineStr">
        <is>
          <t>A 15407-2022</t>
        </is>
      </c>
      <c r="B4786" s="1" t="n">
        <v>44662</v>
      </c>
      <c r="C4786" s="1" t="n">
        <v>45182</v>
      </c>
      <c r="D4786" t="inlineStr">
        <is>
          <t>JÄMTLANDS LÄN</t>
        </is>
      </c>
      <c r="E4786" t="inlineStr">
        <is>
          <t>STRÖMSUND</t>
        </is>
      </c>
      <c r="G4786" t="n">
        <v>9.199999999999999</v>
      </c>
      <c r="H4786" t="n">
        <v>0</v>
      </c>
      <c r="I4786" t="n">
        <v>0</v>
      </c>
      <c r="J4786" t="n">
        <v>0</v>
      </c>
      <c r="K4786" t="n">
        <v>0</v>
      </c>
      <c r="L4786" t="n">
        <v>0</v>
      </c>
      <c r="M4786" t="n">
        <v>0</v>
      </c>
      <c r="N4786" t="n">
        <v>0</v>
      </c>
      <c r="O4786" t="n">
        <v>0</v>
      </c>
      <c r="P4786" t="n">
        <v>0</v>
      </c>
      <c r="Q4786" t="n">
        <v>0</v>
      </c>
      <c r="R4786" s="2" t="inlineStr"/>
    </row>
    <row r="4787" ht="15" customHeight="1">
      <c r="A4787" t="inlineStr">
        <is>
          <t>A 15611-2022</t>
        </is>
      </c>
      <c r="B4787" s="1" t="n">
        <v>44662</v>
      </c>
      <c r="C4787" s="1" t="n">
        <v>45182</v>
      </c>
      <c r="D4787" t="inlineStr">
        <is>
          <t>JÄMTLANDS LÄN</t>
        </is>
      </c>
      <c r="E4787" t="inlineStr">
        <is>
          <t>HÄRJEDALEN</t>
        </is>
      </c>
      <c r="F4787" t="inlineStr">
        <is>
          <t>Kyrkan</t>
        </is>
      </c>
      <c r="G4787" t="n">
        <v>6.9</v>
      </c>
      <c r="H4787" t="n">
        <v>0</v>
      </c>
      <c r="I4787" t="n">
        <v>0</v>
      </c>
      <c r="J4787" t="n">
        <v>0</v>
      </c>
      <c r="K4787" t="n">
        <v>0</v>
      </c>
      <c r="L4787" t="n">
        <v>0</v>
      </c>
      <c r="M4787" t="n">
        <v>0</v>
      </c>
      <c r="N4787" t="n">
        <v>0</v>
      </c>
      <c r="O4787" t="n">
        <v>0</v>
      </c>
      <c r="P4787" t="n">
        <v>0</v>
      </c>
      <c r="Q4787" t="n">
        <v>0</v>
      </c>
      <c r="R4787" s="2" t="inlineStr"/>
    </row>
    <row r="4788" ht="15" customHeight="1">
      <c r="A4788" t="inlineStr">
        <is>
          <t>A 15664-2022</t>
        </is>
      </c>
      <c r="B4788" s="1" t="n">
        <v>44662</v>
      </c>
      <c r="C4788" s="1" t="n">
        <v>45182</v>
      </c>
      <c r="D4788" t="inlineStr">
        <is>
          <t>JÄMTLANDS LÄN</t>
        </is>
      </c>
      <c r="E4788" t="inlineStr">
        <is>
          <t>RAGUNDA</t>
        </is>
      </c>
      <c r="F4788" t="inlineStr">
        <is>
          <t>SCA</t>
        </is>
      </c>
      <c r="G4788" t="n">
        <v>2.2</v>
      </c>
      <c r="H4788" t="n">
        <v>0</v>
      </c>
      <c r="I4788" t="n">
        <v>0</v>
      </c>
      <c r="J4788" t="n">
        <v>0</v>
      </c>
      <c r="K4788" t="n">
        <v>0</v>
      </c>
      <c r="L4788" t="n">
        <v>0</v>
      </c>
      <c r="M4788" t="n">
        <v>0</v>
      </c>
      <c r="N4788" t="n">
        <v>0</v>
      </c>
      <c r="O4788" t="n">
        <v>0</v>
      </c>
      <c r="P4788" t="n">
        <v>0</v>
      </c>
      <c r="Q4788" t="n">
        <v>0</v>
      </c>
      <c r="R4788" s="2" t="inlineStr"/>
    </row>
    <row r="4789" ht="15" customHeight="1">
      <c r="A4789" t="inlineStr">
        <is>
          <t>A 15763-2022</t>
        </is>
      </c>
      <c r="B4789" s="1" t="n">
        <v>44663</v>
      </c>
      <c r="C4789" s="1" t="n">
        <v>45182</v>
      </c>
      <c r="D4789" t="inlineStr">
        <is>
          <t>JÄMTLANDS LÄN</t>
        </is>
      </c>
      <c r="E4789" t="inlineStr">
        <is>
          <t>HÄRJEDALEN</t>
        </is>
      </c>
      <c r="G4789" t="n">
        <v>4.4</v>
      </c>
      <c r="H4789" t="n">
        <v>0</v>
      </c>
      <c r="I4789" t="n">
        <v>0</v>
      </c>
      <c r="J4789" t="n">
        <v>0</v>
      </c>
      <c r="K4789" t="n">
        <v>0</v>
      </c>
      <c r="L4789" t="n">
        <v>0</v>
      </c>
      <c r="M4789" t="n">
        <v>0</v>
      </c>
      <c r="N4789" t="n">
        <v>0</v>
      </c>
      <c r="O4789" t="n">
        <v>0</v>
      </c>
      <c r="P4789" t="n">
        <v>0</v>
      </c>
      <c r="Q4789" t="n">
        <v>0</v>
      </c>
      <c r="R4789" s="2" t="inlineStr"/>
    </row>
    <row r="4790" ht="15" customHeight="1">
      <c r="A4790" t="inlineStr">
        <is>
          <t>A 15730-2022</t>
        </is>
      </c>
      <c r="B4790" s="1" t="n">
        <v>44663</v>
      </c>
      <c r="C4790" s="1" t="n">
        <v>45182</v>
      </c>
      <c r="D4790" t="inlineStr">
        <is>
          <t>JÄMTLANDS LÄN</t>
        </is>
      </c>
      <c r="E4790" t="inlineStr">
        <is>
          <t>BRÄCKE</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15808-2022</t>
        </is>
      </c>
      <c r="B4791" s="1" t="n">
        <v>44663</v>
      </c>
      <c r="C4791" s="1" t="n">
        <v>45182</v>
      </c>
      <c r="D4791" t="inlineStr">
        <is>
          <t>JÄMTLANDS LÄN</t>
        </is>
      </c>
      <c r="E4791" t="inlineStr">
        <is>
          <t>RAGUNDA</t>
        </is>
      </c>
      <c r="F4791" t="inlineStr">
        <is>
          <t>SCA</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15806-2022</t>
        </is>
      </c>
      <c r="B4792" s="1" t="n">
        <v>44663</v>
      </c>
      <c r="C4792" s="1" t="n">
        <v>45182</v>
      </c>
      <c r="D4792" t="inlineStr">
        <is>
          <t>JÄMTLANDS LÄN</t>
        </is>
      </c>
      <c r="E4792" t="inlineStr">
        <is>
          <t>RAGUNDA</t>
        </is>
      </c>
      <c r="F4792" t="inlineStr">
        <is>
          <t>SCA</t>
        </is>
      </c>
      <c r="G4792" t="n">
        <v>1.4</v>
      </c>
      <c r="H4792" t="n">
        <v>0</v>
      </c>
      <c r="I4792" t="n">
        <v>0</v>
      </c>
      <c r="J4792" t="n">
        <v>0</v>
      </c>
      <c r="K4792" t="n">
        <v>0</v>
      </c>
      <c r="L4792" t="n">
        <v>0</v>
      </c>
      <c r="M4792" t="n">
        <v>0</v>
      </c>
      <c r="N4792" t="n">
        <v>0</v>
      </c>
      <c r="O4792" t="n">
        <v>0</v>
      </c>
      <c r="P4792" t="n">
        <v>0</v>
      </c>
      <c r="Q4792" t="n">
        <v>0</v>
      </c>
      <c r="R4792" s="2" t="inlineStr"/>
    </row>
    <row r="4793" ht="15" customHeight="1">
      <c r="A4793" t="inlineStr">
        <is>
          <t>A 15843-2022</t>
        </is>
      </c>
      <c r="B4793" s="1" t="n">
        <v>44664</v>
      </c>
      <c r="C4793" s="1" t="n">
        <v>45182</v>
      </c>
      <c r="D4793" t="inlineStr">
        <is>
          <t>JÄMTLANDS LÄN</t>
        </is>
      </c>
      <c r="E4793" t="inlineStr">
        <is>
          <t>HÄRJEDALEN</t>
        </is>
      </c>
      <c r="G4793" t="n">
        <v>4.3</v>
      </c>
      <c r="H4793" t="n">
        <v>0</v>
      </c>
      <c r="I4793" t="n">
        <v>0</v>
      </c>
      <c r="J4793" t="n">
        <v>0</v>
      </c>
      <c r="K4793" t="n">
        <v>0</v>
      </c>
      <c r="L4793" t="n">
        <v>0</v>
      </c>
      <c r="M4793" t="n">
        <v>0</v>
      </c>
      <c r="N4793" t="n">
        <v>0</v>
      </c>
      <c r="O4793" t="n">
        <v>0</v>
      </c>
      <c r="P4793" t="n">
        <v>0</v>
      </c>
      <c r="Q4793" t="n">
        <v>0</v>
      </c>
      <c r="R4793" s="2" t="inlineStr"/>
    </row>
    <row r="4794" ht="15" customHeight="1">
      <c r="A4794" t="inlineStr">
        <is>
          <t>A 15971-2022</t>
        </is>
      </c>
      <c r="B4794" s="1" t="n">
        <v>44664</v>
      </c>
      <c r="C4794" s="1" t="n">
        <v>45182</v>
      </c>
      <c r="D4794" t="inlineStr">
        <is>
          <t>JÄMTLANDS LÄN</t>
        </is>
      </c>
      <c r="E4794" t="inlineStr">
        <is>
          <t>STRÖMSUND</t>
        </is>
      </c>
      <c r="F4794" t="inlineStr">
        <is>
          <t>SCA</t>
        </is>
      </c>
      <c r="G4794" t="n">
        <v>4.3</v>
      </c>
      <c r="H4794" t="n">
        <v>0</v>
      </c>
      <c r="I4794" t="n">
        <v>0</v>
      </c>
      <c r="J4794" t="n">
        <v>0</v>
      </c>
      <c r="K4794" t="n">
        <v>0</v>
      </c>
      <c r="L4794" t="n">
        <v>0</v>
      </c>
      <c r="M4794" t="n">
        <v>0</v>
      </c>
      <c r="N4794" t="n">
        <v>0</v>
      </c>
      <c r="O4794" t="n">
        <v>0</v>
      </c>
      <c r="P4794" t="n">
        <v>0</v>
      </c>
      <c r="Q4794" t="n">
        <v>0</v>
      </c>
      <c r="R4794" s="2" t="inlineStr"/>
    </row>
    <row r="4795" ht="15" customHeight="1">
      <c r="A4795" t="inlineStr">
        <is>
          <t>A 15865-2022</t>
        </is>
      </c>
      <c r="B4795" s="1" t="n">
        <v>44664</v>
      </c>
      <c r="C4795" s="1" t="n">
        <v>45182</v>
      </c>
      <c r="D4795" t="inlineStr">
        <is>
          <t>JÄMTLANDS LÄN</t>
        </is>
      </c>
      <c r="E4795" t="inlineStr">
        <is>
          <t>STRÖMSUND</t>
        </is>
      </c>
      <c r="G4795" t="n">
        <v>1.7</v>
      </c>
      <c r="H4795" t="n">
        <v>0</v>
      </c>
      <c r="I4795" t="n">
        <v>0</v>
      </c>
      <c r="J4795" t="n">
        <v>0</v>
      </c>
      <c r="K4795" t="n">
        <v>0</v>
      </c>
      <c r="L4795" t="n">
        <v>0</v>
      </c>
      <c r="M4795" t="n">
        <v>0</v>
      </c>
      <c r="N4795" t="n">
        <v>0</v>
      </c>
      <c r="O4795" t="n">
        <v>0</v>
      </c>
      <c r="P4795" t="n">
        <v>0</v>
      </c>
      <c r="Q4795" t="n">
        <v>0</v>
      </c>
      <c r="R4795" s="2" t="inlineStr"/>
    </row>
    <row r="4796" ht="15" customHeight="1">
      <c r="A4796" t="inlineStr">
        <is>
          <t>A 15913-2022</t>
        </is>
      </c>
      <c r="B4796" s="1" t="n">
        <v>44664</v>
      </c>
      <c r="C4796" s="1" t="n">
        <v>45182</v>
      </c>
      <c r="D4796" t="inlineStr">
        <is>
          <t>JÄMTLANDS LÄN</t>
        </is>
      </c>
      <c r="E4796" t="inlineStr">
        <is>
          <t>KROKOM</t>
        </is>
      </c>
      <c r="G4796" t="n">
        <v>2.2</v>
      </c>
      <c r="H4796" t="n">
        <v>0</v>
      </c>
      <c r="I4796" t="n">
        <v>0</v>
      </c>
      <c r="J4796" t="n">
        <v>0</v>
      </c>
      <c r="K4796" t="n">
        <v>0</v>
      </c>
      <c r="L4796" t="n">
        <v>0</v>
      </c>
      <c r="M4796" t="n">
        <v>0</v>
      </c>
      <c r="N4796" t="n">
        <v>0</v>
      </c>
      <c r="O4796" t="n">
        <v>0</v>
      </c>
      <c r="P4796" t="n">
        <v>0</v>
      </c>
      <c r="Q4796" t="n">
        <v>0</v>
      </c>
      <c r="R4796" s="2" t="inlineStr"/>
    </row>
    <row r="4797" ht="15" customHeight="1">
      <c r="A4797" t="inlineStr">
        <is>
          <t>A 16037-2022</t>
        </is>
      </c>
      <c r="B4797" s="1" t="n">
        <v>44665</v>
      </c>
      <c r="C4797" s="1" t="n">
        <v>45182</v>
      </c>
      <c r="D4797" t="inlineStr">
        <is>
          <t>JÄMTLANDS LÄN</t>
        </is>
      </c>
      <c r="E4797" t="inlineStr">
        <is>
          <t>KROKOM</t>
        </is>
      </c>
      <c r="G4797" t="n">
        <v>0.3</v>
      </c>
      <c r="H4797" t="n">
        <v>0</v>
      </c>
      <c r="I4797" t="n">
        <v>0</v>
      </c>
      <c r="J4797" t="n">
        <v>0</v>
      </c>
      <c r="K4797" t="n">
        <v>0</v>
      </c>
      <c r="L4797" t="n">
        <v>0</v>
      </c>
      <c r="M4797" t="n">
        <v>0</v>
      </c>
      <c r="N4797" t="n">
        <v>0</v>
      </c>
      <c r="O4797" t="n">
        <v>0</v>
      </c>
      <c r="P4797" t="n">
        <v>0</v>
      </c>
      <c r="Q4797" t="n">
        <v>0</v>
      </c>
      <c r="R4797" s="2" t="inlineStr"/>
    </row>
    <row r="4798" ht="15" customHeight="1">
      <c r="A4798" t="inlineStr">
        <is>
          <t>A 16014-2022</t>
        </is>
      </c>
      <c r="B4798" s="1" t="n">
        <v>44665</v>
      </c>
      <c r="C4798" s="1" t="n">
        <v>45182</v>
      </c>
      <c r="D4798" t="inlineStr">
        <is>
          <t>JÄMTLANDS LÄN</t>
        </is>
      </c>
      <c r="E4798" t="inlineStr">
        <is>
          <t>HÄRJEDALEN</t>
        </is>
      </c>
      <c r="G4798" t="n">
        <v>38.7</v>
      </c>
      <c r="H4798" t="n">
        <v>0</v>
      </c>
      <c r="I4798" t="n">
        <v>0</v>
      </c>
      <c r="J4798" t="n">
        <v>0</v>
      </c>
      <c r="K4798" t="n">
        <v>0</v>
      </c>
      <c r="L4798" t="n">
        <v>0</v>
      </c>
      <c r="M4798" t="n">
        <v>0</v>
      </c>
      <c r="N4798" t="n">
        <v>0</v>
      </c>
      <c r="O4798" t="n">
        <v>0</v>
      </c>
      <c r="P4798" t="n">
        <v>0</v>
      </c>
      <c r="Q4798" t="n">
        <v>0</v>
      </c>
      <c r="R4798" s="2" t="inlineStr"/>
    </row>
    <row r="4799" ht="15" customHeight="1">
      <c r="A4799" t="inlineStr">
        <is>
          <t>A 16140-2022</t>
        </is>
      </c>
      <c r="B4799" s="1" t="n">
        <v>44665</v>
      </c>
      <c r="C4799" s="1" t="n">
        <v>45182</v>
      </c>
      <c r="D4799" t="inlineStr">
        <is>
          <t>JÄMTLANDS LÄN</t>
        </is>
      </c>
      <c r="E4799" t="inlineStr">
        <is>
          <t>STRÖMSUND</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16013-2022</t>
        </is>
      </c>
      <c r="B4800" s="1" t="n">
        <v>44665</v>
      </c>
      <c r="C4800" s="1" t="n">
        <v>45182</v>
      </c>
      <c r="D4800" t="inlineStr">
        <is>
          <t>JÄMTLANDS LÄN</t>
        </is>
      </c>
      <c r="E4800" t="inlineStr">
        <is>
          <t>ÖSTERSUND</t>
        </is>
      </c>
      <c r="G4800" t="n">
        <v>10.2</v>
      </c>
      <c r="H4800" t="n">
        <v>0</v>
      </c>
      <c r="I4800" t="n">
        <v>0</v>
      </c>
      <c r="J4800" t="n">
        <v>0</v>
      </c>
      <c r="K4800" t="n">
        <v>0</v>
      </c>
      <c r="L4800" t="n">
        <v>0</v>
      </c>
      <c r="M4800" t="n">
        <v>0</v>
      </c>
      <c r="N4800" t="n">
        <v>0</v>
      </c>
      <c r="O4800" t="n">
        <v>0</v>
      </c>
      <c r="P4800" t="n">
        <v>0</v>
      </c>
      <c r="Q4800" t="n">
        <v>0</v>
      </c>
      <c r="R4800" s="2" t="inlineStr"/>
    </row>
    <row r="4801" ht="15" customHeight="1">
      <c r="A4801" t="inlineStr">
        <is>
          <t>A 16361-2022</t>
        </is>
      </c>
      <c r="B4801" s="1" t="n">
        <v>44670</v>
      </c>
      <c r="C4801" s="1" t="n">
        <v>45182</v>
      </c>
      <c r="D4801" t="inlineStr">
        <is>
          <t>JÄMTLANDS LÄN</t>
        </is>
      </c>
      <c r="E4801" t="inlineStr">
        <is>
          <t>RAGUNDA</t>
        </is>
      </c>
      <c r="F4801" t="inlineStr">
        <is>
          <t>SCA</t>
        </is>
      </c>
      <c r="G4801" t="n">
        <v>1.1</v>
      </c>
      <c r="H4801" t="n">
        <v>0</v>
      </c>
      <c r="I4801" t="n">
        <v>0</v>
      </c>
      <c r="J4801" t="n">
        <v>0</v>
      </c>
      <c r="K4801" t="n">
        <v>0</v>
      </c>
      <c r="L4801" t="n">
        <v>0</v>
      </c>
      <c r="M4801" t="n">
        <v>0</v>
      </c>
      <c r="N4801" t="n">
        <v>0</v>
      </c>
      <c r="O4801" t="n">
        <v>0</v>
      </c>
      <c r="P4801" t="n">
        <v>0</v>
      </c>
      <c r="Q4801" t="n">
        <v>0</v>
      </c>
      <c r="R4801" s="2" t="inlineStr"/>
    </row>
    <row r="4802" ht="15" customHeight="1">
      <c r="A4802" t="inlineStr">
        <is>
          <t>A 16246-2022</t>
        </is>
      </c>
      <c r="B4802" s="1" t="n">
        <v>44670</v>
      </c>
      <c r="C4802" s="1" t="n">
        <v>45182</v>
      </c>
      <c r="D4802" t="inlineStr">
        <is>
          <t>JÄMTLANDS LÄN</t>
        </is>
      </c>
      <c r="E4802" t="inlineStr">
        <is>
          <t>RAGUNDA</t>
        </is>
      </c>
      <c r="G4802" t="n">
        <v>4.1</v>
      </c>
      <c r="H4802" t="n">
        <v>0</v>
      </c>
      <c r="I4802" t="n">
        <v>0</v>
      </c>
      <c r="J4802" t="n">
        <v>0</v>
      </c>
      <c r="K4802" t="n">
        <v>0</v>
      </c>
      <c r="L4802" t="n">
        <v>0</v>
      </c>
      <c r="M4802" t="n">
        <v>0</v>
      </c>
      <c r="N4802" t="n">
        <v>0</v>
      </c>
      <c r="O4802" t="n">
        <v>0</v>
      </c>
      <c r="P4802" t="n">
        <v>0</v>
      </c>
      <c r="Q4802" t="n">
        <v>0</v>
      </c>
      <c r="R4802" s="2" t="inlineStr"/>
    </row>
    <row r="4803" ht="15" customHeight="1">
      <c r="A4803" t="inlineStr">
        <is>
          <t>A 16317-2022</t>
        </is>
      </c>
      <c r="B4803" s="1" t="n">
        <v>44670</v>
      </c>
      <c r="C4803" s="1" t="n">
        <v>45182</v>
      </c>
      <c r="D4803" t="inlineStr">
        <is>
          <t>JÄMTLANDS LÄN</t>
        </is>
      </c>
      <c r="E4803" t="inlineStr">
        <is>
          <t>STRÖMSUND</t>
        </is>
      </c>
      <c r="G4803" t="n">
        <v>3.1</v>
      </c>
      <c r="H4803" t="n">
        <v>0</v>
      </c>
      <c r="I4803" t="n">
        <v>0</v>
      </c>
      <c r="J4803" t="n">
        <v>0</v>
      </c>
      <c r="K4803" t="n">
        <v>0</v>
      </c>
      <c r="L4803" t="n">
        <v>0</v>
      </c>
      <c r="M4803" t="n">
        <v>0</v>
      </c>
      <c r="N4803" t="n">
        <v>0</v>
      </c>
      <c r="O4803" t="n">
        <v>0</v>
      </c>
      <c r="P4803" t="n">
        <v>0</v>
      </c>
      <c r="Q4803" t="n">
        <v>0</v>
      </c>
      <c r="R4803" s="2" t="inlineStr"/>
    </row>
    <row r="4804" ht="15" customHeight="1">
      <c r="A4804" t="inlineStr">
        <is>
          <t>A 16311-2022</t>
        </is>
      </c>
      <c r="B4804" s="1" t="n">
        <v>44670</v>
      </c>
      <c r="C4804" s="1" t="n">
        <v>45182</v>
      </c>
      <c r="D4804" t="inlineStr">
        <is>
          <t>JÄMTLANDS LÄN</t>
        </is>
      </c>
      <c r="E4804" t="inlineStr">
        <is>
          <t>STRÖMSUND</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16250-2022</t>
        </is>
      </c>
      <c r="B4805" s="1" t="n">
        <v>44670</v>
      </c>
      <c r="C4805" s="1" t="n">
        <v>45182</v>
      </c>
      <c r="D4805" t="inlineStr">
        <is>
          <t>JÄMTLANDS LÄN</t>
        </is>
      </c>
      <c r="E4805" t="inlineStr">
        <is>
          <t>RAGUNDA</t>
        </is>
      </c>
      <c r="G4805" t="n">
        <v>1</v>
      </c>
      <c r="H4805" t="n">
        <v>0</v>
      </c>
      <c r="I4805" t="n">
        <v>0</v>
      </c>
      <c r="J4805" t="n">
        <v>0</v>
      </c>
      <c r="K4805" t="n">
        <v>0</v>
      </c>
      <c r="L4805" t="n">
        <v>0</v>
      </c>
      <c r="M4805" t="n">
        <v>0</v>
      </c>
      <c r="N4805" t="n">
        <v>0</v>
      </c>
      <c r="O4805" t="n">
        <v>0</v>
      </c>
      <c r="P4805" t="n">
        <v>0</v>
      </c>
      <c r="Q4805" t="n">
        <v>0</v>
      </c>
      <c r="R4805" s="2" t="inlineStr"/>
    </row>
    <row r="4806" ht="15" customHeight="1">
      <c r="A4806" t="inlineStr">
        <is>
          <t>A 16460-2022</t>
        </is>
      </c>
      <c r="B4806" s="1" t="n">
        <v>44671</v>
      </c>
      <c r="C4806" s="1" t="n">
        <v>45182</v>
      </c>
      <c r="D4806" t="inlineStr">
        <is>
          <t>JÄMTLANDS LÄN</t>
        </is>
      </c>
      <c r="E4806" t="inlineStr">
        <is>
          <t>RAGUNDA</t>
        </is>
      </c>
      <c r="G4806" t="n">
        <v>1.7</v>
      </c>
      <c r="H4806" t="n">
        <v>0</v>
      </c>
      <c r="I4806" t="n">
        <v>0</v>
      </c>
      <c r="J4806" t="n">
        <v>0</v>
      </c>
      <c r="K4806" t="n">
        <v>0</v>
      </c>
      <c r="L4806" t="n">
        <v>0</v>
      </c>
      <c r="M4806" t="n">
        <v>0</v>
      </c>
      <c r="N4806" t="n">
        <v>0</v>
      </c>
      <c r="O4806" t="n">
        <v>0</v>
      </c>
      <c r="P4806" t="n">
        <v>0</v>
      </c>
      <c r="Q4806" t="n">
        <v>0</v>
      </c>
      <c r="R4806" s="2" t="inlineStr"/>
    </row>
    <row r="4807" ht="15" customHeight="1">
      <c r="A4807" t="inlineStr">
        <is>
          <t>A 16529-2022</t>
        </is>
      </c>
      <c r="B4807" s="1" t="n">
        <v>44671</v>
      </c>
      <c r="C4807" s="1" t="n">
        <v>45182</v>
      </c>
      <c r="D4807" t="inlineStr">
        <is>
          <t>JÄMTLANDS LÄN</t>
        </is>
      </c>
      <c r="E4807" t="inlineStr">
        <is>
          <t>RAGUNDA</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16694-2022</t>
        </is>
      </c>
      <c r="B4808" s="1" t="n">
        <v>44672</v>
      </c>
      <c r="C4808" s="1" t="n">
        <v>45182</v>
      </c>
      <c r="D4808" t="inlineStr">
        <is>
          <t>JÄMTLANDS LÄN</t>
        </is>
      </c>
      <c r="E4808" t="inlineStr">
        <is>
          <t>KROKOM</t>
        </is>
      </c>
      <c r="G4808" t="n">
        <v>16.9</v>
      </c>
      <c r="H4808" t="n">
        <v>0</v>
      </c>
      <c r="I4808" t="n">
        <v>0</v>
      </c>
      <c r="J4808" t="n">
        <v>0</v>
      </c>
      <c r="K4808" t="n">
        <v>0</v>
      </c>
      <c r="L4808" t="n">
        <v>0</v>
      </c>
      <c r="M4808" t="n">
        <v>0</v>
      </c>
      <c r="N4808" t="n">
        <v>0</v>
      </c>
      <c r="O4808" t="n">
        <v>0</v>
      </c>
      <c r="P4808" t="n">
        <v>0</v>
      </c>
      <c r="Q4808" t="n">
        <v>0</v>
      </c>
      <c r="R4808" s="2" t="inlineStr"/>
    </row>
    <row r="4809" ht="15" customHeight="1">
      <c r="A4809" t="inlineStr">
        <is>
          <t>A 21844-2022</t>
        </is>
      </c>
      <c r="B4809" s="1" t="n">
        <v>44678</v>
      </c>
      <c r="C4809" s="1" t="n">
        <v>45182</v>
      </c>
      <c r="D4809" t="inlineStr">
        <is>
          <t>JÄMTLANDS LÄN</t>
        </is>
      </c>
      <c r="E4809" t="inlineStr">
        <is>
          <t>STRÖMSUND</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17577-2022</t>
        </is>
      </c>
      <c r="B4810" s="1" t="n">
        <v>44679</v>
      </c>
      <c r="C4810" s="1" t="n">
        <v>45182</v>
      </c>
      <c r="D4810" t="inlineStr">
        <is>
          <t>JÄMTLANDS LÄN</t>
        </is>
      </c>
      <c r="E4810" t="inlineStr">
        <is>
          <t>BRÄCKE</t>
        </is>
      </c>
      <c r="G4810" t="n">
        <v>2.8</v>
      </c>
      <c r="H4810" t="n">
        <v>0</v>
      </c>
      <c r="I4810" t="n">
        <v>0</v>
      </c>
      <c r="J4810" t="n">
        <v>0</v>
      </c>
      <c r="K4810" t="n">
        <v>0</v>
      </c>
      <c r="L4810" t="n">
        <v>0</v>
      </c>
      <c r="M4810" t="n">
        <v>0</v>
      </c>
      <c r="N4810" t="n">
        <v>0</v>
      </c>
      <c r="O4810" t="n">
        <v>0</v>
      </c>
      <c r="P4810" t="n">
        <v>0</v>
      </c>
      <c r="Q4810" t="n">
        <v>0</v>
      </c>
      <c r="R4810" s="2" t="inlineStr"/>
    </row>
    <row r="4811" ht="15" customHeight="1">
      <c r="A4811" t="inlineStr">
        <is>
          <t>A 17528-2022</t>
        </is>
      </c>
      <c r="B4811" s="1" t="n">
        <v>44679</v>
      </c>
      <c r="C4811" s="1" t="n">
        <v>45182</v>
      </c>
      <c r="D4811" t="inlineStr">
        <is>
          <t>JÄMTLANDS LÄN</t>
        </is>
      </c>
      <c r="E4811" t="inlineStr">
        <is>
          <t>KROKOM</t>
        </is>
      </c>
      <c r="F4811" t="inlineStr">
        <is>
          <t>Kyrkan</t>
        </is>
      </c>
      <c r="G4811" t="n">
        <v>2.2</v>
      </c>
      <c r="H4811" t="n">
        <v>0</v>
      </c>
      <c r="I4811" t="n">
        <v>0</v>
      </c>
      <c r="J4811" t="n">
        <v>0</v>
      </c>
      <c r="K4811" t="n">
        <v>0</v>
      </c>
      <c r="L4811" t="n">
        <v>0</v>
      </c>
      <c r="M4811" t="n">
        <v>0</v>
      </c>
      <c r="N4811" t="n">
        <v>0</v>
      </c>
      <c r="O4811" t="n">
        <v>0</v>
      </c>
      <c r="P4811" t="n">
        <v>0</v>
      </c>
      <c r="Q4811" t="n">
        <v>0</v>
      </c>
      <c r="R4811" s="2" t="inlineStr"/>
    </row>
    <row r="4812" ht="15" customHeight="1">
      <c r="A4812" t="inlineStr">
        <is>
          <t>A 17573-2022</t>
        </is>
      </c>
      <c r="B4812" s="1" t="n">
        <v>44679</v>
      </c>
      <c r="C4812" s="1" t="n">
        <v>45182</v>
      </c>
      <c r="D4812" t="inlineStr">
        <is>
          <t>JÄMTLANDS LÄN</t>
        </is>
      </c>
      <c r="E4812" t="inlineStr">
        <is>
          <t>RAGUNDA</t>
        </is>
      </c>
      <c r="G4812" t="n">
        <v>6.9</v>
      </c>
      <c r="H4812" t="n">
        <v>0</v>
      </c>
      <c r="I4812" t="n">
        <v>0</v>
      </c>
      <c r="J4812" t="n">
        <v>0</v>
      </c>
      <c r="K4812" t="n">
        <v>0</v>
      </c>
      <c r="L4812" t="n">
        <v>0</v>
      </c>
      <c r="M4812" t="n">
        <v>0</v>
      </c>
      <c r="N4812" t="n">
        <v>0</v>
      </c>
      <c r="O4812" t="n">
        <v>0</v>
      </c>
      <c r="P4812" t="n">
        <v>0</v>
      </c>
      <c r="Q4812" t="n">
        <v>0</v>
      </c>
      <c r="R4812" s="2" t="inlineStr"/>
    </row>
    <row r="4813" ht="15" customHeight="1">
      <c r="A4813" t="inlineStr">
        <is>
          <t>A 17578-2022</t>
        </is>
      </c>
      <c r="B4813" s="1" t="n">
        <v>44679</v>
      </c>
      <c r="C4813" s="1" t="n">
        <v>45182</v>
      </c>
      <c r="D4813" t="inlineStr">
        <is>
          <t>JÄMTLANDS LÄN</t>
        </is>
      </c>
      <c r="E4813" t="inlineStr">
        <is>
          <t>BRÄCKE</t>
        </is>
      </c>
      <c r="G4813" t="n">
        <v>5.5</v>
      </c>
      <c r="H4813" t="n">
        <v>0</v>
      </c>
      <c r="I4813" t="n">
        <v>0</v>
      </c>
      <c r="J4813" t="n">
        <v>0</v>
      </c>
      <c r="K4813" t="n">
        <v>0</v>
      </c>
      <c r="L4813" t="n">
        <v>0</v>
      </c>
      <c r="M4813" t="n">
        <v>0</v>
      </c>
      <c r="N4813" t="n">
        <v>0</v>
      </c>
      <c r="O4813" t="n">
        <v>0</v>
      </c>
      <c r="P4813" t="n">
        <v>0</v>
      </c>
      <c r="Q4813" t="n">
        <v>0</v>
      </c>
      <c r="R4813" s="2" t="inlineStr"/>
    </row>
    <row r="4814" ht="15" customHeight="1">
      <c r="A4814" t="inlineStr">
        <is>
          <t>A 17734-2022</t>
        </is>
      </c>
      <c r="B4814" s="1" t="n">
        <v>44680</v>
      </c>
      <c r="C4814" s="1" t="n">
        <v>45182</v>
      </c>
      <c r="D4814" t="inlineStr">
        <is>
          <t>JÄMTLANDS LÄN</t>
        </is>
      </c>
      <c r="E4814" t="inlineStr">
        <is>
          <t>ÖSTERSUND</t>
        </is>
      </c>
      <c r="G4814" t="n">
        <v>26.4</v>
      </c>
      <c r="H4814" t="n">
        <v>0</v>
      </c>
      <c r="I4814" t="n">
        <v>0</v>
      </c>
      <c r="J4814" t="n">
        <v>0</v>
      </c>
      <c r="K4814" t="n">
        <v>0</v>
      </c>
      <c r="L4814" t="n">
        <v>0</v>
      </c>
      <c r="M4814" t="n">
        <v>0</v>
      </c>
      <c r="N4814" t="n">
        <v>0</v>
      </c>
      <c r="O4814" t="n">
        <v>0</v>
      </c>
      <c r="P4814" t="n">
        <v>0</v>
      </c>
      <c r="Q4814" t="n">
        <v>0</v>
      </c>
      <c r="R4814" s="2" t="inlineStr"/>
    </row>
    <row r="4815" ht="15" customHeight="1">
      <c r="A4815" t="inlineStr">
        <is>
          <t>A 17750-2022</t>
        </is>
      </c>
      <c r="B4815" s="1" t="n">
        <v>44680</v>
      </c>
      <c r="C4815" s="1" t="n">
        <v>45182</v>
      </c>
      <c r="D4815" t="inlineStr">
        <is>
          <t>JÄMTLANDS LÄN</t>
        </is>
      </c>
      <c r="E4815" t="inlineStr">
        <is>
          <t>BERG</t>
        </is>
      </c>
      <c r="F4815" t="inlineStr">
        <is>
          <t>SCA</t>
        </is>
      </c>
      <c r="G4815" t="n">
        <v>7.8</v>
      </c>
      <c r="H4815" t="n">
        <v>0</v>
      </c>
      <c r="I4815" t="n">
        <v>0</v>
      </c>
      <c r="J4815" t="n">
        <v>0</v>
      </c>
      <c r="K4815" t="n">
        <v>0</v>
      </c>
      <c r="L4815" t="n">
        <v>0</v>
      </c>
      <c r="M4815" t="n">
        <v>0</v>
      </c>
      <c r="N4815" t="n">
        <v>0</v>
      </c>
      <c r="O4815" t="n">
        <v>0</v>
      </c>
      <c r="P4815" t="n">
        <v>0</v>
      </c>
      <c r="Q4815" t="n">
        <v>0</v>
      </c>
      <c r="R4815" s="2" t="inlineStr"/>
    </row>
    <row r="4816" ht="15" customHeight="1">
      <c r="A4816" t="inlineStr">
        <is>
          <t>A 17752-2022</t>
        </is>
      </c>
      <c r="B4816" s="1" t="n">
        <v>44680</v>
      </c>
      <c r="C4816" s="1" t="n">
        <v>45182</v>
      </c>
      <c r="D4816" t="inlineStr">
        <is>
          <t>JÄMTLANDS LÄN</t>
        </is>
      </c>
      <c r="E4816" t="inlineStr">
        <is>
          <t>STRÖMSUND</t>
        </is>
      </c>
      <c r="F4816" t="inlineStr">
        <is>
          <t>SCA</t>
        </is>
      </c>
      <c r="G4816" t="n">
        <v>2.7</v>
      </c>
      <c r="H4816" t="n">
        <v>0</v>
      </c>
      <c r="I4816" t="n">
        <v>0</v>
      </c>
      <c r="J4816" t="n">
        <v>0</v>
      </c>
      <c r="K4816" t="n">
        <v>0</v>
      </c>
      <c r="L4816" t="n">
        <v>0</v>
      </c>
      <c r="M4816" t="n">
        <v>0</v>
      </c>
      <c r="N4816" t="n">
        <v>0</v>
      </c>
      <c r="O4816" t="n">
        <v>0</v>
      </c>
      <c r="P4816" t="n">
        <v>0</v>
      </c>
      <c r="Q4816" t="n">
        <v>0</v>
      </c>
      <c r="R4816" s="2" t="inlineStr"/>
    </row>
    <row r="4817" ht="15" customHeight="1">
      <c r="A4817" t="inlineStr">
        <is>
          <t>A 17730-2022</t>
        </is>
      </c>
      <c r="B4817" s="1" t="n">
        <v>44680</v>
      </c>
      <c r="C4817" s="1" t="n">
        <v>45182</v>
      </c>
      <c r="D4817" t="inlineStr">
        <is>
          <t>JÄMTLANDS LÄN</t>
        </is>
      </c>
      <c r="E4817" t="inlineStr">
        <is>
          <t>RAGUNDA</t>
        </is>
      </c>
      <c r="G4817" t="n">
        <v>3.4</v>
      </c>
      <c r="H4817" t="n">
        <v>0</v>
      </c>
      <c r="I4817" t="n">
        <v>0</v>
      </c>
      <c r="J4817" t="n">
        <v>0</v>
      </c>
      <c r="K4817" t="n">
        <v>0</v>
      </c>
      <c r="L4817" t="n">
        <v>0</v>
      </c>
      <c r="M4817" t="n">
        <v>0</v>
      </c>
      <c r="N4817" t="n">
        <v>0</v>
      </c>
      <c r="O4817" t="n">
        <v>0</v>
      </c>
      <c r="P4817" t="n">
        <v>0</v>
      </c>
      <c r="Q4817" t="n">
        <v>0</v>
      </c>
      <c r="R4817" s="2" t="inlineStr"/>
    </row>
    <row r="4818" ht="15" customHeight="1">
      <c r="A4818" t="inlineStr">
        <is>
          <t>A 17754-2022</t>
        </is>
      </c>
      <c r="B4818" s="1" t="n">
        <v>44680</v>
      </c>
      <c r="C4818" s="1" t="n">
        <v>45182</v>
      </c>
      <c r="D4818" t="inlineStr">
        <is>
          <t>JÄMTLANDS LÄN</t>
        </is>
      </c>
      <c r="E4818" t="inlineStr">
        <is>
          <t>STRÖMSUND</t>
        </is>
      </c>
      <c r="F4818" t="inlineStr">
        <is>
          <t>SCA</t>
        </is>
      </c>
      <c r="G4818" t="n">
        <v>2.4</v>
      </c>
      <c r="H4818" t="n">
        <v>0</v>
      </c>
      <c r="I4818" t="n">
        <v>0</v>
      </c>
      <c r="J4818" t="n">
        <v>0</v>
      </c>
      <c r="K4818" t="n">
        <v>0</v>
      </c>
      <c r="L4818" t="n">
        <v>0</v>
      </c>
      <c r="M4818" t="n">
        <v>0</v>
      </c>
      <c r="N4818" t="n">
        <v>0</v>
      </c>
      <c r="O4818" t="n">
        <v>0</v>
      </c>
      <c r="P4818" t="n">
        <v>0</v>
      </c>
      <c r="Q4818" t="n">
        <v>0</v>
      </c>
      <c r="R4818" s="2" t="inlineStr"/>
    </row>
    <row r="4819" ht="15" customHeight="1">
      <c r="A4819" t="inlineStr">
        <is>
          <t>A 17935-2022</t>
        </is>
      </c>
      <c r="B4819" s="1" t="n">
        <v>44683</v>
      </c>
      <c r="C4819" s="1" t="n">
        <v>45182</v>
      </c>
      <c r="D4819" t="inlineStr">
        <is>
          <t>JÄMTLANDS LÄN</t>
        </is>
      </c>
      <c r="E4819" t="inlineStr">
        <is>
          <t>HÄRJEDALEN</t>
        </is>
      </c>
      <c r="G4819" t="n">
        <v>4.2</v>
      </c>
      <c r="H4819" t="n">
        <v>0</v>
      </c>
      <c r="I4819" t="n">
        <v>0</v>
      </c>
      <c r="J4819" t="n">
        <v>0</v>
      </c>
      <c r="K4819" t="n">
        <v>0</v>
      </c>
      <c r="L4819" t="n">
        <v>0</v>
      </c>
      <c r="M4819" t="n">
        <v>0</v>
      </c>
      <c r="N4819" t="n">
        <v>0</v>
      </c>
      <c r="O4819" t="n">
        <v>0</v>
      </c>
      <c r="P4819" t="n">
        <v>0</v>
      </c>
      <c r="Q4819" t="n">
        <v>0</v>
      </c>
      <c r="R4819" s="2" t="inlineStr"/>
    </row>
    <row r="4820" ht="15" customHeight="1">
      <c r="A4820" t="inlineStr">
        <is>
          <t>A 17797-2022</t>
        </is>
      </c>
      <c r="B4820" s="1" t="n">
        <v>44683</v>
      </c>
      <c r="C4820" s="1" t="n">
        <v>45182</v>
      </c>
      <c r="D4820" t="inlineStr">
        <is>
          <t>JÄMTLANDS LÄN</t>
        </is>
      </c>
      <c r="E4820" t="inlineStr">
        <is>
          <t>HÄRJEDALEN</t>
        </is>
      </c>
      <c r="G4820" t="n">
        <v>15.4</v>
      </c>
      <c r="H4820" t="n">
        <v>0</v>
      </c>
      <c r="I4820" t="n">
        <v>0</v>
      </c>
      <c r="J4820" t="n">
        <v>0</v>
      </c>
      <c r="K4820" t="n">
        <v>0</v>
      </c>
      <c r="L4820" t="n">
        <v>0</v>
      </c>
      <c r="M4820" t="n">
        <v>0</v>
      </c>
      <c r="N4820" t="n">
        <v>0</v>
      </c>
      <c r="O4820" t="n">
        <v>0</v>
      </c>
      <c r="P4820" t="n">
        <v>0</v>
      </c>
      <c r="Q4820" t="n">
        <v>0</v>
      </c>
      <c r="R4820" s="2" t="inlineStr"/>
    </row>
    <row r="4821" ht="15" customHeight="1">
      <c r="A4821" t="inlineStr">
        <is>
          <t>A 17805-2022</t>
        </is>
      </c>
      <c r="B4821" s="1" t="n">
        <v>44683</v>
      </c>
      <c r="C4821" s="1" t="n">
        <v>45182</v>
      </c>
      <c r="D4821" t="inlineStr">
        <is>
          <t>JÄMTLANDS LÄN</t>
        </is>
      </c>
      <c r="E4821" t="inlineStr">
        <is>
          <t>HÄRJEDALEN</t>
        </is>
      </c>
      <c r="G4821" t="n">
        <v>15.7</v>
      </c>
      <c r="H4821" t="n">
        <v>0</v>
      </c>
      <c r="I4821" t="n">
        <v>0</v>
      </c>
      <c r="J4821" t="n">
        <v>0</v>
      </c>
      <c r="K4821" t="n">
        <v>0</v>
      </c>
      <c r="L4821" t="n">
        <v>0</v>
      </c>
      <c r="M4821" t="n">
        <v>0</v>
      </c>
      <c r="N4821" t="n">
        <v>0</v>
      </c>
      <c r="O4821" t="n">
        <v>0</v>
      </c>
      <c r="P4821" t="n">
        <v>0</v>
      </c>
      <c r="Q4821" t="n">
        <v>0</v>
      </c>
      <c r="R4821" s="2" t="inlineStr"/>
    </row>
    <row r="4822" ht="15" customHeight="1">
      <c r="A4822" t="inlineStr">
        <is>
          <t>A 17832-2022</t>
        </is>
      </c>
      <c r="B4822" s="1" t="n">
        <v>44683</v>
      </c>
      <c r="C4822" s="1" t="n">
        <v>45182</v>
      </c>
      <c r="D4822" t="inlineStr">
        <is>
          <t>JÄMTLANDS LÄN</t>
        </is>
      </c>
      <c r="E4822" t="inlineStr">
        <is>
          <t>KROKOM</t>
        </is>
      </c>
      <c r="G4822" t="n">
        <v>12.5</v>
      </c>
      <c r="H4822" t="n">
        <v>0</v>
      </c>
      <c r="I4822" t="n">
        <v>0</v>
      </c>
      <c r="J4822" t="n">
        <v>0</v>
      </c>
      <c r="K4822" t="n">
        <v>0</v>
      </c>
      <c r="L4822" t="n">
        <v>0</v>
      </c>
      <c r="M4822" t="n">
        <v>0</v>
      </c>
      <c r="N4822" t="n">
        <v>0</v>
      </c>
      <c r="O4822" t="n">
        <v>0</v>
      </c>
      <c r="P4822" t="n">
        <v>0</v>
      </c>
      <c r="Q4822" t="n">
        <v>0</v>
      </c>
      <c r="R4822" s="2" t="inlineStr"/>
    </row>
    <row r="4823" ht="15" customHeight="1">
      <c r="A4823" t="inlineStr">
        <is>
          <t>A 17996-2022</t>
        </is>
      </c>
      <c r="B4823" s="1" t="n">
        <v>44683</v>
      </c>
      <c r="C4823" s="1" t="n">
        <v>45182</v>
      </c>
      <c r="D4823" t="inlineStr">
        <is>
          <t>JÄMTLANDS LÄN</t>
        </is>
      </c>
      <c r="E4823" t="inlineStr">
        <is>
          <t>BRÄCKE</t>
        </is>
      </c>
      <c r="G4823" t="n">
        <v>2.8</v>
      </c>
      <c r="H4823" t="n">
        <v>0</v>
      </c>
      <c r="I4823" t="n">
        <v>0</v>
      </c>
      <c r="J4823" t="n">
        <v>0</v>
      </c>
      <c r="K4823" t="n">
        <v>0</v>
      </c>
      <c r="L4823" t="n">
        <v>0</v>
      </c>
      <c r="M4823" t="n">
        <v>0</v>
      </c>
      <c r="N4823" t="n">
        <v>0</v>
      </c>
      <c r="O4823" t="n">
        <v>0</v>
      </c>
      <c r="P4823" t="n">
        <v>0</v>
      </c>
      <c r="Q4823" t="n">
        <v>0</v>
      </c>
      <c r="R4823" s="2" t="inlineStr"/>
    </row>
    <row r="4824" ht="15" customHeight="1">
      <c r="A4824" t="inlineStr">
        <is>
          <t>A 18169-2022</t>
        </is>
      </c>
      <c r="B4824" s="1" t="n">
        <v>44684</v>
      </c>
      <c r="C4824" s="1" t="n">
        <v>45182</v>
      </c>
      <c r="D4824" t="inlineStr">
        <is>
          <t>JÄMTLANDS LÄN</t>
        </is>
      </c>
      <c r="E4824" t="inlineStr">
        <is>
          <t>HÄRJEDALEN</t>
        </is>
      </c>
      <c r="F4824" t="inlineStr">
        <is>
          <t>Kyrkan</t>
        </is>
      </c>
      <c r="G4824" t="n">
        <v>2.4</v>
      </c>
      <c r="H4824" t="n">
        <v>0</v>
      </c>
      <c r="I4824" t="n">
        <v>0</v>
      </c>
      <c r="J4824" t="n">
        <v>0</v>
      </c>
      <c r="K4824" t="n">
        <v>0</v>
      </c>
      <c r="L4824" t="n">
        <v>0</v>
      </c>
      <c r="M4824" t="n">
        <v>0</v>
      </c>
      <c r="N4824" t="n">
        <v>0</v>
      </c>
      <c r="O4824" t="n">
        <v>0</v>
      </c>
      <c r="P4824" t="n">
        <v>0</v>
      </c>
      <c r="Q4824" t="n">
        <v>0</v>
      </c>
      <c r="R4824" s="2" t="inlineStr"/>
    </row>
    <row r="4825" ht="15" customHeight="1">
      <c r="A4825" t="inlineStr">
        <is>
          <t>A 18205-2022</t>
        </is>
      </c>
      <c r="B4825" s="1" t="n">
        <v>44684</v>
      </c>
      <c r="C4825" s="1" t="n">
        <v>45182</v>
      </c>
      <c r="D4825" t="inlineStr">
        <is>
          <t>JÄMTLANDS LÄN</t>
        </is>
      </c>
      <c r="E4825" t="inlineStr">
        <is>
          <t>STRÖMSUND</t>
        </is>
      </c>
      <c r="F4825" t="inlineStr">
        <is>
          <t>SCA</t>
        </is>
      </c>
      <c r="G4825" t="n">
        <v>4.7</v>
      </c>
      <c r="H4825" t="n">
        <v>0</v>
      </c>
      <c r="I4825" t="n">
        <v>0</v>
      </c>
      <c r="J4825" t="n">
        <v>0</v>
      </c>
      <c r="K4825" t="n">
        <v>0</v>
      </c>
      <c r="L4825" t="n">
        <v>0</v>
      </c>
      <c r="M4825" t="n">
        <v>0</v>
      </c>
      <c r="N4825" t="n">
        <v>0</v>
      </c>
      <c r="O4825" t="n">
        <v>0</v>
      </c>
      <c r="P4825" t="n">
        <v>0</v>
      </c>
      <c r="Q4825" t="n">
        <v>0</v>
      </c>
      <c r="R4825" s="2" t="inlineStr"/>
    </row>
    <row r="4826" ht="15" customHeight="1">
      <c r="A4826" t="inlineStr">
        <is>
          <t>A 18290-2022</t>
        </is>
      </c>
      <c r="B4826" s="1" t="n">
        <v>44685</v>
      </c>
      <c r="C4826" s="1" t="n">
        <v>45182</v>
      </c>
      <c r="D4826" t="inlineStr">
        <is>
          <t>JÄMTLANDS LÄN</t>
        </is>
      </c>
      <c r="E4826" t="inlineStr">
        <is>
          <t>RAGUNDA</t>
        </is>
      </c>
      <c r="G4826" t="n">
        <v>7.7</v>
      </c>
      <c r="H4826" t="n">
        <v>0</v>
      </c>
      <c r="I4826" t="n">
        <v>0</v>
      </c>
      <c r="J4826" t="n">
        <v>0</v>
      </c>
      <c r="K4826" t="n">
        <v>0</v>
      </c>
      <c r="L4826" t="n">
        <v>0</v>
      </c>
      <c r="M4826" t="n">
        <v>0</v>
      </c>
      <c r="N4826" t="n">
        <v>0</v>
      </c>
      <c r="O4826" t="n">
        <v>0</v>
      </c>
      <c r="P4826" t="n">
        <v>0</v>
      </c>
      <c r="Q4826" t="n">
        <v>0</v>
      </c>
      <c r="R4826" s="2" t="inlineStr"/>
    </row>
    <row r="4827" ht="15" customHeight="1">
      <c r="A4827" t="inlineStr">
        <is>
          <t>A 18341-2022</t>
        </is>
      </c>
      <c r="B4827" s="1" t="n">
        <v>44685</v>
      </c>
      <c r="C4827" s="1" t="n">
        <v>45182</v>
      </c>
      <c r="D4827" t="inlineStr">
        <is>
          <t>JÄMTLANDS LÄN</t>
        </is>
      </c>
      <c r="E4827" t="inlineStr">
        <is>
          <t>RAGUNDA</t>
        </is>
      </c>
      <c r="G4827" t="n">
        <v>0.2</v>
      </c>
      <c r="H4827" t="n">
        <v>0</v>
      </c>
      <c r="I4827" t="n">
        <v>0</v>
      </c>
      <c r="J4827" t="n">
        <v>0</v>
      </c>
      <c r="K4827" t="n">
        <v>0</v>
      </c>
      <c r="L4827" t="n">
        <v>0</v>
      </c>
      <c r="M4827" t="n">
        <v>0</v>
      </c>
      <c r="N4827" t="n">
        <v>0</v>
      </c>
      <c r="O4827" t="n">
        <v>0</v>
      </c>
      <c r="P4827" t="n">
        <v>0</v>
      </c>
      <c r="Q4827" t="n">
        <v>0</v>
      </c>
      <c r="R4827" s="2" t="inlineStr"/>
    </row>
    <row r="4828" ht="15" customHeight="1">
      <c r="A4828" t="inlineStr">
        <is>
          <t>A 18221-2022</t>
        </is>
      </c>
      <c r="B4828" s="1" t="n">
        <v>44685</v>
      </c>
      <c r="C4828" s="1" t="n">
        <v>45182</v>
      </c>
      <c r="D4828" t="inlineStr">
        <is>
          <t>JÄMTLANDS LÄN</t>
        </is>
      </c>
      <c r="E4828" t="inlineStr">
        <is>
          <t>BRÄCKE</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18375-2022</t>
        </is>
      </c>
      <c r="B4829" s="1" t="n">
        <v>44685</v>
      </c>
      <c r="C4829" s="1" t="n">
        <v>45182</v>
      </c>
      <c r="D4829" t="inlineStr">
        <is>
          <t>JÄMTLANDS LÄN</t>
        </is>
      </c>
      <c r="E4829" t="inlineStr">
        <is>
          <t>RAGUNDA</t>
        </is>
      </c>
      <c r="F4829" t="inlineStr">
        <is>
          <t>SCA</t>
        </is>
      </c>
      <c r="G4829" t="n">
        <v>0.8</v>
      </c>
      <c r="H4829" t="n">
        <v>0</v>
      </c>
      <c r="I4829" t="n">
        <v>0</v>
      </c>
      <c r="J4829" t="n">
        <v>0</v>
      </c>
      <c r="K4829" t="n">
        <v>0</v>
      </c>
      <c r="L4829" t="n">
        <v>0</v>
      </c>
      <c r="M4829" t="n">
        <v>0</v>
      </c>
      <c r="N4829" t="n">
        <v>0</v>
      </c>
      <c r="O4829" t="n">
        <v>0</v>
      </c>
      <c r="P4829" t="n">
        <v>0</v>
      </c>
      <c r="Q4829" t="n">
        <v>0</v>
      </c>
      <c r="R4829" s="2" t="inlineStr"/>
    </row>
    <row r="4830" ht="15" customHeight="1">
      <c r="A4830" t="inlineStr">
        <is>
          <t>A 18476-2022</t>
        </is>
      </c>
      <c r="B4830" s="1" t="n">
        <v>44686</v>
      </c>
      <c r="C4830" s="1" t="n">
        <v>45182</v>
      </c>
      <c r="D4830" t="inlineStr">
        <is>
          <t>JÄMTLANDS LÄN</t>
        </is>
      </c>
      <c r="E4830" t="inlineStr">
        <is>
          <t>KROKOM</t>
        </is>
      </c>
      <c r="G4830" t="n">
        <v>11.7</v>
      </c>
      <c r="H4830" t="n">
        <v>0</v>
      </c>
      <c r="I4830" t="n">
        <v>0</v>
      </c>
      <c r="J4830" t="n">
        <v>0</v>
      </c>
      <c r="K4830" t="n">
        <v>0</v>
      </c>
      <c r="L4830" t="n">
        <v>0</v>
      </c>
      <c r="M4830" t="n">
        <v>0</v>
      </c>
      <c r="N4830" t="n">
        <v>0</v>
      </c>
      <c r="O4830" t="n">
        <v>0</v>
      </c>
      <c r="P4830" t="n">
        <v>0</v>
      </c>
      <c r="Q4830" t="n">
        <v>0</v>
      </c>
      <c r="R4830" s="2" t="inlineStr"/>
    </row>
    <row r="4831" ht="15" customHeight="1">
      <c r="A4831" t="inlineStr">
        <is>
          <t>A 18396-2022</t>
        </is>
      </c>
      <c r="B4831" s="1" t="n">
        <v>44686</v>
      </c>
      <c r="C4831" s="1" t="n">
        <v>45182</v>
      </c>
      <c r="D4831" t="inlineStr">
        <is>
          <t>JÄMTLANDS LÄN</t>
        </is>
      </c>
      <c r="E4831" t="inlineStr">
        <is>
          <t>RAGUNDA</t>
        </is>
      </c>
      <c r="G4831" t="n">
        <v>0.9</v>
      </c>
      <c r="H4831" t="n">
        <v>0</v>
      </c>
      <c r="I4831" t="n">
        <v>0</v>
      </c>
      <c r="J4831" t="n">
        <v>0</v>
      </c>
      <c r="K4831" t="n">
        <v>0</v>
      </c>
      <c r="L4831" t="n">
        <v>0</v>
      </c>
      <c r="M4831" t="n">
        <v>0</v>
      </c>
      <c r="N4831" t="n">
        <v>0</v>
      </c>
      <c r="O4831" t="n">
        <v>0</v>
      </c>
      <c r="P4831" t="n">
        <v>0</v>
      </c>
      <c r="Q4831" t="n">
        <v>0</v>
      </c>
      <c r="R4831" s="2" t="inlineStr"/>
    </row>
    <row r="4832" ht="15" customHeight="1">
      <c r="A4832" t="inlineStr">
        <is>
          <t>A 18572-2022</t>
        </is>
      </c>
      <c r="B4832" s="1" t="n">
        <v>44686</v>
      </c>
      <c r="C4832" s="1" t="n">
        <v>45182</v>
      </c>
      <c r="D4832" t="inlineStr">
        <is>
          <t>JÄMTLANDS LÄN</t>
        </is>
      </c>
      <c r="E4832" t="inlineStr">
        <is>
          <t>STRÖMSUND</t>
        </is>
      </c>
      <c r="F4832" t="inlineStr">
        <is>
          <t>SCA</t>
        </is>
      </c>
      <c r="G4832" t="n">
        <v>0.8</v>
      </c>
      <c r="H4832" t="n">
        <v>0</v>
      </c>
      <c r="I4832" t="n">
        <v>0</v>
      </c>
      <c r="J4832" t="n">
        <v>0</v>
      </c>
      <c r="K4832" t="n">
        <v>0</v>
      </c>
      <c r="L4832" t="n">
        <v>0</v>
      </c>
      <c r="M4832" t="n">
        <v>0</v>
      </c>
      <c r="N4832" t="n">
        <v>0</v>
      </c>
      <c r="O4832" t="n">
        <v>0</v>
      </c>
      <c r="P4832" t="n">
        <v>0</v>
      </c>
      <c r="Q4832" t="n">
        <v>0</v>
      </c>
      <c r="R4832" s="2" t="inlineStr"/>
    </row>
    <row r="4833" ht="15" customHeight="1">
      <c r="A4833" t="inlineStr">
        <is>
          <t>A 18466-2022</t>
        </is>
      </c>
      <c r="B4833" s="1" t="n">
        <v>44686</v>
      </c>
      <c r="C4833" s="1" t="n">
        <v>45182</v>
      </c>
      <c r="D4833" t="inlineStr">
        <is>
          <t>JÄMTLANDS LÄN</t>
        </is>
      </c>
      <c r="E4833" t="inlineStr">
        <is>
          <t>KROKOM</t>
        </is>
      </c>
      <c r="G4833" t="n">
        <v>3.2</v>
      </c>
      <c r="H4833" t="n">
        <v>0</v>
      </c>
      <c r="I4833" t="n">
        <v>0</v>
      </c>
      <c r="J4833" t="n">
        <v>0</v>
      </c>
      <c r="K4833" t="n">
        <v>0</v>
      </c>
      <c r="L4833" t="n">
        <v>0</v>
      </c>
      <c r="M4833" t="n">
        <v>0</v>
      </c>
      <c r="N4833" t="n">
        <v>0</v>
      </c>
      <c r="O4833" t="n">
        <v>0</v>
      </c>
      <c r="P4833" t="n">
        <v>0</v>
      </c>
      <c r="Q4833" t="n">
        <v>0</v>
      </c>
      <c r="R4833" s="2" t="inlineStr"/>
    </row>
    <row r="4834" ht="15" customHeight="1">
      <c r="A4834" t="inlineStr">
        <is>
          <t>A 18629-2022</t>
        </is>
      </c>
      <c r="B4834" s="1" t="n">
        <v>44687</v>
      </c>
      <c r="C4834" s="1" t="n">
        <v>45182</v>
      </c>
      <c r="D4834" t="inlineStr">
        <is>
          <t>JÄMTLANDS LÄN</t>
        </is>
      </c>
      <c r="E4834" t="inlineStr">
        <is>
          <t>BERG</t>
        </is>
      </c>
      <c r="G4834" t="n">
        <v>5.8</v>
      </c>
      <c r="H4834" t="n">
        <v>0</v>
      </c>
      <c r="I4834" t="n">
        <v>0</v>
      </c>
      <c r="J4834" t="n">
        <v>0</v>
      </c>
      <c r="K4834" t="n">
        <v>0</v>
      </c>
      <c r="L4834" t="n">
        <v>0</v>
      </c>
      <c r="M4834" t="n">
        <v>0</v>
      </c>
      <c r="N4834" t="n">
        <v>0</v>
      </c>
      <c r="O4834" t="n">
        <v>0</v>
      </c>
      <c r="P4834" t="n">
        <v>0</v>
      </c>
      <c r="Q4834" t="n">
        <v>0</v>
      </c>
      <c r="R4834" s="2" t="inlineStr"/>
    </row>
    <row r="4835" ht="15" customHeight="1">
      <c r="A4835" t="inlineStr">
        <is>
          <t>A 18808-2022</t>
        </is>
      </c>
      <c r="B4835" s="1" t="n">
        <v>44690</v>
      </c>
      <c r="C4835" s="1" t="n">
        <v>45182</v>
      </c>
      <c r="D4835" t="inlineStr">
        <is>
          <t>JÄMTLANDS LÄN</t>
        </is>
      </c>
      <c r="E4835" t="inlineStr">
        <is>
          <t>HÄRJEDALEN</t>
        </is>
      </c>
      <c r="G4835" t="n">
        <v>0.5</v>
      </c>
      <c r="H4835" t="n">
        <v>0</v>
      </c>
      <c r="I4835" t="n">
        <v>0</v>
      </c>
      <c r="J4835" t="n">
        <v>0</v>
      </c>
      <c r="K4835" t="n">
        <v>0</v>
      </c>
      <c r="L4835" t="n">
        <v>0</v>
      </c>
      <c r="M4835" t="n">
        <v>0</v>
      </c>
      <c r="N4835" t="n">
        <v>0</v>
      </c>
      <c r="O4835" t="n">
        <v>0</v>
      </c>
      <c r="P4835" t="n">
        <v>0</v>
      </c>
      <c r="Q4835" t="n">
        <v>0</v>
      </c>
      <c r="R4835" s="2" t="inlineStr"/>
    </row>
    <row r="4836" ht="15" customHeight="1">
      <c r="A4836" t="inlineStr">
        <is>
          <t>A 18974-2022</t>
        </is>
      </c>
      <c r="B4836" s="1" t="n">
        <v>44690</v>
      </c>
      <c r="C4836" s="1" t="n">
        <v>45182</v>
      </c>
      <c r="D4836" t="inlineStr">
        <is>
          <t>JÄMTLANDS LÄN</t>
        </is>
      </c>
      <c r="E4836" t="inlineStr">
        <is>
          <t>RAGUNDA</t>
        </is>
      </c>
      <c r="G4836" t="n">
        <v>2.6</v>
      </c>
      <c r="H4836" t="n">
        <v>0</v>
      </c>
      <c r="I4836" t="n">
        <v>0</v>
      </c>
      <c r="J4836" t="n">
        <v>0</v>
      </c>
      <c r="K4836" t="n">
        <v>0</v>
      </c>
      <c r="L4836" t="n">
        <v>0</v>
      </c>
      <c r="M4836" t="n">
        <v>0</v>
      </c>
      <c r="N4836" t="n">
        <v>0</v>
      </c>
      <c r="O4836" t="n">
        <v>0</v>
      </c>
      <c r="P4836" t="n">
        <v>0</v>
      </c>
      <c r="Q4836" t="n">
        <v>0</v>
      </c>
      <c r="R4836" s="2" t="inlineStr"/>
    </row>
    <row r="4837" ht="15" customHeight="1">
      <c r="A4837" t="inlineStr">
        <is>
          <t>A 18984-2022</t>
        </is>
      </c>
      <c r="B4837" s="1" t="n">
        <v>44690</v>
      </c>
      <c r="C4837" s="1" t="n">
        <v>45182</v>
      </c>
      <c r="D4837" t="inlineStr">
        <is>
          <t>JÄMTLANDS LÄN</t>
        </is>
      </c>
      <c r="E4837" t="inlineStr">
        <is>
          <t>BRÄCKE</t>
        </is>
      </c>
      <c r="G4837" t="n">
        <v>2.7</v>
      </c>
      <c r="H4837" t="n">
        <v>0</v>
      </c>
      <c r="I4837" t="n">
        <v>0</v>
      </c>
      <c r="J4837" t="n">
        <v>0</v>
      </c>
      <c r="K4837" t="n">
        <v>0</v>
      </c>
      <c r="L4837" t="n">
        <v>0</v>
      </c>
      <c r="M4837" t="n">
        <v>0</v>
      </c>
      <c r="N4837" t="n">
        <v>0</v>
      </c>
      <c r="O4837" t="n">
        <v>0</v>
      </c>
      <c r="P4837" t="n">
        <v>0</v>
      </c>
      <c r="Q4837" t="n">
        <v>0</v>
      </c>
      <c r="R4837" s="2" t="inlineStr"/>
    </row>
    <row r="4838" ht="15" customHeight="1">
      <c r="A4838" t="inlineStr">
        <is>
          <t>A 18981-2022</t>
        </is>
      </c>
      <c r="B4838" s="1" t="n">
        <v>44690</v>
      </c>
      <c r="C4838" s="1" t="n">
        <v>45182</v>
      </c>
      <c r="D4838" t="inlineStr">
        <is>
          <t>JÄMTLANDS LÄN</t>
        </is>
      </c>
      <c r="E4838" t="inlineStr">
        <is>
          <t>BRÄCKE</t>
        </is>
      </c>
      <c r="G4838" t="n">
        <v>7.7</v>
      </c>
      <c r="H4838" t="n">
        <v>0</v>
      </c>
      <c r="I4838" t="n">
        <v>0</v>
      </c>
      <c r="J4838" t="n">
        <v>0</v>
      </c>
      <c r="K4838" t="n">
        <v>0</v>
      </c>
      <c r="L4838" t="n">
        <v>0</v>
      </c>
      <c r="M4838" t="n">
        <v>0</v>
      </c>
      <c r="N4838" t="n">
        <v>0</v>
      </c>
      <c r="O4838" t="n">
        <v>0</v>
      </c>
      <c r="P4838" t="n">
        <v>0</v>
      </c>
      <c r="Q4838" t="n">
        <v>0</v>
      </c>
      <c r="R4838" s="2" t="inlineStr"/>
    </row>
    <row r="4839" ht="15" customHeight="1">
      <c r="A4839" t="inlineStr">
        <is>
          <t>A 19006-2022</t>
        </is>
      </c>
      <c r="B4839" s="1" t="n">
        <v>44690</v>
      </c>
      <c r="C4839" s="1" t="n">
        <v>45182</v>
      </c>
      <c r="D4839" t="inlineStr">
        <is>
          <t>JÄMTLANDS LÄN</t>
        </is>
      </c>
      <c r="E4839" t="inlineStr">
        <is>
          <t>RAGUNDA</t>
        </is>
      </c>
      <c r="F4839" t="inlineStr">
        <is>
          <t>SCA</t>
        </is>
      </c>
      <c r="G4839" t="n">
        <v>0.8</v>
      </c>
      <c r="H4839" t="n">
        <v>0</v>
      </c>
      <c r="I4839" t="n">
        <v>0</v>
      </c>
      <c r="J4839" t="n">
        <v>0</v>
      </c>
      <c r="K4839" t="n">
        <v>0</v>
      </c>
      <c r="L4839" t="n">
        <v>0</v>
      </c>
      <c r="M4839" t="n">
        <v>0</v>
      </c>
      <c r="N4839" t="n">
        <v>0</v>
      </c>
      <c r="O4839" t="n">
        <v>0</v>
      </c>
      <c r="P4839" t="n">
        <v>0</v>
      </c>
      <c r="Q4839" t="n">
        <v>0</v>
      </c>
      <c r="R4839" s="2" t="inlineStr"/>
    </row>
    <row r="4840" ht="15" customHeight="1">
      <c r="A4840" t="inlineStr">
        <is>
          <t>A 19022-2022</t>
        </is>
      </c>
      <c r="B4840" s="1" t="n">
        <v>44690</v>
      </c>
      <c r="C4840" s="1" t="n">
        <v>45182</v>
      </c>
      <c r="D4840" t="inlineStr">
        <is>
          <t>JÄMTLANDS LÄN</t>
        </is>
      </c>
      <c r="E4840" t="inlineStr">
        <is>
          <t>ÖSTERSUND</t>
        </is>
      </c>
      <c r="G4840" t="n">
        <v>17.9</v>
      </c>
      <c r="H4840" t="n">
        <v>0</v>
      </c>
      <c r="I4840" t="n">
        <v>0</v>
      </c>
      <c r="J4840" t="n">
        <v>0</v>
      </c>
      <c r="K4840" t="n">
        <v>0</v>
      </c>
      <c r="L4840" t="n">
        <v>0</v>
      </c>
      <c r="M4840" t="n">
        <v>0</v>
      </c>
      <c r="N4840" t="n">
        <v>0</v>
      </c>
      <c r="O4840" t="n">
        <v>0</v>
      </c>
      <c r="P4840" t="n">
        <v>0</v>
      </c>
      <c r="Q4840" t="n">
        <v>0</v>
      </c>
      <c r="R4840" s="2" t="inlineStr"/>
    </row>
    <row r="4841" ht="15" customHeight="1">
      <c r="A4841" t="inlineStr">
        <is>
          <t>A 18977-2022</t>
        </is>
      </c>
      <c r="B4841" s="1" t="n">
        <v>44690</v>
      </c>
      <c r="C4841" s="1" t="n">
        <v>45182</v>
      </c>
      <c r="D4841" t="inlineStr">
        <is>
          <t>JÄMTLANDS LÄN</t>
        </is>
      </c>
      <c r="E4841" t="inlineStr">
        <is>
          <t>BRÄCKE</t>
        </is>
      </c>
      <c r="G4841" t="n">
        <v>4.6</v>
      </c>
      <c r="H4841" t="n">
        <v>0</v>
      </c>
      <c r="I4841" t="n">
        <v>0</v>
      </c>
      <c r="J4841" t="n">
        <v>0</v>
      </c>
      <c r="K4841" t="n">
        <v>0</v>
      </c>
      <c r="L4841" t="n">
        <v>0</v>
      </c>
      <c r="M4841" t="n">
        <v>0</v>
      </c>
      <c r="N4841" t="n">
        <v>0</v>
      </c>
      <c r="O4841" t="n">
        <v>0</v>
      </c>
      <c r="P4841" t="n">
        <v>0</v>
      </c>
      <c r="Q4841" t="n">
        <v>0</v>
      </c>
      <c r="R4841" s="2" t="inlineStr"/>
    </row>
    <row r="4842" ht="15" customHeight="1">
      <c r="A4842" t="inlineStr">
        <is>
          <t>A 19003-2022</t>
        </is>
      </c>
      <c r="B4842" s="1" t="n">
        <v>44690</v>
      </c>
      <c r="C4842" s="1" t="n">
        <v>45182</v>
      </c>
      <c r="D4842" t="inlineStr">
        <is>
          <t>JÄMTLANDS LÄN</t>
        </is>
      </c>
      <c r="E4842" t="inlineStr">
        <is>
          <t>BERG</t>
        </is>
      </c>
      <c r="F4842" t="inlineStr">
        <is>
          <t>SCA</t>
        </is>
      </c>
      <c r="G4842" t="n">
        <v>6.4</v>
      </c>
      <c r="H4842" t="n">
        <v>0</v>
      </c>
      <c r="I4842" t="n">
        <v>0</v>
      </c>
      <c r="J4842" t="n">
        <v>0</v>
      </c>
      <c r="K4842" t="n">
        <v>0</v>
      </c>
      <c r="L4842" t="n">
        <v>0</v>
      </c>
      <c r="M4842" t="n">
        <v>0</v>
      </c>
      <c r="N4842" t="n">
        <v>0</v>
      </c>
      <c r="O4842" t="n">
        <v>0</v>
      </c>
      <c r="P4842" t="n">
        <v>0</v>
      </c>
      <c r="Q4842" t="n">
        <v>0</v>
      </c>
      <c r="R4842" s="2" t="inlineStr"/>
    </row>
    <row r="4843" ht="15" customHeight="1">
      <c r="A4843" t="inlineStr">
        <is>
          <t>A 19010-2022</t>
        </is>
      </c>
      <c r="B4843" s="1" t="n">
        <v>44690</v>
      </c>
      <c r="C4843" s="1" t="n">
        <v>45182</v>
      </c>
      <c r="D4843" t="inlineStr">
        <is>
          <t>JÄMTLANDS LÄN</t>
        </is>
      </c>
      <c r="E4843" t="inlineStr">
        <is>
          <t>RAGUNDA</t>
        </is>
      </c>
      <c r="F4843" t="inlineStr">
        <is>
          <t>SCA</t>
        </is>
      </c>
      <c r="G4843" t="n">
        <v>19.6</v>
      </c>
      <c r="H4843" t="n">
        <v>0</v>
      </c>
      <c r="I4843" t="n">
        <v>0</v>
      </c>
      <c r="J4843" t="n">
        <v>0</v>
      </c>
      <c r="K4843" t="n">
        <v>0</v>
      </c>
      <c r="L4843" t="n">
        <v>0</v>
      </c>
      <c r="M4843" t="n">
        <v>0</v>
      </c>
      <c r="N4843" t="n">
        <v>0</v>
      </c>
      <c r="O4843" t="n">
        <v>0</v>
      </c>
      <c r="P4843" t="n">
        <v>0</v>
      </c>
      <c r="Q4843" t="n">
        <v>0</v>
      </c>
      <c r="R4843" s="2" t="inlineStr"/>
    </row>
    <row r="4844" ht="15" customHeight="1">
      <c r="A4844" t="inlineStr">
        <is>
          <t>A 18849-2022</t>
        </is>
      </c>
      <c r="B4844" s="1" t="n">
        <v>44690</v>
      </c>
      <c r="C4844" s="1" t="n">
        <v>45182</v>
      </c>
      <c r="D4844" t="inlineStr">
        <is>
          <t>JÄMTLANDS LÄN</t>
        </is>
      </c>
      <c r="E4844" t="inlineStr">
        <is>
          <t>ÅRE</t>
        </is>
      </c>
      <c r="G4844" t="n">
        <v>12.8</v>
      </c>
      <c r="H4844" t="n">
        <v>0</v>
      </c>
      <c r="I4844" t="n">
        <v>0</v>
      </c>
      <c r="J4844" t="n">
        <v>0</v>
      </c>
      <c r="K4844" t="n">
        <v>0</v>
      </c>
      <c r="L4844" t="n">
        <v>0</v>
      </c>
      <c r="M4844" t="n">
        <v>0</v>
      </c>
      <c r="N4844" t="n">
        <v>0</v>
      </c>
      <c r="O4844" t="n">
        <v>0</v>
      </c>
      <c r="P4844" t="n">
        <v>0</v>
      </c>
      <c r="Q4844" t="n">
        <v>0</v>
      </c>
      <c r="R4844" s="2" t="inlineStr"/>
    </row>
    <row r="4845" ht="15" customHeight="1">
      <c r="A4845" t="inlineStr">
        <is>
          <t>A 18980-2022</t>
        </is>
      </c>
      <c r="B4845" s="1" t="n">
        <v>44690</v>
      </c>
      <c r="C4845" s="1" t="n">
        <v>45182</v>
      </c>
      <c r="D4845" t="inlineStr">
        <is>
          <t>JÄMTLANDS LÄN</t>
        </is>
      </c>
      <c r="E4845" t="inlineStr">
        <is>
          <t>RAGUNDA</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19005-2022</t>
        </is>
      </c>
      <c r="B4846" s="1" t="n">
        <v>44690</v>
      </c>
      <c r="C4846" s="1" t="n">
        <v>45182</v>
      </c>
      <c r="D4846" t="inlineStr">
        <is>
          <t>JÄMTLANDS LÄN</t>
        </is>
      </c>
      <c r="E4846" t="inlineStr">
        <is>
          <t>RAGUNDA</t>
        </is>
      </c>
      <c r="F4846" t="inlineStr">
        <is>
          <t>SCA</t>
        </is>
      </c>
      <c r="G4846" t="n">
        <v>1.7</v>
      </c>
      <c r="H4846" t="n">
        <v>0</v>
      </c>
      <c r="I4846" t="n">
        <v>0</v>
      </c>
      <c r="J4846" t="n">
        <v>0</v>
      </c>
      <c r="K4846" t="n">
        <v>0</v>
      </c>
      <c r="L4846" t="n">
        <v>0</v>
      </c>
      <c r="M4846" t="n">
        <v>0</v>
      </c>
      <c r="N4846" t="n">
        <v>0</v>
      </c>
      <c r="O4846" t="n">
        <v>0</v>
      </c>
      <c r="P4846" t="n">
        <v>0</v>
      </c>
      <c r="Q4846" t="n">
        <v>0</v>
      </c>
      <c r="R4846" s="2" t="inlineStr"/>
    </row>
    <row r="4847" ht="15" customHeight="1">
      <c r="A4847" t="inlineStr">
        <is>
          <t>A 19011-2022</t>
        </is>
      </c>
      <c r="B4847" s="1" t="n">
        <v>44690</v>
      </c>
      <c r="C4847" s="1" t="n">
        <v>45182</v>
      </c>
      <c r="D4847" t="inlineStr">
        <is>
          <t>JÄMTLANDS LÄN</t>
        </is>
      </c>
      <c r="E4847" t="inlineStr">
        <is>
          <t>RAGUNDA</t>
        </is>
      </c>
      <c r="F4847" t="inlineStr">
        <is>
          <t>SCA</t>
        </is>
      </c>
      <c r="G4847" t="n">
        <v>1.1</v>
      </c>
      <c r="H4847" t="n">
        <v>0</v>
      </c>
      <c r="I4847" t="n">
        <v>0</v>
      </c>
      <c r="J4847" t="n">
        <v>0</v>
      </c>
      <c r="K4847" t="n">
        <v>0</v>
      </c>
      <c r="L4847" t="n">
        <v>0</v>
      </c>
      <c r="M4847" t="n">
        <v>0</v>
      </c>
      <c r="N4847" t="n">
        <v>0</v>
      </c>
      <c r="O4847" t="n">
        <v>0</v>
      </c>
      <c r="P4847" t="n">
        <v>0</v>
      </c>
      <c r="Q4847" t="n">
        <v>0</v>
      </c>
      <c r="R4847" s="2" t="inlineStr"/>
    </row>
    <row r="4848" ht="15" customHeight="1">
      <c r="A4848" t="inlineStr">
        <is>
          <t>A 19167-2022</t>
        </is>
      </c>
      <c r="B4848" s="1" t="n">
        <v>44691</v>
      </c>
      <c r="C4848" s="1" t="n">
        <v>45182</v>
      </c>
      <c r="D4848" t="inlineStr">
        <is>
          <t>JÄMTLANDS LÄN</t>
        </is>
      </c>
      <c r="E4848" t="inlineStr">
        <is>
          <t>BRÄCKE</t>
        </is>
      </c>
      <c r="G4848" t="n">
        <v>0.4</v>
      </c>
      <c r="H4848" t="n">
        <v>0</v>
      </c>
      <c r="I4848" t="n">
        <v>0</v>
      </c>
      <c r="J4848" t="n">
        <v>0</v>
      </c>
      <c r="K4848" t="n">
        <v>0</v>
      </c>
      <c r="L4848" t="n">
        <v>0</v>
      </c>
      <c r="M4848" t="n">
        <v>0</v>
      </c>
      <c r="N4848" t="n">
        <v>0</v>
      </c>
      <c r="O4848" t="n">
        <v>0</v>
      </c>
      <c r="P4848" t="n">
        <v>0</v>
      </c>
      <c r="Q4848" t="n">
        <v>0</v>
      </c>
      <c r="R4848" s="2" t="inlineStr"/>
    </row>
    <row r="4849" ht="15" customHeight="1">
      <c r="A4849" t="inlineStr">
        <is>
          <t>A 19209-2022</t>
        </is>
      </c>
      <c r="B4849" s="1" t="n">
        <v>44691</v>
      </c>
      <c r="C4849" s="1" t="n">
        <v>45182</v>
      </c>
      <c r="D4849" t="inlineStr">
        <is>
          <t>JÄMTLANDS LÄN</t>
        </is>
      </c>
      <c r="E4849" t="inlineStr">
        <is>
          <t>STRÖMSUND</t>
        </is>
      </c>
      <c r="F4849" t="inlineStr">
        <is>
          <t>SCA</t>
        </is>
      </c>
      <c r="G4849" t="n">
        <v>2.4</v>
      </c>
      <c r="H4849" t="n">
        <v>0</v>
      </c>
      <c r="I4849" t="n">
        <v>0</v>
      </c>
      <c r="J4849" t="n">
        <v>0</v>
      </c>
      <c r="K4849" t="n">
        <v>0</v>
      </c>
      <c r="L4849" t="n">
        <v>0</v>
      </c>
      <c r="M4849" t="n">
        <v>0</v>
      </c>
      <c r="N4849" t="n">
        <v>0</v>
      </c>
      <c r="O4849" t="n">
        <v>0</v>
      </c>
      <c r="P4849" t="n">
        <v>0</v>
      </c>
      <c r="Q4849" t="n">
        <v>0</v>
      </c>
      <c r="R4849" s="2" t="inlineStr"/>
    </row>
    <row r="4850" ht="15" customHeight="1">
      <c r="A4850" t="inlineStr">
        <is>
          <t>A 19590-2022</t>
        </is>
      </c>
      <c r="B4850" s="1" t="n">
        <v>44693</v>
      </c>
      <c r="C4850" s="1" t="n">
        <v>45182</v>
      </c>
      <c r="D4850" t="inlineStr">
        <is>
          <t>JÄMTLANDS LÄN</t>
        </is>
      </c>
      <c r="E4850" t="inlineStr">
        <is>
          <t>BRÄCKE</t>
        </is>
      </c>
      <c r="F4850" t="inlineStr">
        <is>
          <t>SCA</t>
        </is>
      </c>
      <c r="G4850" t="n">
        <v>5</v>
      </c>
      <c r="H4850" t="n">
        <v>0</v>
      </c>
      <c r="I4850" t="n">
        <v>0</v>
      </c>
      <c r="J4850" t="n">
        <v>0</v>
      </c>
      <c r="K4850" t="n">
        <v>0</v>
      </c>
      <c r="L4850" t="n">
        <v>0</v>
      </c>
      <c r="M4850" t="n">
        <v>0</v>
      </c>
      <c r="N4850" t="n">
        <v>0</v>
      </c>
      <c r="O4850" t="n">
        <v>0</v>
      </c>
      <c r="P4850" t="n">
        <v>0</v>
      </c>
      <c r="Q4850" t="n">
        <v>0</v>
      </c>
      <c r="R4850" s="2" t="inlineStr"/>
    </row>
    <row r="4851" ht="15" customHeight="1">
      <c r="A4851" t="inlineStr">
        <is>
          <t>A 19532-2022</t>
        </is>
      </c>
      <c r="B4851" s="1" t="n">
        <v>44693</v>
      </c>
      <c r="C4851" s="1" t="n">
        <v>45182</v>
      </c>
      <c r="D4851" t="inlineStr">
        <is>
          <t>JÄMTLANDS LÄN</t>
        </is>
      </c>
      <c r="E4851" t="inlineStr">
        <is>
          <t>BERG</t>
        </is>
      </c>
      <c r="G4851" t="n">
        <v>1.3</v>
      </c>
      <c r="H4851" t="n">
        <v>0</v>
      </c>
      <c r="I4851" t="n">
        <v>0</v>
      </c>
      <c r="J4851" t="n">
        <v>0</v>
      </c>
      <c r="K4851" t="n">
        <v>0</v>
      </c>
      <c r="L4851" t="n">
        <v>0</v>
      </c>
      <c r="M4851" t="n">
        <v>0</v>
      </c>
      <c r="N4851" t="n">
        <v>0</v>
      </c>
      <c r="O4851" t="n">
        <v>0</v>
      </c>
      <c r="P4851" t="n">
        <v>0</v>
      </c>
      <c r="Q4851" t="n">
        <v>0</v>
      </c>
      <c r="R4851" s="2" t="inlineStr"/>
    </row>
    <row r="4852" ht="15" customHeight="1">
      <c r="A4852" t="inlineStr">
        <is>
          <t>A 19799-2022</t>
        </is>
      </c>
      <c r="B4852" s="1" t="n">
        <v>44694</v>
      </c>
      <c r="C4852" s="1" t="n">
        <v>45182</v>
      </c>
      <c r="D4852" t="inlineStr">
        <is>
          <t>JÄMTLANDS LÄN</t>
        </is>
      </c>
      <c r="E4852" t="inlineStr">
        <is>
          <t>KROKOM</t>
        </is>
      </c>
      <c r="F4852" t="inlineStr">
        <is>
          <t>SCA</t>
        </is>
      </c>
      <c r="G4852" t="n">
        <v>16.3</v>
      </c>
      <c r="H4852" t="n">
        <v>0</v>
      </c>
      <c r="I4852" t="n">
        <v>0</v>
      </c>
      <c r="J4852" t="n">
        <v>0</v>
      </c>
      <c r="K4852" t="n">
        <v>0</v>
      </c>
      <c r="L4852" t="n">
        <v>0</v>
      </c>
      <c r="M4852" t="n">
        <v>0</v>
      </c>
      <c r="N4852" t="n">
        <v>0</v>
      </c>
      <c r="O4852" t="n">
        <v>0</v>
      </c>
      <c r="P4852" t="n">
        <v>0</v>
      </c>
      <c r="Q4852" t="n">
        <v>0</v>
      </c>
      <c r="R4852" s="2" t="inlineStr"/>
    </row>
    <row r="4853" ht="15" customHeight="1">
      <c r="A4853" t="inlineStr">
        <is>
          <t>A 19807-2022</t>
        </is>
      </c>
      <c r="B4853" s="1" t="n">
        <v>44694</v>
      </c>
      <c r="C4853" s="1" t="n">
        <v>45182</v>
      </c>
      <c r="D4853" t="inlineStr">
        <is>
          <t>JÄMTLANDS LÄN</t>
        </is>
      </c>
      <c r="E4853" t="inlineStr">
        <is>
          <t>BERG</t>
        </is>
      </c>
      <c r="G4853" t="n">
        <v>14.9</v>
      </c>
      <c r="H4853" t="n">
        <v>0</v>
      </c>
      <c r="I4853" t="n">
        <v>0</v>
      </c>
      <c r="J4853" t="n">
        <v>0</v>
      </c>
      <c r="K4853" t="n">
        <v>0</v>
      </c>
      <c r="L4853" t="n">
        <v>0</v>
      </c>
      <c r="M4853" t="n">
        <v>0</v>
      </c>
      <c r="N4853" t="n">
        <v>0</v>
      </c>
      <c r="O4853" t="n">
        <v>0</v>
      </c>
      <c r="P4853" t="n">
        <v>0</v>
      </c>
      <c r="Q4853" t="n">
        <v>0</v>
      </c>
      <c r="R4853" s="2" t="inlineStr"/>
    </row>
    <row r="4854" ht="15" customHeight="1">
      <c r="A4854" t="inlineStr">
        <is>
          <t>A 19823-2022</t>
        </is>
      </c>
      <c r="B4854" s="1" t="n">
        <v>44694</v>
      </c>
      <c r="C4854" s="1" t="n">
        <v>45182</v>
      </c>
      <c r="D4854" t="inlineStr">
        <is>
          <t>JÄMTLANDS LÄN</t>
        </is>
      </c>
      <c r="E4854" t="inlineStr">
        <is>
          <t>STRÖMSUND</t>
        </is>
      </c>
      <c r="F4854" t="inlineStr">
        <is>
          <t>SCA</t>
        </is>
      </c>
      <c r="G4854" t="n">
        <v>4.4</v>
      </c>
      <c r="H4854" t="n">
        <v>0</v>
      </c>
      <c r="I4854" t="n">
        <v>0</v>
      </c>
      <c r="J4854" t="n">
        <v>0</v>
      </c>
      <c r="K4854" t="n">
        <v>0</v>
      </c>
      <c r="L4854" t="n">
        <v>0</v>
      </c>
      <c r="M4854" t="n">
        <v>0</v>
      </c>
      <c r="N4854" t="n">
        <v>0</v>
      </c>
      <c r="O4854" t="n">
        <v>0</v>
      </c>
      <c r="P4854" t="n">
        <v>0</v>
      </c>
      <c r="Q4854" t="n">
        <v>0</v>
      </c>
      <c r="R4854" s="2" t="inlineStr"/>
    </row>
    <row r="4855" ht="15" customHeight="1">
      <c r="A4855" t="inlineStr">
        <is>
          <t>A 19809-2022</t>
        </is>
      </c>
      <c r="B4855" s="1" t="n">
        <v>44694</v>
      </c>
      <c r="C4855" s="1" t="n">
        <v>45182</v>
      </c>
      <c r="D4855" t="inlineStr">
        <is>
          <t>JÄMTLANDS LÄN</t>
        </is>
      </c>
      <c r="E4855" t="inlineStr">
        <is>
          <t>BERG</t>
        </is>
      </c>
      <c r="F4855" t="inlineStr">
        <is>
          <t>SCA</t>
        </is>
      </c>
      <c r="G4855" t="n">
        <v>4.3</v>
      </c>
      <c r="H4855" t="n">
        <v>0</v>
      </c>
      <c r="I4855" t="n">
        <v>0</v>
      </c>
      <c r="J4855" t="n">
        <v>0</v>
      </c>
      <c r="K4855" t="n">
        <v>0</v>
      </c>
      <c r="L4855" t="n">
        <v>0</v>
      </c>
      <c r="M4855" t="n">
        <v>0</v>
      </c>
      <c r="N4855" t="n">
        <v>0</v>
      </c>
      <c r="O4855" t="n">
        <v>0</v>
      </c>
      <c r="P4855" t="n">
        <v>0</v>
      </c>
      <c r="Q4855" t="n">
        <v>0</v>
      </c>
      <c r="R4855" s="2" t="inlineStr"/>
    </row>
    <row r="4856" ht="15" customHeight="1">
      <c r="A4856" t="inlineStr">
        <is>
          <t>A 20073-2022</t>
        </is>
      </c>
      <c r="B4856" s="1" t="n">
        <v>44697</v>
      </c>
      <c r="C4856" s="1" t="n">
        <v>45182</v>
      </c>
      <c r="D4856" t="inlineStr">
        <is>
          <t>JÄMTLANDS LÄN</t>
        </is>
      </c>
      <c r="E4856" t="inlineStr">
        <is>
          <t>STRÖMSUND</t>
        </is>
      </c>
      <c r="F4856" t="inlineStr">
        <is>
          <t>SCA</t>
        </is>
      </c>
      <c r="G4856" t="n">
        <v>2</v>
      </c>
      <c r="H4856" t="n">
        <v>0</v>
      </c>
      <c r="I4856" t="n">
        <v>0</v>
      </c>
      <c r="J4856" t="n">
        <v>0</v>
      </c>
      <c r="K4856" t="n">
        <v>0</v>
      </c>
      <c r="L4856" t="n">
        <v>0</v>
      </c>
      <c r="M4856" t="n">
        <v>0</v>
      </c>
      <c r="N4856" t="n">
        <v>0</v>
      </c>
      <c r="O4856" t="n">
        <v>0</v>
      </c>
      <c r="P4856" t="n">
        <v>0</v>
      </c>
      <c r="Q4856" t="n">
        <v>0</v>
      </c>
      <c r="R4856" s="2" t="inlineStr"/>
    </row>
    <row r="4857" ht="15" customHeight="1">
      <c r="A4857" t="inlineStr">
        <is>
          <t>A 20066-2022</t>
        </is>
      </c>
      <c r="B4857" s="1" t="n">
        <v>44697</v>
      </c>
      <c r="C4857" s="1" t="n">
        <v>45182</v>
      </c>
      <c r="D4857" t="inlineStr">
        <is>
          <t>JÄMTLANDS LÄN</t>
        </is>
      </c>
      <c r="E4857" t="inlineStr">
        <is>
          <t>BRÄCKE</t>
        </is>
      </c>
      <c r="G4857" t="n">
        <v>41.6</v>
      </c>
      <c r="H4857" t="n">
        <v>0</v>
      </c>
      <c r="I4857" t="n">
        <v>0</v>
      </c>
      <c r="J4857" t="n">
        <v>0</v>
      </c>
      <c r="K4857" t="n">
        <v>0</v>
      </c>
      <c r="L4857" t="n">
        <v>0</v>
      </c>
      <c r="M4857" t="n">
        <v>0</v>
      </c>
      <c r="N4857" t="n">
        <v>0</v>
      </c>
      <c r="O4857" t="n">
        <v>0</v>
      </c>
      <c r="P4857" t="n">
        <v>0</v>
      </c>
      <c r="Q4857" t="n">
        <v>0</v>
      </c>
      <c r="R4857" s="2" t="inlineStr"/>
    </row>
    <row r="4858" ht="15" customHeight="1">
      <c r="A4858" t="inlineStr">
        <is>
          <t>A 20072-2022</t>
        </is>
      </c>
      <c r="B4858" s="1" t="n">
        <v>44697</v>
      </c>
      <c r="C4858" s="1" t="n">
        <v>45182</v>
      </c>
      <c r="D4858" t="inlineStr">
        <is>
          <t>JÄMTLANDS LÄN</t>
        </is>
      </c>
      <c r="E4858" t="inlineStr">
        <is>
          <t>STRÖMSUND</t>
        </is>
      </c>
      <c r="F4858" t="inlineStr">
        <is>
          <t>SCA</t>
        </is>
      </c>
      <c r="G4858" t="n">
        <v>5</v>
      </c>
      <c r="H4858" t="n">
        <v>0</v>
      </c>
      <c r="I4858" t="n">
        <v>0</v>
      </c>
      <c r="J4858" t="n">
        <v>0</v>
      </c>
      <c r="K4858" t="n">
        <v>0</v>
      </c>
      <c r="L4858" t="n">
        <v>0</v>
      </c>
      <c r="M4858" t="n">
        <v>0</v>
      </c>
      <c r="N4858" t="n">
        <v>0</v>
      </c>
      <c r="O4858" t="n">
        <v>0</v>
      </c>
      <c r="P4858" t="n">
        <v>0</v>
      </c>
      <c r="Q4858" t="n">
        <v>0</v>
      </c>
      <c r="R4858" s="2" t="inlineStr"/>
    </row>
    <row r="4859" ht="15" customHeight="1">
      <c r="A4859" t="inlineStr">
        <is>
          <t>A 20191-2022</t>
        </is>
      </c>
      <c r="B4859" s="1" t="n">
        <v>44698</v>
      </c>
      <c r="C4859" s="1" t="n">
        <v>45182</v>
      </c>
      <c r="D4859" t="inlineStr">
        <is>
          <t>JÄMTLANDS LÄN</t>
        </is>
      </c>
      <c r="E4859" t="inlineStr">
        <is>
          <t>BERG</t>
        </is>
      </c>
      <c r="G4859" t="n">
        <v>0.5</v>
      </c>
      <c r="H4859" t="n">
        <v>0</v>
      </c>
      <c r="I4859" t="n">
        <v>0</v>
      </c>
      <c r="J4859" t="n">
        <v>0</v>
      </c>
      <c r="K4859" t="n">
        <v>0</v>
      </c>
      <c r="L4859" t="n">
        <v>0</v>
      </c>
      <c r="M4859" t="n">
        <v>0</v>
      </c>
      <c r="N4859" t="n">
        <v>0</v>
      </c>
      <c r="O4859" t="n">
        <v>0</v>
      </c>
      <c r="P4859" t="n">
        <v>0</v>
      </c>
      <c r="Q4859" t="n">
        <v>0</v>
      </c>
      <c r="R4859" s="2" t="inlineStr"/>
    </row>
    <row r="4860" ht="15" customHeight="1">
      <c r="A4860" t="inlineStr">
        <is>
          <t>A 20266-2022</t>
        </is>
      </c>
      <c r="B4860" s="1" t="n">
        <v>44698</v>
      </c>
      <c r="C4860" s="1" t="n">
        <v>45182</v>
      </c>
      <c r="D4860" t="inlineStr">
        <is>
          <t>JÄMTLANDS LÄN</t>
        </is>
      </c>
      <c r="E4860" t="inlineStr">
        <is>
          <t>STRÖMSUND</t>
        </is>
      </c>
      <c r="G4860" t="n">
        <v>1.1</v>
      </c>
      <c r="H4860" t="n">
        <v>0</v>
      </c>
      <c r="I4860" t="n">
        <v>0</v>
      </c>
      <c r="J4860" t="n">
        <v>0</v>
      </c>
      <c r="K4860" t="n">
        <v>0</v>
      </c>
      <c r="L4860" t="n">
        <v>0</v>
      </c>
      <c r="M4860" t="n">
        <v>0</v>
      </c>
      <c r="N4860" t="n">
        <v>0</v>
      </c>
      <c r="O4860" t="n">
        <v>0</v>
      </c>
      <c r="P4860" t="n">
        <v>0</v>
      </c>
      <c r="Q4860" t="n">
        <v>0</v>
      </c>
      <c r="R4860" s="2" t="inlineStr"/>
    </row>
    <row r="4861" ht="15" customHeight="1">
      <c r="A4861" t="inlineStr">
        <is>
          <t>A 20245-2022</t>
        </is>
      </c>
      <c r="B4861" s="1" t="n">
        <v>44698</v>
      </c>
      <c r="C4861" s="1" t="n">
        <v>45182</v>
      </c>
      <c r="D4861" t="inlineStr">
        <is>
          <t>JÄMTLANDS LÄN</t>
        </is>
      </c>
      <c r="E4861" t="inlineStr">
        <is>
          <t>ÅRE</t>
        </is>
      </c>
      <c r="G4861" t="n">
        <v>2.6</v>
      </c>
      <c r="H4861" t="n">
        <v>0</v>
      </c>
      <c r="I4861" t="n">
        <v>0</v>
      </c>
      <c r="J4861" t="n">
        <v>0</v>
      </c>
      <c r="K4861" t="n">
        <v>0</v>
      </c>
      <c r="L4861" t="n">
        <v>0</v>
      </c>
      <c r="M4861" t="n">
        <v>0</v>
      </c>
      <c r="N4861" t="n">
        <v>0</v>
      </c>
      <c r="O4861" t="n">
        <v>0</v>
      </c>
      <c r="P4861" t="n">
        <v>0</v>
      </c>
      <c r="Q4861" t="n">
        <v>0</v>
      </c>
      <c r="R4861" s="2" t="inlineStr"/>
    </row>
    <row r="4862" ht="15" customHeight="1">
      <c r="A4862" t="inlineStr">
        <is>
          <t>A 20206-2022</t>
        </is>
      </c>
      <c r="B4862" s="1" t="n">
        <v>44698</v>
      </c>
      <c r="C4862" s="1" t="n">
        <v>45182</v>
      </c>
      <c r="D4862" t="inlineStr">
        <is>
          <t>JÄMTLANDS LÄN</t>
        </is>
      </c>
      <c r="E4862" t="inlineStr">
        <is>
          <t>HÄRJEDALEN</t>
        </is>
      </c>
      <c r="F4862" t="inlineStr">
        <is>
          <t>Bergvik skog väst AB</t>
        </is>
      </c>
      <c r="G4862" t="n">
        <v>5.8</v>
      </c>
      <c r="H4862" t="n">
        <v>0</v>
      </c>
      <c r="I4862" t="n">
        <v>0</v>
      </c>
      <c r="J4862" t="n">
        <v>0</v>
      </c>
      <c r="K4862" t="n">
        <v>0</v>
      </c>
      <c r="L4862" t="n">
        <v>0</v>
      </c>
      <c r="M4862" t="n">
        <v>0</v>
      </c>
      <c r="N4862" t="n">
        <v>0</v>
      </c>
      <c r="O4862" t="n">
        <v>0</v>
      </c>
      <c r="P4862" t="n">
        <v>0</v>
      </c>
      <c r="Q4862" t="n">
        <v>0</v>
      </c>
      <c r="R4862" s="2" t="inlineStr"/>
    </row>
    <row r="4863" ht="15" customHeight="1">
      <c r="A4863" t="inlineStr">
        <is>
          <t>A 20399-2022</t>
        </is>
      </c>
      <c r="B4863" s="1" t="n">
        <v>44699</v>
      </c>
      <c r="C4863" s="1" t="n">
        <v>45182</v>
      </c>
      <c r="D4863" t="inlineStr">
        <is>
          <t>JÄMTLANDS LÄN</t>
        </is>
      </c>
      <c r="E4863" t="inlineStr">
        <is>
          <t>BRÄCKE</t>
        </is>
      </c>
      <c r="F4863" t="inlineStr">
        <is>
          <t>Övriga Aktiebolag</t>
        </is>
      </c>
      <c r="G4863" t="n">
        <v>20.9</v>
      </c>
      <c r="H4863" t="n">
        <v>0</v>
      </c>
      <c r="I4863" t="n">
        <v>0</v>
      </c>
      <c r="J4863" t="n">
        <v>0</v>
      </c>
      <c r="K4863" t="n">
        <v>0</v>
      </c>
      <c r="L4863" t="n">
        <v>0</v>
      </c>
      <c r="M4863" t="n">
        <v>0</v>
      </c>
      <c r="N4863" t="n">
        <v>0</v>
      </c>
      <c r="O4863" t="n">
        <v>0</v>
      </c>
      <c r="P4863" t="n">
        <v>0</v>
      </c>
      <c r="Q4863" t="n">
        <v>0</v>
      </c>
      <c r="R4863" s="2" t="inlineStr"/>
    </row>
    <row r="4864" ht="15" customHeight="1">
      <c r="A4864" t="inlineStr">
        <is>
          <t>A 20334-2022</t>
        </is>
      </c>
      <c r="B4864" s="1" t="n">
        <v>44699</v>
      </c>
      <c r="C4864" s="1" t="n">
        <v>45182</v>
      </c>
      <c r="D4864" t="inlineStr">
        <is>
          <t>JÄMTLANDS LÄN</t>
        </is>
      </c>
      <c r="E4864" t="inlineStr">
        <is>
          <t>STRÖMSUND</t>
        </is>
      </c>
      <c r="F4864" t="inlineStr">
        <is>
          <t>Holmen skog AB</t>
        </is>
      </c>
      <c r="G4864" t="n">
        <v>0.6</v>
      </c>
      <c r="H4864" t="n">
        <v>0</v>
      </c>
      <c r="I4864" t="n">
        <v>0</v>
      </c>
      <c r="J4864" t="n">
        <v>0</v>
      </c>
      <c r="K4864" t="n">
        <v>0</v>
      </c>
      <c r="L4864" t="n">
        <v>0</v>
      </c>
      <c r="M4864" t="n">
        <v>0</v>
      </c>
      <c r="N4864" t="n">
        <v>0</v>
      </c>
      <c r="O4864" t="n">
        <v>0</v>
      </c>
      <c r="P4864" t="n">
        <v>0</v>
      </c>
      <c r="Q4864" t="n">
        <v>0</v>
      </c>
      <c r="R4864" s="2" t="inlineStr"/>
    </row>
    <row r="4865" ht="15" customHeight="1">
      <c r="A4865" t="inlineStr">
        <is>
          <t>A 20430-2022</t>
        </is>
      </c>
      <c r="B4865" s="1" t="n">
        <v>44699</v>
      </c>
      <c r="C4865" s="1" t="n">
        <v>45182</v>
      </c>
      <c r="D4865" t="inlineStr">
        <is>
          <t>JÄMTLANDS LÄN</t>
        </is>
      </c>
      <c r="E4865" t="inlineStr">
        <is>
          <t>KROKOM</t>
        </is>
      </c>
      <c r="G4865" t="n">
        <v>3.1</v>
      </c>
      <c r="H4865" t="n">
        <v>0</v>
      </c>
      <c r="I4865" t="n">
        <v>0</v>
      </c>
      <c r="J4865" t="n">
        <v>0</v>
      </c>
      <c r="K4865" t="n">
        <v>0</v>
      </c>
      <c r="L4865" t="n">
        <v>0</v>
      </c>
      <c r="M4865" t="n">
        <v>0</v>
      </c>
      <c r="N4865" t="n">
        <v>0</v>
      </c>
      <c r="O4865" t="n">
        <v>0</v>
      </c>
      <c r="P4865" t="n">
        <v>0</v>
      </c>
      <c r="Q4865" t="n">
        <v>0</v>
      </c>
      <c r="R4865" s="2" t="inlineStr"/>
    </row>
    <row r="4866" ht="15" customHeight="1">
      <c r="A4866" t="inlineStr">
        <is>
          <t>A 20339-2022</t>
        </is>
      </c>
      <c r="B4866" s="1" t="n">
        <v>44699</v>
      </c>
      <c r="C4866" s="1" t="n">
        <v>45182</v>
      </c>
      <c r="D4866" t="inlineStr">
        <is>
          <t>JÄMTLANDS LÄN</t>
        </is>
      </c>
      <c r="E4866" t="inlineStr">
        <is>
          <t>STRÖMSUND</t>
        </is>
      </c>
      <c r="F4866" t="inlineStr">
        <is>
          <t>Holmen skog AB</t>
        </is>
      </c>
      <c r="G4866" t="n">
        <v>0.5</v>
      </c>
      <c r="H4866" t="n">
        <v>0</v>
      </c>
      <c r="I4866" t="n">
        <v>0</v>
      </c>
      <c r="J4866" t="n">
        <v>0</v>
      </c>
      <c r="K4866" t="n">
        <v>0</v>
      </c>
      <c r="L4866" t="n">
        <v>0</v>
      </c>
      <c r="M4866" t="n">
        <v>0</v>
      </c>
      <c r="N4866" t="n">
        <v>0</v>
      </c>
      <c r="O4866" t="n">
        <v>0</v>
      </c>
      <c r="P4866" t="n">
        <v>0</v>
      </c>
      <c r="Q4866" t="n">
        <v>0</v>
      </c>
      <c r="R4866" s="2" t="inlineStr"/>
    </row>
    <row r="4867" ht="15" customHeight="1">
      <c r="A4867" t="inlineStr">
        <is>
          <t>A 20432-2022</t>
        </is>
      </c>
      <c r="B4867" s="1" t="n">
        <v>44699</v>
      </c>
      <c r="C4867" s="1" t="n">
        <v>45182</v>
      </c>
      <c r="D4867" t="inlineStr">
        <is>
          <t>JÄMTLANDS LÄN</t>
        </is>
      </c>
      <c r="E4867" t="inlineStr">
        <is>
          <t>STRÖMSUND</t>
        </is>
      </c>
      <c r="F4867" t="inlineStr">
        <is>
          <t>SCA</t>
        </is>
      </c>
      <c r="G4867" t="n">
        <v>99.59999999999999</v>
      </c>
      <c r="H4867" t="n">
        <v>0</v>
      </c>
      <c r="I4867" t="n">
        <v>0</v>
      </c>
      <c r="J4867" t="n">
        <v>0</v>
      </c>
      <c r="K4867" t="n">
        <v>0</v>
      </c>
      <c r="L4867" t="n">
        <v>0</v>
      </c>
      <c r="M4867" t="n">
        <v>0</v>
      </c>
      <c r="N4867" t="n">
        <v>0</v>
      </c>
      <c r="O4867" t="n">
        <v>0</v>
      </c>
      <c r="P4867" t="n">
        <v>0</v>
      </c>
      <c r="Q4867" t="n">
        <v>0</v>
      </c>
      <c r="R4867" s="2" t="inlineStr"/>
    </row>
    <row r="4868" ht="15" customHeight="1">
      <c r="A4868" t="inlineStr">
        <is>
          <t>A 20331-2022</t>
        </is>
      </c>
      <c r="B4868" s="1" t="n">
        <v>44699</v>
      </c>
      <c r="C4868" s="1" t="n">
        <v>45182</v>
      </c>
      <c r="D4868" t="inlineStr">
        <is>
          <t>JÄMTLANDS LÄN</t>
        </is>
      </c>
      <c r="E4868" t="inlineStr">
        <is>
          <t>STRÖMSUND</t>
        </is>
      </c>
      <c r="F4868" t="inlineStr">
        <is>
          <t>Holmen skog AB</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20718-2022</t>
        </is>
      </c>
      <c r="B4869" s="1" t="n">
        <v>44700</v>
      </c>
      <c r="C4869" s="1" t="n">
        <v>45182</v>
      </c>
      <c r="D4869" t="inlineStr">
        <is>
          <t>JÄMTLANDS LÄN</t>
        </is>
      </c>
      <c r="E4869" t="inlineStr">
        <is>
          <t>BRÄCKE</t>
        </is>
      </c>
      <c r="F4869" t="inlineStr">
        <is>
          <t>SCA</t>
        </is>
      </c>
      <c r="G4869" t="n">
        <v>4.6</v>
      </c>
      <c r="H4869" t="n">
        <v>0</v>
      </c>
      <c r="I4869" t="n">
        <v>0</v>
      </c>
      <c r="J4869" t="n">
        <v>0</v>
      </c>
      <c r="K4869" t="n">
        <v>0</v>
      </c>
      <c r="L4869" t="n">
        <v>0</v>
      </c>
      <c r="M4869" t="n">
        <v>0</v>
      </c>
      <c r="N4869" t="n">
        <v>0</v>
      </c>
      <c r="O4869" t="n">
        <v>0</v>
      </c>
      <c r="P4869" t="n">
        <v>0</v>
      </c>
      <c r="Q4869" t="n">
        <v>0</v>
      </c>
      <c r="R4869" s="2" t="inlineStr"/>
    </row>
    <row r="4870" ht="15" customHeight="1">
      <c r="A4870" t="inlineStr">
        <is>
          <t>A 20726-2022</t>
        </is>
      </c>
      <c r="B4870" s="1" t="n">
        <v>44700</v>
      </c>
      <c r="C4870" s="1" t="n">
        <v>45182</v>
      </c>
      <c r="D4870" t="inlineStr">
        <is>
          <t>JÄMTLANDS LÄN</t>
        </is>
      </c>
      <c r="E4870" t="inlineStr">
        <is>
          <t>BRÄCKE</t>
        </is>
      </c>
      <c r="G4870" t="n">
        <v>1.1</v>
      </c>
      <c r="H4870" t="n">
        <v>0</v>
      </c>
      <c r="I4870" t="n">
        <v>0</v>
      </c>
      <c r="J4870" t="n">
        <v>0</v>
      </c>
      <c r="K4870" t="n">
        <v>0</v>
      </c>
      <c r="L4870" t="n">
        <v>0</v>
      </c>
      <c r="M4870" t="n">
        <v>0</v>
      </c>
      <c r="N4870" t="n">
        <v>0</v>
      </c>
      <c r="O4870" t="n">
        <v>0</v>
      </c>
      <c r="P4870" t="n">
        <v>0</v>
      </c>
      <c r="Q4870" t="n">
        <v>0</v>
      </c>
      <c r="R4870" s="2" t="inlineStr"/>
    </row>
    <row r="4871" ht="15" customHeight="1">
      <c r="A4871" t="inlineStr">
        <is>
          <t>A 20727-2022</t>
        </is>
      </c>
      <c r="B4871" s="1" t="n">
        <v>44700</v>
      </c>
      <c r="C4871" s="1" t="n">
        <v>45182</v>
      </c>
      <c r="D4871" t="inlineStr">
        <is>
          <t>JÄMTLANDS LÄN</t>
        </is>
      </c>
      <c r="E4871" t="inlineStr">
        <is>
          <t>BRÄCKE</t>
        </is>
      </c>
      <c r="G4871" t="n">
        <v>1.5</v>
      </c>
      <c r="H4871" t="n">
        <v>0</v>
      </c>
      <c r="I4871" t="n">
        <v>0</v>
      </c>
      <c r="J4871" t="n">
        <v>0</v>
      </c>
      <c r="K4871" t="n">
        <v>0</v>
      </c>
      <c r="L4871" t="n">
        <v>0</v>
      </c>
      <c r="M4871" t="n">
        <v>0</v>
      </c>
      <c r="N4871" t="n">
        <v>0</v>
      </c>
      <c r="O4871" t="n">
        <v>0</v>
      </c>
      <c r="P4871" t="n">
        <v>0</v>
      </c>
      <c r="Q4871" t="n">
        <v>0</v>
      </c>
      <c r="R4871" s="2" t="inlineStr"/>
    </row>
    <row r="4872" ht="15" customHeight="1">
      <c r="A4872" t="inlineStr">
        <is>
          <t>A 20816-2022</t>
        </is>
      </c>
      <c r="B4872" s="1" t="n">
        <v>44700</v>
      </c>
      <c r="C4872" s="1" t="n">
        <v>45182</v>
      </c>
      <c r="D4872" t="inlineStr">
        <is>
          <t>JÄMTLANDS LÄN</t>
        </is>
      </c>
      <c r="E4872" t="inlineStr">
        <is>
          <t>ÅRE</t>
        </is>
      </c>
      <c r="G4872" t="n">
        <v>1</v>
      </c>
      <c r="H4872" t="n">
        <v>0</v>
      </c>
      <c r="I4872" t="n">
        <v>0</v>
      </c>
      <c r="J4872" t="n">
        <v>0</v>
      </c>
      <c r="K4872" t="n">
        <v>0</v>
      </c>
      <c r="L4872" t="n">
        <v>0</v>
      </c>
      <c r="M4872" t="n">
        <v>0</v>
      </c>
      <c r="N4872" t="n">
        <v>0</v>
      </c>
      <c r="O4872" t="n">
        <v>0</v>
      </c>
      <c r="P4872" t="n">
        <v>0</v>
      </c>
      <c r="Q4872" t="n">
        <v>0</v>
      </c>
      <c r="R4872" s="2" t="inlineStr"/>
    </row>
    <row r="4873" ht="15" customHeight="1">
      <c r="A4873" t="inlineStr">
        <is>
          <t>A 20596-2022</t>
        </is>
      </c>
      <c r="B4873" s="1" t="n">
        <v>44700</v>
      </c>
      <c r="C4873" s="1" t="n">
        <v>45182</v>
      </c>
      <c r="D4873" t="inlineStr">
        <is>
          <t>JÄMTLANDS LÄN</t>
        </is>
      </c>
      <c r="E4873" t="inlineStr">
        <is>
          <t>STRÖMSUND</t>
        </is>
      </c>
      <c r="G4873" t="n">
        <v>13.6</v>
      </c>
      <c r="H4873" t="n">
        <v>0</v>
      </c>
      <c r="I4873" t="n">
        <v>0</v>
      </c>
      <c r="J4873" t="n">
        <v>0</v>
      </c>
      <c r="K4873" t="n">
        <v>0</v>
      </c>
      <c r="L4873" t="n">
        <v>0</v>
      </c>
      <c r="M4873" t="n">
        <v>0</v>
      </c>
      <c r="N4873" t="n">
        <v>0</v>
      </c>
      <c r="O4873" t="n">
        <v>0</v>
      </c>
      <c r="P4873" t="n">
        <v>0</v>
      </c>
      <c r="Q4873" t="n">
        <v>0</v>
      </c>
      <c r="R4873" s="2" t="inlineStr"/>
    </row>
    <row r="4874" ht="15" customHeight="1">
      <c r="A4874" t="inlineStr">
        <is>
          <t>A 20708-2022</t>
        </is>
      </c>
      <c r="B4874" s="1" t="n">
        <v>44700</v>
      </c>
      <c r="C4874" s="1" t="n">
        <v>45182</v>
      </c>
      <c r="D4874" t="inlineStr">
        <is>
          <t>JÄMTLANDS LÄN</t>
        </is>
      </c>
      <c r="E4874" t="inlineStr">
        <is>
          <t>STRÖMSUND</t>
        </is>
      </c>
      <c r="F4874" t="inlineStr">
        <is>
          <t>SCA</t>
        </is>
      </c>
      <c r="G4874" t="n">
        <v>1.4</v>
      </c>
      <c r="H4874" t="n">
        <v>0</v>
      </c>
      <c r="I4874" t="n">
        <v>0</v>
      </c>
      <c r="J4874" t="n">
        <v>0</v>
      </c>
      <c r="K4874" t="n">
        <v>0</v>
      </c>
      <c r="L4874" t="n">
        <v>0</v>
      </c>
      <c r="M4874" t="n">
        <v>0</v>
      </c>
      <c r="N4874" t="n">
        <v>0</v>
      </c>
      <c r="O4874" t="n">
        <v>0</v>
      </c>
      <c r="P4874" t="n">
        <v>0</v>
      </c>
      <c r="Q4874" t="n">
        <v>0</v>
      </c>
      <c r="R4874" s="2" t="inlineStr"/>
    </row>
    <row r="4875" ht="15" customHeight="1">
      <c r="A4875" t="inlineStr">
        <is>
          <t>A 20721-2022</t>
        </is>
      </c>
      <c r="B4875" s="1" t="n">
        <v>44700</v>
      </c>
      <c r="C4875" s="1" t="n">
        <v>45182</v>
      </c>
      <c r="D4875" t="inlineStr">
        <is>
          <t>JÄMTLANDS LÄN</t>
        </is>
      </c>
      <c r="E4875" t="inlineStr">
        <is>
          <t>KROKOM</t>
        </is>
      </c>
      <c r="F4875" t="inlineStr">
        <is>
          <t>SCA</t>
        </is>
      </c>
      <c r="G4875" t="n">
        <v>8.1</v>
      </c>
      <c r="H4875" t="n">
        <v>0</v>
      </c>
      <c r="I4875" t="n">
        <v>0</v>
      </c>
      <c r="J4875" t="n">
        <v>0</v>
      </c>
      <c r="K4875" t="n">
        <v>0</v>
      </c>
      <c r="L4875" t="n">
        <v>0</v>
      </c>
      <c r="M4875" t="n">
        <v>0</v>
      </c>
      <c r="N4875" t="n">
        <v>0</v>
      </c>
      <c r="O4875" t="n">
        <v>0</v>
      </c>
      <c r="P4875" t="n">
        <v>0</v>
      </c>
      <c r="Q4875" t="n">
        <v>0</v>
      </c>
      <c r="R4875" s="2" t="inlineStr"/>
    </row>
    <row r="4876" ht="15" customHeight="1">
      <c r="A4876" t="inlineStr">
        <is>
          <t>A 20827-2022</t>
        </is>
      </c>
      <c r="B4876" s="1" t="n">
        <v>44700</v>
      </c>
      <c r="C4876" s="1" t="n">
        <v>45182</v>
      </c>
      <c r="D4876" t="inlineStr">
        <is>
          <t>JÄMTLANDS LÄN</t>
        </is>
      </c>
      <c r="E4876" t="inlineStr">
        <is>
          <t>ÅRE</t>
        </is>
      </c>
      <c r="G4876" t="n">
        <v>2.6</v>
      </c>
      <c r="H4876" t="n">
        <v>0</v>
      </c>
      <c r="I4876" t="n">
        <v>0</v>
      </c>
      <c r="J4876" t="n">
        <v>0</v>
      </c>
      <c r="K4876" t="n">
        <v>0</v>
      </c>
      <c r="L4876" t="n">
        <v>0</v>
      </c>
      <c r="M4876" t="n">
        <v>0</v>
      </c>
      <c r="N4876" t="n">
        <v>0</v>
      </c>
      <c r="O4876" t="n">
        <v>0</v>
      </c>
      <c r="P4876" t="n">
        <v>0</v>
      </c>
      <c r="Q4876" t="n">
        <v>0</v>
      </c>
      <c r="R4876" s="2" t="inlineStr"/>
    </row>
    <row r="4877" ht="15" customHeight="1">
      <c r="A4877" t="inlineStr">
        <is>
          <t>A 20965-2022</t>
        </is>
      </c>
      <c r="B4877" s="1" t="n">
        <v>44701</v>
      </c>
      <c r="C4877" s="1" t="n">
        <v>45182</v>
      </c>
      <c r="D4877" t="inlineStr">
        <is>
          <t>JÄMTLANDS LÄN</t>
        </is>
      </c>
      <c r="E4877" t="inlineStr">
        <is>
          <t>STRÖMSUND</t>
        </is>
      </c>
      <c r="F4877" t="inlineStr">
        <is>
          <t>SCA</t>
        </is>
      </c>
      <c r="G4877" t="n">
        <v>4.1</v>
      </c>
      <c r="H4877" t="n">
        <v>0</v>
      </c>
      <c r="I4877" t="n">
        <v>0</v>
      </c>
      <c r="J4877" t="n">
        <v>0</v>
      </c>
      <c r="K4877" t="n">
        <v>0</v>
      </c>
      <c r="L4877" t="n">
        <v>0</v>
      </c>
      <c r="M4877" t="n">
        <v>0</v>
      </c>
      <c r="N4877" t="n">
        <v>0</v>
      </c>
      <c r="O4877" t="n">
        <v>0</v>
      </c>
      <c r="P4877" t="n">
        <v>0</v>
      </c>
      <c r="Q4877" t="n">
        <v>0</v>
      </c>
      <c r="R4877" s="2" t="inlineStr"/>
    </row>
    <row r="4878" ht="15" customHeight="1">
      <c r="A4878" t="inlineStr">
        <is>
          <t>A 20865-2022</t>
        </is>
      </c>
      <c r="B4878" s="1" t="n">
        <v>44701</v>
      </c>
      <c r="C4878" s="1" t="n">
        <v>45182</v>
      </c>
      <c r="D4878" t="inlineStr">
        <is>
          <t>JÄMTLANDS LÄN</t>
        </is>
      </c>
      <c r="E4878" t="inlineStr">
        <is>
          <t>STRÖMSUND</t>
        </is>
      </c>
      <c r="F4878" t="inlineStr">
        <is>
          <t>Holmen skog AB</t>
        </is>
      </c>
      <c r="G4878" t="n">
        <v>10.2</v>
      </c>
      <c r="H4878" t="n">
        <v>0</v>
      </c>
      <c r="I4878" t="n">
        <v>0</v>
      </c>
      <c r="J4878" t="n">
        <v>0</v>
      </c>
      <c r="K4878" t="n">
        <v>0</v>
      </c>
      <c r="L4878" t="n">
        <v>0</v>
      </c>
      <c r="M4878" t="n">
        <v>0</v>
      </c>
      <c r="N4878" t="n">
        <v>0</v>
      </c>
      <c r="O4878" t="n">
        <v>0</v>
      </c>
      <c r="P4878" t="n">
        <v>0</v>
      </c>
      <c r="Q4878" t="n">
        <v>0</v>
      </c>
      <c r="R4878" s="2" t="inlineStr"/>
    </row>
    <row r="4879" ht="15" customHeight="1">
      <c r="A4879" t="inlineStr">
        <is>
          <t>A 21080-2022</t>
        </is>
      </c>
      <c r="B4879" s="1" t="n">
        <v>44704</v>
      </c>
      <c r="C4879" s="1" t="n">
        <v>45182</v>
      </c>
      <c r="D4879" t="inlineStr">
        <is>
          <t>JÄMTLANDS LÄN</t>
        </is>
      </c>
      <c r="E4879" t="inlineStr">
        <is>
          <t>BERG</t>
        </is>
      </c>
      <c r="F4879" t="inlineStr">
        <is>
          <t>SCA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21984-2022</t>
        </is>
      </c>
      <c r="B4880" s="1" t="n">
        <v>44704</v>
      </c>
      <c r="C4880" s="1" t="n">
        <v>45182</v>
      </c>
      <c r="D4880" t="inlineStr">
        <is>
          <t>JÄMTLANDS LÄN</t>
        </is>
      </c>
      <c r="E4880" t="inlineStr">
        <is>
          <t>RAGUNDA</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21278-2022</t>
        </is>
      </c>
      <c r="B4881" s="1" t="n">
        <v>44705</v>
      </c>
      <c r="C4881" s="1" t="n">
        <v>45182</v>
      </c>
      <c r="D4881" t="inlineStr">
        <is>
          <t>JÄMTLANDS LÄN</t>
        </is>
      </c>
      <c r="E4881" t="inlineStr">
        <is>
          <t>KROKOM</t>
        </is>
      </c>
      <c r="F4881" t="inlineStr">
        <is>
          <t>Övriga Aktiebolag</t>
        </is>
      </c>
      <c r="G4881" t="n">
        <v>29.1</v>
      </c>
      <c r="H4881" t="n">
        <v>0</v>
      </c>
      <c r="I4881" t="n">
        <v>0</v>
      </c>
      <c r="J4881" t="n">
        <v>0</v>
      </c>
      <c r="K4881" t="n">
        <v>0</v>
      </c>
      <c r="L4881" t="n">
        <v>0</v>
      </c>
      <c r="M4881" t="n">
        <v>0</v>
      </c>
      <c r="N4881" t="n">
        <v>0</v>
      </c>
      <c r="O4881" t="n">
        <v>0</v>
      </c>
      <c r="P4881" t="n">
        <v>0</v>
      </c>
      <c r="Q4881" t="n">
        <v>0</v>
      </c>
      <c r="R4881" s="2" t="inlineStr"/>
    </row>
    <row r="4882" ht="15" customHeight="1">
      <c r="A4882" t="inlineStr">
        <is>
          <t>A 21312-2022</t>
        </is>
      </c>
      <c r="B4882" s="1" t="n">
        <v>44705</v>
      </c>
      <c r="C4882" s="1" t="n">
        <v>45182</v>
      </c>
      <c r="D4882" t="inlineStr">
        <is>
          <t>JÄMTLANDS LÄN</t>
        </is>
      </c>
      <c r="E4882" t="inlineStr">
        <is>
          <t>KROKOM</t>
        </is>
      </c>
      <c r="G4882" t="n">
        <v>15.3</v>
      </c>
      <c r="H4882" t="n">
        <v>0</v>
      </c>
      <c r="I4882" t="n">
        <v>0</v>
      </c>
      <c r="J4882" t="n">
        <v>0</v>
      </c>
      <c r="K4882" t="n">
        <v>0</v>
      </c>
      <c r="L4882" t="n">
        <v>0</v>
      </c>
      <c r="M4882" t="n">
        <v>0</v>
      </c>
      <c r="N4882" t="n">
        <v>0</v>
      </c>
      <c r="O4882" t="n">
        <v>0</v>
      </c>
      <c r="P4882" t="n">
        <v>0</v>
      </c>
      <c r="Q4882" t="n">
        <v>0</v>
      </c>
      <c r="R4882" s="2" t="inlineStr"/>
    </row>
    <row r="4883" ht="15" customHeight="1">
      <c r="A4883" t="inlineStr">
        <is>
          <t>A 21301-2022</t>
        </is>
      </c>
      <c r="B4883" s="1" t="n">
        <v>44705</v>
      </c>
      <c r="C4883" s="1" t="n">
        <v>45182</v>
      </c>
      <c r="D4883" t="inlineStr">
        <is>
          <t>JÄMTLANDS LÄN</t>
        </is>
      </c>
      <c r="E4883" t="inlineStr">
        <is>
          <t>KROKOM</t>
        </is>
      </c>
      <c r="G4883" t="n">
        <v>2.5</v>
      </c>
      <c r="H4883" t="n">
        <v>0</v>
      </c>
      <c r="I4883" t="n">
        <v>0</v>
      </c>
      <c r="J4883" t="n">
        <v>0</v>
      </c>
      <c r="K4883" t="n">
        <v>0</v>
      </c>
      <c r="L4883" t="n">
        <v>0</v>
      </c>
      <c r="M4883" t="n">
        <v>0</v>
      </c>
      <c r="N4883" t="n">
        <v>0</v>
      </c>
      <c r="O4883" t="n">
        <v>0</v>
      </c>
      <c r="P4883" t="n">
        <v>0</v>
      </c>
      <c r="Q4883" t="n">
        <v>0</v>
      </c>
      <c r="R4883" s="2" t="inlineStr"/>
    </row>
    <row r="4884" ht="15" customHeight="1">
      <c r="A4884" t="inlineStr">
        <is>
          <t>A 21413-2022</t>
        </is>
      </c>
      <c r="B4884" s="1" t="n">
        <v>44705</v>
      </c>
      <c r="C4884" s="1" t="n">
        <v>45182</v>
      </c>
      <c r="D4884" t="inlineStr">
        <is>
          <t>JÄMTLANDS LÄN</t>
        </is>
      </c>
      <c r="E4884" t="inlineStr">
        <is>
          <t>RAGUNDA</t>
        </is>
      </c>
      <c r="G4884" t="n">
        <v>2.4</v>
      </c>
      <c r="H4884" t="n">
        <v>0</v>
      </c>
      <c r="I4884" t="n">
        <v>0</v>
      </c>
      <c r="J4884" t="n">
        <v>0</v>
      </c>
      <c r="K4884" t="n">
        <v>0</v>
      </c>
      <c r="L4884" t="n">
        <v>0</v>
      </c>
      <c r="M4884" t="n">
        <v>0</v>
      </c>
      <c r="N4884" t="n">
        <v>0</v>
      </c>
      <c r="O4884" t="n">
        <v>0</v>
      </c>
      <c r="P4884" t="n">
        <v>0</v>
      </c>
      <c r="Q4884" t="n">
        <v>0</v>
      </c>
      <c r="R4884" s="2" t="inlineStr"/>
    </row>
    <row r="4885" ht="15" customHeight="1">
      <c r="A4885" t="inlineStr">
        <is>
          <t>A 21464-2022</t>
        </is>
      </c>
      <c r="B4885" s="1" t="n">
        <v>44706</v>
      </c>
      <c r="C4885" s="1" t="n">
        <v>45182</v>
      </c>
      <c r="D4885" t="inlineStr">
        <is>
          <t>JÄMTLANDS LÄN</t>
        </is>
      </c>
      <c r="E4885" t="inlineStr">
        <is>
          <t>ÅRE</t>
        </is>
      </c>
      <c r="G4885" t="n">
        <v>10.9</v>
      </c>
      <c r="H4885" t="n">
        <v>0</v>
      </c>
      <c r="I4885" t="n">
        <v>0</v>
      </c>
      <c r="J4885" t="n">
        <v>0</v>
      </c>
      <c r="K4885" t="n">
        <v>0</v>
      </c>
      <c r="L4885" t="n">
        <v>0</v>
      </c>
      <c r="M4885" t="n">
        <v>0</v>
      </c>
      <c r="N4885" t="n">
        <v>0</v>
      </c>
      <c r="O4885" t="n">
        <v>0</v>
      </c>
      <c r="P4885" t="n">
        <v>0</v>
      </c>
      <c r="Q4885" t="n">
        <v>0</v>
      </c>
      <c r="R4885" s="2" t="inlineStr"/>
    </row>
    <row r="4886" ht="15" customHeight="1">
      <c r="A4886" t="inlineStr">
        <is>
          <t>A 21650-2022</t>
        </is>
      </c>
      <c r="B4886" s="1" t="n">
        <v>44706</v>
      </c>
      <c r="C4886" s="1" t="n">
        <v>45182</v>
      </c>
      <c r="D4886" t="inlineStr">
        <is>
          <t>JÄMTLANDS LÄN</t>
        </is>
      </c>
      <c r="E4886" t="inlineStr">
        <is>
          <t>STRÖMSUND</t>
        </is>
      </c>
      <c r="F4886" t="inlineStr">
        <is>
          <t>SCA</t>
        </is>
      </c>
      <c r="G4886" t="n">
        <v>2.7</v>
      </c>
      <c r="H4886" t="n">
        <v>0</v>
      </c>
      <c r="I4886" t="n">
        <v>0</v>
      </c>
      <c r="J4886" t="n">
        <v>0</v>
      </c>
      <c r="K4886" t="n">
        <v>0</v>
      </c>
      <c r="L4886" t="n">
        <v>0</v>
      </c>
      <c r="M4886" t="n">
        <v>0</v>
      </c>
      <c r="N4886" t="n">
        <v>0</v>
      </c>
      <c r="O4886" t="n">
        <v>0</v>
      </c>
      <c r="P4886" t="n">
        <v>0</v>
      </c>
      <c r="Q4886" t="n">
        <v>0</v>
      </c>
      <c r="R4886" s="2" t="inlineStr"/>
    </row>
    <row r="4887" ht="15" customHeight="1">
      <c r="A4887" t="inlineStr">
        <is>
          <t>A 21500-2022</t>
        </is>
      </c>
      <c r="B4887" s="1" t="n">
        <v>44706</v>
      </c>
      <c r="C4887" s="1" t="n">
        <v>45182</v>
      </c>
      <c r="D4887" t="inlineStr">
        <is>
          <t>JÄMTLANDS LÄN</t>
        </is>
      </c>
      <c r="E4887" t="inlineStr">
        <is>
          <t>RAGUNDA</t>
        </is>
      </c>
      <c r="G4887" t="n">
        <v>1</v>
      </c>
      <c r="H4887" t="n">
        <v>0</v>
      </c>
      <c r="I4887" t="n">
        <v>0</v>
      </c>
      <c r="J4887" t="n">
        <v>0</v>
      </c>
      <c r="K4887" t="n">
        <v>0</v>
      </c>
      <c r="L4887" t="n">
        <v>0</v>
      </c>
      <c r="M4887" t="n">
        <v>0</v>
      </c>
      <c r="N4887" t="n">
        <v>0</v>
      </c>
      <c r="O4887" t="n">
        <v>0</v>
      </c>
      <c r="P4887" t="n">
        <v>0</v>
      </c>
      <c r="Q4887" t="n">
        <v>0</v>
      </c>
      <c r="R4887" s="2" t="inlineStr"/>
    </row>
    <row r="4888" ht="15" customHeight="1">
      <c r="A4888" t="inlineStr">
        <is>
          <t>A 21495-2022</t>
        </is>
      </c>
      <c r="B4888" s="1" t="n">
        <v>44706</v>
      </c>
      <c r="C4888" s="1" t="n">
        <v>45182</v>
      </c>
      <c r="D4888" t="inlineStr">
        <is>
          <t>JÄMTLANDS LÄN</t>
        </is>
      </c>
      <c r="E4888" t="inlineStr">
        <is>
          <t>ÖSTERSUND</t>
        </is>
      </c>
      <c r="G4888" t="n">
        <v>1.3</v>
      </c>
      <c r="H4888" t="n">
        <v>0</v>
      </c>
      <c r="I4888" t="n">
        <v>0</v>
      </c>
      <c r="J4888" t="n">
        <v>0</v>
      </c>
      <c r="K4888" t="n">
        <v>0</v>
      </c>
      <c r="L4888" t="n">
        <v>0</v>
      </c>
      <c r="M4888" t="n">
        <v>0</v>
      </c>
      <c r="N4888" t="n">
        <v>0</v>
      </c>
      <c r="O4888" t="n">
        <v>0</v>
      </c>
      <c r="P4888" t="n">
        <v>0</v>
      </c>
      <c r="Q4888" t="n">
        <v>0</v>
      </c>
      <c r="R4888" s="2" t="inlineStr"/>
    </row>
    <row r="4889" ht="15" customHeight="1">
      <c r="A4889" t="inlineStr">
        <is>
          <t>A 21659-2022</t>
        </is>
      </c>
      <c r="B4889" s="1" t="n">
        <v>44706</v>
      </c>
      <c r="C4889" s="1" t="n">
        <v>45182</v>
      </c>
      <c r="D4889" t="inlineStr">
        <is>
          <t>JÄMTLANDS LÄN</t>
        </is>
      </c>
      <c r="E4889" t="inlineStr">
        <is>
          <t>BRÄCKE</t>
        </is>
      </c>
      <c r="F4889" t="inlineStr">
        <is>
          <t>SCA</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21722-2022</t>
        </is>
      </c>
      <c r="B4890" s="1" t="n">
        <v>44706</v>
      </c>
      <c r="C4890" s="1" t="n">
        <v>45182</v>
      </c>
      <c r="D4890" t="inlineStr">
        <is>
          <t>JÄMTLANDS LÄN</t>
        </is>
      </c>
      <c r="E4890" t="inlineStr">
        <is>
          <t>BRÄCKE</t>
        </is>
      </c>
      <c r="G4890" t="n">
        <v>1.5</v>
      </c>
      <c r="H4890" t="n">
        <v>0</v>
      </c>
      <c r="I4890" t="n">
        <v>0</v>
      </c>
      <c r="J4890" t="n">
        <v>0</v>
      </c>
      <c r="K4890" t="n">
        <v>0</v>
      </c>
      <c r="L4890" t="n">
        <v>0</v>
      </c>
      <c r="M4890" t="n">
        <v>0</v>
      </c>
      <c r="N4890" t="n">
        <v>0</v>
      </c>
      <c r="O4890" t="n">
        <v>0</v>
      </c>
      <c r="P4890" t="n">
        <v>0</v>
      </c>
      <c r="Q4890" t="n">
        <v>0</v>
      </c>
      <c r="R4890" s="2" t="inlineStr"/>
    </row>
    <row r="4891" ht="15" customHeight="1">
      <c r="A4891" t="inlineStr">
        <is>
          <t>A 21812-2022</t>
        </is>
      </c>
      <c r="B4891" s="1" t="n">
        <v>44708</v>
      </c>
      <c r="C4891" s="1" t="n">
        <v>45182</v>
      </c>
      <c r="D4891" t="inlineStr">
        <is>
          <t>JÄMTLANDS LÄN</t>
        </is>
      </c>
      <c r="E4891" t="inlineStr">
        <is>
          <t>STRÖMSUND</t>
        </is>
      </c>
      <c r="F4891" t="inlineStr">
        <is>
          <t>SCA</t>
        </is>
      </c>
      <c r="G4891" t="n">
        <v>12.6</v>
      </c>
      <c r="H4891" t="n">
        <v>0</v>
      </c>
      <c r="I4891" t="n">
        <v>0</v>
      </c>
      <c r="J4891" t="n">
        <v>0</v>
      </c>
      <c r="K4891" t="n">
        <v>0</v>
      </c>
      <c r="L4891" t="n">
        <v>0</v>
      </c>
      <c r="M4891" t="n">
        <v>0</v>
      </c>
      <c r="N4891" t="n">
        <v>0</v>
      </c>
      <c r="O4891" t="n">
        <v>0</v>
      </c>
      <c r="P4891" t="n">
        <v>0</v>
      </c>
      <c r="Q4891" t="n">
        <v>0</v>
      </c>
      <c r="R4891" s="2" t="inlineStr"/>
    </row>
    <row r="4892" ht="15" customHeight="1">
      <c r="A4892" t="inlineStr">
        <is>
          <t>A 21771-2022</t>
        </is>
      </c>
      <c r="B4892" s="1" t="n">
        <v>44708</v>
      </c>
      <c r="C4892" s="1" t="n">
        <v>45182</v>
      </c>
      <c r="D4892" t="inlineStr">
        <is>
          <t>JÄMTLANDS LÄN</t>
        </is>
      </c>
      <c r="E4892" t="inlineStr">
        <is>
          <t>STRÖMSUND</t>
        </is>
      </c>
      <c r="G4892" t="n">
        <v>10</v>
      </c>
      <c r="H4892" t="n">
        <v>0</v>
      </c>
      <c r="I4892" t="n">
        <v>0</v>
      </c>
      <c r="J4892" t="n">
        <v>0</v>
      </c>
      <c r="K4892" t="n">
        <v>0</v>
      </c>
      <c r="L4892" t="n">
        <v>0</v>
      </c>
      <c r="M4892" t="n">
        <v>0</v>
      </c>
      <c r="N4892" t="n">
        <v>0</v>
      </c>
      <c r="O4892" t="n">
        <v>0</v>
      </c>
      <c r="P4892" t="n">
        <v>0</v>
      </c>
      <c r="Q4892" t="n">
        <v>0</v>
      </c>
      <c r="R4892" s="2" t="inlineStr"/>
    </row>
    <row r="4893" ht="15" customHeight="1">
      <c r="A4893" t="inlineStr">
        <is>
          <t>A 21796-2022</t>
        </is>
      </c>
      <c r="B4893" s="1" t="n">
        <v>44708</v>
      </c>
      <c r="C4893" s="1" t="n">
        <v>45182</v>
      </c>
      <c r="D4893" t="inlineStr">
        <is>
          <t>JÄMTLANDS LÄN</t>
        </is>
      </c>
      <c r="E4893" t="inlineStr">
        <is>
          <t>HÄRJEDALEN</t>
        </is>
      </c>
      <c r="F4893" t="inlineStr">
        <is>
          <t>Holmen skog AB</t>
        </is>
      </c>
      <c r="G4893" t="n">
        <v>22.3</v>
      </c>
      <c r="H4893" t="n">
        <v>0</v>
      </c>
      <c r="I4893" t="n">
        <v>0</v>
      </c>
      <c r="J4893" t="n">
        <v>0</v>
      </c>
      <c r="K4893" t="n">
        <v>0</v>
      </c>
      <c r="L4893" t="n">
        <v>0</v>
      </c>
      <c r="M4893" t="n">
        <v>0</v>
      </c>
      <c r="N4893" t="n">
        <v>0</v>
      </c>
      <c r="O4893" t="n">
        <v>0</v>
      </c>
      <c r="P4893" t="n">
        <v>0</v>
      </c>
      <c r="Q4893" t="n">
        <v>0</v>
      </c>
      <c r="R4893" s="2" t="inlineStr"/>
    </row>
    <row r="4894" ht="15" customHeight="1">
      <c r="A4894" t="inlineStr">
        <is>
          <t>A 22085-2022</t>
        </is>
      </c>
      <c r="B4894" s="1" t="n">
        <v>44711</v>
      </c>
      <c r="C4894" s="1" t="n">
        <v>45182</v>
      </c>
      <c r="D4894" t="inlineStr">
        <is>
          <t>JÄMTLANDS LÄN</t>
        </is>
      </c>
      <c r="E4894" t="inlineStr">
        <is>
          <t>ÖSTERSUND</t>
        </is>
      </c>
      <c r="G4894" t="n">
        <v>0.9</v>
      </c>
      <c r="H4894" t="n">
        <v>0</v>
      </c>
      <c r="I4894" t="n">
        <v>0</v>
      </c>
      <c r="J4894" t="n">
        <v>0</v>
      </c>
      <c r="K4894" t="n">
        <v>0</v>
      </c>
      <c r="L4894" t="n">
        <v>0</v>
      </c>
      <c r="M4894" t="n">
        <v>0</v>
      </c>
      <c r="N4894" t="n">
        <v>0</v>
      </c>
      <c r="O4894" t="n">
        <v>0</v>
      </c>
      <c r="P4894" t="n">
        <v>0</v>
      </c>
      <c r="Q4894" t="n">
        <v>0</v>
      </c>
      <c r="R4894" s="2" t="inlineStr"/>
    </row>
    <row r="4895" ht="15" customHeight="1">
      <c r="A4895" t="inlineStr">
        <is>
          <t>A 22026-2022</t>
        </is>
      </c>
      <c r="B4895" s="1" t="n">
        <v>44711</v>
      </c>
      <c r="C4895" s="1" t="n">
        <v>45182</v>
      </c>
      <c r="D4895" t="inlineStr">
        <is>
          <t>JÄMTLANDS LÄN</t>
        </is>
      </c>
      <c r="E4895" t="inlineStr">
        <is>
          <t>STRÖMSUND</t>
        </is>
      </c>
      <c r="G4895" t="n">
        <v>5.8</v>
      </c>
      <c r="H4895" t="n">
        <v>0</v>
      </c>
      <c r="I4895" t="n">
        <v>0</v>
      </c>
      <c r="J4895" t="n">
        <v>0</v>
      </c>
      <c r="K4895" t="n">
        <v>0</v>
      </c>
      <c r="L4895" t="n">
        <v>0</v>
      </c>
      <c r="M4895" t="n">
        <v>0</v>
      </c>
      <c r="N4895" t="n">
        <v>0</v>
      </c>
      <c r="O4895" t="n">
        <v>0</v>
      </c>
      <c r="P4895" t="n">
        <v>0</v>
      </c>
      <c r="Q4895" t="n">
        <v>0</v>
      </c>
      <c r="R4895" s="2" t="inlineStr"/>
    </row>
    <row r="4896" ht="15" customHeight="1">
      <c r="A4896" t="inlineStr">
        <is>
          <t>A 22083-2022</t>
        </is>
      </c>
      <c r="B4896" s="1" t="n">
        <v>44711</v>
      </c>
      <c r="C4896" s="1" t="n">
        <v>45182</v>
      </c>
      <c r="D4896" t="inlineStr">
        <is>
          <t>JÄMTLANDS LÄN</t>
        </is>
      </c>
      <c r="E4896" t="inlineStr">
        <is>
          <t>ÖSTERSUND</t>
        </is>
      </c>
      <c r="G4896" t="n">
        <v>2.1</v>
      </c>
      <c r="H4896" t="n">
        <v>0</v>
      </c>
      <c r="I4896" t="n">
        <v>0</v>
      </c>
      <c r="J4896" t="n">
        <v>0</v>
      </c>
      <c r="K4896" t="n">
        <v>0</v>
      </c>
      <c r="L4896" t="n">
        <v>0</v>
      </c>
      <c r="M4896" t="n">
        <v>0</v>
      </c>
      <c r="N4896" t="n">
        <v>0</v>
      </c>
      <c r="O4896" t="n">
        <v>0</v>
      </c>
      <c r="P4896" t="n">
        <v>0</v>
      </c>
      <c r="Q4896" t="n">
        <v>0</v>
      </c>
      <c r="R4896" s="2" t="inlineStr"/>
    </row>
    <row r="4897" ht="15" customHeight="1">
      <c r="A4897" t="inlineStr">
        <is>
          <t>A 21990-2022</t>
        </is>
      </c>
      <c r="B4897" s="1" t="n">
        <v>44711</v>
      </c>
      <c r="C4897" s="1" t="n">
        <v>45182</v>
      </c>
      <c r="D4897" t="inlineStr">
        <is>
          <t>JÄMTLANDS LÄN</t>
        </is>
      </c>
      <c r="E4897" t="inlineStr">
        <is>
          <t>KROKOM</t>
        </is>
      </c>
      <c r="F4897" t="inlineStr">
        <is>
          <t>Övriga Aktiebolag</t>
        </is>
      </c>
      <c r="G4897" t="n">
        <v>26.3</v>
      </c>
      <c r="H4897" t="n">
        <v>0</v>
      </c>
      <c r="I4897" t="n">
        <v>0</v>
      </c>
      <c r="J4897" t="n">
        <v>0</v>
      </c>
      <c r="K4897" t="n">
        <v>0</v>
      </c>
      <c r="L4897" t="n">
        <v>0</v>
      </c>
      <c r="M4897" t="n">
        <v>0</v>
      </c>
      <c r="N4897" t="n">
        <v>0</v>
      </c>
      <c r="O4897" t="n">
        <v>0</v>
      </c>
      <c r="P4897" t="n">
        <v>0</v>
      </c>
      <c r="Q4897" t="n">
        <v>0</v>
      </c>
      <c r="R4897" s="2" t="inlineStr"/>
    </row>
    <row r="4898" ht="15" customHeight="1">
      <c r="A4898" t="inlineStr">
        <is>
          <t>A 22084-2022</t>
        </is>
      </c>
      <c r="B4898" s="1" t="n">
        <v>44711</v>
      </c>
      <c r="C4898" s="1" t="n">
        <v>45182</v>
      </c>
      <c r="D4898" t="inlineStr">
        <is>
          <t>JÄMTLANDS LÄN</t>
        </is>
      </c>
      <c r="E4898" t="inlineStr">
        <is>
          <t>ÖSTERSUND</t>
        </is>
      </c>
      <c r="G4898" t="n">
        <v>1.3</v>
      </c>
      <c r="H4898" t="n">
        <v>0</v>
      </c>
      <c r="I4898" t="n">
        <v>0</v>
      </c>
      <c r="J4898" t="n">
        <v>0</v>
      </c>
      <c r="K4898" t="n">
        <v>0</v>
      </c>
      <c r="L4898" t="n">
        <v>0</v>
      </c>
      <c r="M4898" t="n">
        <v>0</v>
      </c>
      <c r="N4898" t="n">
        <v>0</v>
      </c>
      <c r="O4898" t="n">
        <v>0</v>
      </c>
      <c r="P4898" t="n">
        <v>0</v>
      </c>
      <c r="Q4898" t="n">
        <v>0</v>
      </c>
      <c r="R4898" s="2" t="inlineStr"/>
    </row>
    <row r="4899" ht="15" customHeight="1">
      <c r="A4899" t="inlineStr">
        <is>
          <t>A 22297-2022</t>
        </is>
      </c>
      <c r="B4899" s="1" t="n">
        <v>44712</v>
      </c>
      <c r="C4899" s="1" t="n">
        <v>45182</v>
      </c>
      <c r="D4899" t="inlineStr">
        <is>
          <t>JÄMTLANDS LÄN</t>
        </is>
      </c>
      <c r="E4899" t="inlineStr">
        <is>
          <t>BERG</t>
        </is>
      </c>
      <c r="G4899" t="n">
        <v>1</v>
      </c>
      <c r="H4899" t="n">
        <v>0</v>
      </c>
      <c r="I4899" t="n">
        <v>0</v>
      </c>
      <c r="J4899" t="n">
        <v>0</v>
      </c>
      <c r="K4899" t="n">
        <v>0</v>
      </c>
      <c r="L4899" t="n">
        <v>0</v>
      </c>
      <c r="M4899" t="n">
        <v>0</v>
      </c>
      <c r="N4899" t="n">
        <v>0</v>
      </c>
      <c r="O4899" t="n">
        <v>0</v>
      </c>
      <c r="P4899" t="n">
        <v>0</v>
      </c>
      <c r="Q4899" t="n">
        <v>0</v>
      </c>
      <c r="R4899" s="2" t="inlineStr"/>
    </row>
    <row r="4900" ht="15" customHeight="1">
      <c r="A4900" t="inlineStr">
        <is>
          <t>A 22275-2022</t>
        </is>
      </c>
      <c r="B4900" s="1" t="n">
        <v>44712</v>
      </c>
      <c r="C4900" s="1" t="n">
        <v>45182</v>
      </c>
      <c r="D4900" t="inlineStr">
        <is>
          <t>JÄMTLANDS LÄN</t>
        </is>
      </c>
      <c r="E4900" t="inlineStr">
        <is>
          <t>BERG</t>
        </is>
      </c>
      <c r="G4900" t="n">
        <v>2.1</v>
      </c>
      <c r="H4900" t="n">
        <v>0</v>
      </c>
      <c r="I4900" t="n">
        <v>0</v>
      </c>
      <c r="J4900" t="n">
        <v>0</v>
      </c>
      <c r="K4900" t="n">
        <v>0</v>
      </c>
      <c r="L4900" t="n">
        <v>0</v>
      </c>
      <c r="M4900" t="n">
        <v>0</v>
      </c>
      <c r="N4900" t="n">
        <v>0</v>
      </c>
      <c r="O4900" t="n">
        <v>0</v>
      </c>
      <c r="P4900" t="n">
        <v>0</v>
      </c>
      <c r="Q4900" t="n">
        <v>0</v>
      </c>
      <c r="R4900" s="2" t="inlineStr"/>
    </row>
    <row r="4901" ht="15" customHeight="1">
      <c r="A4901" t="inlineStr">
        <is>
          <t>A 22338-2022</t>
        </is>
      </c>
      <c r="B4901" s="1" t="n">
        <v>44712</v>
      </c>
      <c r="C4901" s="1" t="n">
        <v>45182</v>
      </c>
      <c r="D4901" t="inlineStr">
        <is>
          <t>JÄMTLANDS LÄN</t>
        </is>
      </c>
      <c r="E4901" t="inlineStr">
        <is>
          <t>STRÖMSUND</t>
        </is>
      </c>
      <c r="F4901" t="inlineStr">
        <is>
          <t>SCA</t>
        </is>
      </c>
      <c r="G4901" t="n">
        <v>4.6</v>
      </c>
      <c r="H4901" t="n">
        <v>0</v>
      </c>
      <c r="I4901" t="n">
        <v>0</v>
      </c>
      <c r="J4901" t="n">
        <v>0</v>
      </c>
      <c r="K4901" t="n">
        <v>0</v>
      </c>
      <c r="L4901" t="n">
        <v>0</v>
      </c>
      <c r="M4901" t="n">
        <v>0</v>
      </c>
      <c r="N4901" t="n">
        <v>0</v>
      </c>
      <c r="O4901" t="n">
        <v>0</v>
      </c>
      <c r="P4901" t="n">
        <v>0</v>
      </c>
      <c r="Q4901" t="n">
        <v>0</v>
      </c>
      <c r="R4901" s="2" t="inlineStr"/>
    </row>
    <row r="4902" ht="15" customHeight="1">
      <c r="A4902" t="inlineStr">
        <is>
          <t>A 22558-2022</t>
        </is>
      </c>
      <c r="B4902" s="1" t="n">
        <v>44713</v>
      </c>
      <c r="C4902" s="1" t="n">
        <v>45182</v>
      </c>
      <c r="D4902" t="inlineStr">
        <is>
          <t>JÄMTLANDS LÄN</t>
        </is>
      </c>
      <c r="E4902" t="inlineStr">
        <is>
          <t>STRÖMSUND</t>
        </is>
      </c>
      <c r="F4902" t="inlineStr">
        <is>
          <t>SCA</t>
        </is>
      </c>
      <c r="G4902" t="n">
        <v>9.199999999999999</v>
      </c>
      <c r="H4902" t="n">
        <v>0</v>
      </c>
      <c r="I4902" t="n">
        <v>0</v>
      </c>
      <c r="J4902" t="n">
        <v>0</v>
      </c>
      <c r="K4902" t="n">
        <v>0</v>
      </c>
      <c r="L4902" t="n">
        <v>0</v>
      </c>
      <c r="M4902" t="n">
        <v>0</v>
      </c>
      <c r="N4902" t="n">
        <v>0</v>
      </c>
      <c r="O4902" t="n">
        <v>0</v>
      </c>
      <c r="P4902" t="n">
        <v>0</v>
      </c>
      <c r="Q4902" t="n">
        <v>0</v>
      </c>
      <c r="R4902" s="2" t="inlineStr"/>
    </row>
    <row r="4903" ht="15" customHeight="1">
      <c r="A4903" t="inlineStr">
        <is>
          <t>A 22564-2022</t>
        </is>
      </c>
      <c r="B4903" s="1" t="n">
        <v>44713</v>
      </c>
      <c r="C4903" s="1" t="n">
        <v>45182</v>
      </c>
      <c r="D4903" t="inlineStr">
        <is>
          <t>JÄMTLANDS LÄN</t>
        </is>
      </c>
      <c r="E4903" t="inlineStr">
        <is>
          <t>STRÖMSUND</t>
        </is>
      </c>
      <c r="F4903" t="inlineStr">
        <is>
          <t>SCA</t>
        </is>
      </c>
      <c r="G4903" t="n">
        <v>7.9</v>
      </c>
      <c r="H4903" t="n">
        <v>0</v>
      </c>
      <c r="I4903" t="n">
        <v>0</v>
      </c>
      <c r="J4903" t="n">
        <v>0</v>
      </c>
      <c r="K4903" t="n">
        <v>0</v>
      </c>
      <c r="L4903" t="n">
        <v>0</v>
      </c>
      <c r="M4903" t="n">
        <v>0</v>
      </c>
      <c r="N4903" t="n">
        <v>0</v>
      </c>
      <c r="O4903" t="n">
        <v>0</v>
      </c>
      <c r="P4903" t="n">
        <v>0</v>
      </c>
      <c r="Q4903" t="n">
        <v>0</v>
      </c>
      <c r="R4903" s="2" t="inlineStr"/>
    </row>
    <row r="4904" ht="15" customHeight="1">
      <c r="A4904" t="inlineStr">
        <is>
          <t>A 22461-2022</t>
        </is>
      </c>
      <c r="B4904" s="1" t="n">
        <v>44713</v>
      </c>
      <c r="C4904" s="1" t="n">
        <v>45182</v>
      </c>
      <c r="D4904" t="inlineStr">
        <is>
          <t>JÄMTLANDS LÄN</t>
        </is>
      </c>
      <c r="E4904" t="inlineStr">
        <is>
          <t>HÄRJEDALEN</t>
        </is>
      </c>
      <c r="G4904" t="n">
        <v>4.8</v>
      </c>
      <c r="H4904" t="n">
        <v>0</v>
      </c>
      <c r="I4904" t="n">
        <v>0</v>
      </c>
      <c r="J4904" t="n">
        <v>0</v>
      </c>
      <c r="K4904" t="n">
        <v>0</v>
      </c>
      <c r="L4904" t="n">
        <v>0</v>
      </c>
      <c r="M4904" t="n">
        <v>0</v>
      </c>
      <c r="N4904" t="n">
        <v>0</v>
      </c>
      <c r="O4904" t="n">
        <v>0</v>
      </c>
      <c r="P4904" t="n">
        <v>0</v>
      </c>
      <c r="Q4904" t="n">
        <v>0</v>
      </c>
      <c r="R4904" s="2" t="inlineStr"/>
    </row>
    <row r="4905" ht="15" customHeight="1">
      <c r="A4905" t="inlineStr">
        <is>
          <t>A 22473-2022</t>
        </is>
      </c>
      <c r="B4905" s="1" t="n">
        <v>44713</v>
      </c>
      <c r="C4905" s="1" t="n">
        <v>45182</v>
      </c>
      <c r="D4905" t="inlineStr">
        <is>
          <t>JÄMTLANDS LÄN</t>
        </is>
      </c>
      <c r="E4905" t="inlineStr">
        <is>
          <t>ÅRE</t>
        </is>
      </c>
      <c r="F4905" t="inlineStr">
        <is>
          <t>Sveaskog</t>
        </is>
      </c>
      <c r="G4905" t="n">
        <v>2.1</v>
      </c>
      <c r="H4905" t="n">
        <v>0</v>
      </c>
      <c r="I4905" t="n">
        <v>0</v>
      </c>
      <c r="J4905" t="n">
        <v>0</v>
      </c>
      <c r="K4905" t="n">
        <v>0</v>
      </c>
      <c r="L4905" t="n">
        <v>0</v>
      </c>
      <c r="M4905" t="n">
        <v>0</v>
      </c>
      <c r="N4905" t="n">
        <v>0</v>
      </c>
      <c r="O4905" t="n">
        <v>0</v>
      </c>
      <c r="P4905" t="n">
        <v>0</v>
      </c>
      <c r="Q4905" t="n">
        <v>0</v>
      </c>
      <c r="R4905" s="2" t="inlineStr"/>
    </row>
    <row r="4906" ht="15" customHeight="1">
      <c r="A4906" t="inlineStr">
        <is>
          <t>A 22680-2022</t>
        </is>
      </c>
      <c r="B4906" s="1" t="n">
        <v>44714</v>
      </c>
      <c r="C4906" s="1" t="n">
        <v>45182</v>
      </c>
      <c r="D4906" t="inlineStr">
        <is>
          <t>JÄMTLANDS LÄN</t>
        </is>
      </c>
      <c r="E4906" t="inlineStr">
        <is>
          <t>BERG</t>
        </is>
      </c>
      <c r="G4906" t="n">
        <v>15.4</v>
      </c>
      <c r="H4906" t="n">
        <v>0</v>
      </c>
      <c r="I4906" t="n">
        <v>0</v>
      </c>
      <c r="J4906" t="n">
        <v>0</v>
      </c>
      <c r="K4906" t="n">
        <v>0</v>
      </c>
      <c r="L4906" t="n">
        <v>0</v>
      </c>
      <c r="M4906" t="n">
        <v>0</v>
      </c>
      <c r="N4906" t="n">
        <v>0</v>
      </c>
      <c r="O4906" t="n">
        <v>0</v>
      </c>
      <c r="P4906" t="n">
        <v>0</v>
      </c>
      <c r="Q4906" t="n">
        <v>0</v>
      </c>
      <c r="R4906" s="2" t="inlineStr"/>
    </row>
    <row r="4907" ht="15" customHeight="1">
      <c r="A4907" t="inlineStr">
        <is>
          <t>A 22695-2022</t>
        </is>
      </c>
      <c r="B4907" s="1" t="n">
        <v>44714</v>
      </c>
      <c r="C4907" s="1" t="n">
        <v>45182</v>
      </c>
      <c r="D4907" t="inlineStr">
        <is>
          <t>JÄMTLANDS LÄN</t>
        </is>
      </c>
      <c r="E4907" t="inlineStr">
        <is>
          <t>RAGUNDA</t>
        </is>
      </c>
      <c r="G4907" t="n">
        <v>1.8</v>
      </c>
      <c r="H4907" t="n">
        <v>0</v>
      </c>
      <c r="I4907" t="n">
        <v>0</v>
      </c>
      <c r="J4907" t="n">
        <v>0</v>
      </c>
      <c r="K4907" t="n">
        <v>0</v>
      </c>
      <c r="L4907" t="n">
        <v>0</v>
      </c>
      <c r="M4907" t="n">
        <v>0</v>
      </c>
      <c r="N4907" t="n">
        <v>0</v>
      </c>
      <c r="O4907" t="n">
        <v>0</v>
      </c>
      <c r="P4907" t="n">
        <v>0</v>
      </c>
      <c r="Q4907" t="n">
        <v>0</v>
      </c>
      <c r="R4907" s="2" t="inlineStr"/>
    </row>
    <row r="4908" ht="15" customHeight="1">
      <c r="A4908" t="inlineStr">
        <is>
          <t>A 22785-2022</t>
        </is>
      </c>
      <c r="B4908" s="1" t="n">
        <v>44714</v>
      </c>
      <c r="C4908" s="1" t="n">
        <v>45182</v>
      </c>
      <c r="D4908" t="inlineStr">
        <is>
          <t>JÄMTLANDS LÄN</t>
        </is>
      </c>
      <c r="E4908" t="inlineStr">
        <is>
          <t>BERG</t>
        </is>
      </c>
      <c r="F4908" t="inlineStr">
        <is>
          <t>SCA</t>
        </is>
      </c>
      <c r="G4908" t="n">
        <v>8.5</v>
      </c>
      <c r="H4908" t="n">
        <v>0</v>
      </c>
      <c r="I4908" t="n">
        <v>0</v>
      </c>
      <c r="J4908" t="n">
        <v>0</v>
      </c>
      <c r="K4908" t="n">
        <v>0</v>
      </c>
      <c r="L4908" t="n">
        <v>0</v>
      </c>
      <c r="M4908" t="n">
        <v>0</v>
      </c>
      <c r="N4908" t="n">
        <v>0</v>
      </c>
      <c r="O4908" t="n">
        <v>0</v>
      </c>
      <c r="P4908" t="n">
        <v>0</v>
      </c>
      <c r="Q4908" t="n">
        <v>0</v>
      </c>
      <c r="R4908" s="2" t="inlineStr"/>
    </row>
    <row r="4909" ht="15" customHeight="1">
      <c r="A4909" t="inlineStr">
        <is>
          <t>A 22659-2022</t>
        </is>
      </c>
      <c r="B4909" s="1" t="n">
        <v>44714</v>
      </c>
      <c r="C4909" s="1" t="n">
        <v>45182</v>
      </c>
      <c r="D4909" t="inlineStr">
        <is>
          <t>JÄMTLANDS LÄN</t>
        </is>
      </c>
      <c r="E4909" t="inlineStr">
        <is>
          <t>STRÖMSUND</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22770-2022</t>
        </is>
      </c>
      <c r="B4910" s="1" t="n">
        <v>44714</v>
      </c>
      <c r="C4910" s="1" t="n">
        <v>45182</v>
      </c>
      <c r="D4910" t="inlineStr">
        <is>
          <t>JÄMTLANDS LÄN</t>
        </is>
      </c>
      <c r="E4910" t="inlineStr">
        <is>
          <t>RAGUNDA</t>
        </is>
      </c>
      <c r="F4910" t="inlineStr">
        <is>
          <t>SCA</t>
        </is>
      </c>
      <c r="G4910" t="n">
        <v>3.3</v>
      </c>
      <c r="H4910" t="n">
        <v>0</v>
      </c>
      <c r="I4910" t="n">
        <v>0</v>
      </c>
      <c r="J4910" t="n">
        <v>0</v>
      </c>
      <c r="K4910" t="n">
        <v>0</v>
      </c>
      <c r="L4910" t="n">
        <v>0</v>
      </c>
      <c r="M4910" t="n">
        <v>0</v>
      </c>
      <c r="N4910" t="n">
        <v>0</v>
      </c>
      <c r="O4910" t="n">
        <v>0</v>
      </c>
      <c r="P4910" t="n">
        <v>0</v>
      </c>
      <c r="Q4910" t="n">
        <v>0</v>
      </c>
      <c r="R4910" s="2" t="inlineStr"/>
    </row>
    <row r="4911" ht="15" customHeight="1">
      <c r="A4911" t="inlineStr">
        <is>
          <t>A 22611-2022</t>
        </is>
      </c>
      <c r="B4911" s="1" t="n">
        <v>44714</v>
      </c>
      <c r="C4911" s="1" t="n">
        <v>45182</v>
      </c>
      <c r="D4911" t="inlineStr">
        <is>
          <t>JÄMTLANDS LÄN</t>
        </is>
      </c>
      <c r="E4911" t="inlineStr">
        <is>
          <t>KROKOM</t>
        </is>
      </c>
      <c r="G4911" t="n">
        <v>2.6</v>
      </c>
      <c r="H4911" t="n">
        <v>0</v>
      </c>
      <c r="I4911" t="n">
        <v>0</v>
      </c>
      <c r="J4911" t="n">
        <v>0</v>
      </c>
      <c r="K4911" t="n">
        <v>0</v>
      </c>
      <c r="L4911" t="n">
        <v>0</v>
      </c>
      <c r="M4911" t="n">
        <v>0</v>
      </c>
      <c r="N4911" t="n">
        <v>0</v>
      </c>
      <c r="O4911" t="n">
        <v>0</v>
      </c>
      <c r="P4911" t="n">
        <v>0</v>
      </c>
      <c r="Q4911" t="n">
        <v>0</v>
      </c>
      <c r="R4911" s="2" t="inlineStr"/>
    </row>
    <row r="4912" ht="15" customHeight="1">
      <c r="A4912" t="inlineStr">
        <is>
          <t>A 22616-2022</t>
        </is>
      </c>
      <c r="B4912" s="1" t="n">
        <v>44714</v>
      </c>
      <c r="C4912" s="1" t="n">
        <v>45182</v>
      </c>
      <c r="D4912" t="inlineStr">
        <is>
          <t>JÄMTLANDS LÄN</t>
        </is>
      </c>
      <c r="E4912" t="inlineStr">
        <is>
          <t>STRÖMSUND</t>
        </is>
      </c>
      <c r="G4912" t="n">
        <v>0.7</v>
      </c>
      <c r="H4912" t="n">
        <v>0</v>
      </c>
      <c r="I4912" t="n">
        <v>0</v>
      </c>
      <c r="J4912" t="n">
        <v>0</v>
      </c>
      <c r="K4912" t="n">
        <v>0</v>
      </c>
      <c r="L4912" t="n">
        <v>0</v>
      </c>
      <c r="M4912" t="n">
        <v>0</v>
      </c>
      <c r="N4912" t="n">
        <v>0</v>
      </c>
      <c r="O4912" t="n">
        <v>0</v>
      </c>
      <c r="P4912" t="n">
        <v>0</v>
      </c>
      <c r="Q4912" t="n">
        <v>0</v>
      </c>
      <c r="R4912" s="2" t="inlineStr"/>
    </row>
    <row r="4913" ht="15" customHeight="1">
      <c r="A4913" t="inlineStr">
        <is>
          <t>A 22686-2022</t>
        </is>
      </c>
      <c r="B4913" s="1" t="n">
        <v>44714</v>
      </c>
      <c r="C4913" s="1" t="n">
        <v>45182</v>
      </c>
      <c r="D4913" t="inlineStr">
        <is>
          <t>JÄMTLANDS LÄN</t>
        </is>
      </c>
      <c r="E4913" t="inlineStr">
        <is>
          <t>RAGUNDA</t>
        </is>
      </c>
      <c r="G4913" t="n">
        <v>2.8</v>
      </c>
      <c r="H4913" t="n">
        <v>0</v>
      </c>
      <c r="I4913" t="n">
        <v>0</v>
      </c>
      <c r="J4913" t="n">
        <v>0</v>
      </c>
      <c r="K4913" t="n">
        <v>0</v>
      </c>
      <c r="L4913" t="n">
        <v>0</v>
      </c>
      <c r="M4913" t="n">
        <v>0</v>
      </c>
      <c r="N4913" t="n">
        <v>0</v>
      </c>
      <c r="O4913" t="n">
        <v>0</v>
      </c>
      <c r="P4913" t="n">
        <v>0</v>
      </c>
      <c r="Q4913" t="n">
        <v>0</v>
      </c>
      <c r="R4913" s="2" t="inlineStr"/>
    </row>
    <row r="4914" ht="15" customHeight="1">
      <c r="A4914" t="inlineStr">
        <is>
          <t>A 22814-2022</t>
        </is>
      </c>
      <c r="B4914" s="1" t="n">
        <v>44715</v>
      </c>
      <c r="C4914" s="1" t="n">
        <v>45182</v>
      </c>
      <c r="D4914" t="inlineStr">
        <is>
          <t>JÄMTLANDS LÄN</t>
        </is>
      </c>
      <c r="E4914" t="inlineStr">
        <is>
          <t>STRÖMSUND</t>
        </is>
      </c>
      <c r="G4914" t="n">
        <v>6.5</v>
      </c>
      <c r="H4914" t="n">
        <v>0</v>
      </c>
      <c r="I4914" t="n">
        <v>0</v>
      </c>
      <c r="J4914" t="n">
        <v>0</v>
      </c>
      <c r="K4914" t="n">
        <v>0</v>
      </c>
      <c r="L4914" t="n">
        <v>0</v>
      </c>
      <c r="M4914" t="n">
        <v>0</v>
      </c>
      <c r="N4914" t="n">
        <v>0</v>
      </c>
      <c r="O4914" t="n">
        <v>0</v>
      </c>
      <c r="P4914" t="n">
        <v>0</v>
      </c>
      <c r="Q4914" t="n">
        <v>0</v>
      </c>
      <c r="R4914" s="2" t="inlineStr"/>
    </row>
    <row r="4915" ht="15" customHeight="1">
      <c r="A4915" t="inlineStr">
        <is>
          <t>A 22961-2022</t>
        </is>
      </c>
      <c r="B4915" s="1" t="n">
        <v>44715</v>
      </c>
      <c r="C4915" s="1" t="n">
        <v>45182</v>
      </c>
      <c r="D4915" t="inlineStr">
        <is>
          <t>JÄMTLANDS LÄN</t>
        </is>
      </c>
      <c r="E4915" t="inlineStr">
        <is>
          <t>STRÖMSUND</t>
        </is>
      </c>
      <c r="F4915" t="inlineStr">
        <is>
          <t>SCA</t>
        </is>
      </c>
      <c r="G4915" t="n">
        <v>4.8</v>
      </c>
      <c r="H4915" t="n">
        <v>0</v>
      </c>
      <c r="I4915" t="n">
        <v>0</v>
      </c>
      <c r="J4915" t="n">
        <v>0</v>
      </c>
      <c r="K4915" t="n">
        <v>0</v>
      </c>
      <c r="L4915" t="n">
        <v>0</v>
      </c>
      <c r="M4915" t="n">
        <v>0</v>
      </c>
      <c r="N4915" t="n">
        <v>0</v>
      </c>
      <c r="O4915" t="n">
        <v>0</v>
      </c>
      <c r="P4915" t="n">
        <v>0</v>
      </c>
      <c r="Q4915" t="n">
        <v>0</v>
      </c>
      <c r="R4915" s="2" t="inlineStr"/>
    </row>
    <row r="4916" ht="15" customHeight="1">
      <c r="A4916" t="inlineStr">
        <is>
          <t>A 22981-2022</t>
        </is>
      </c>
      <c r="B4916" s="1" t="n">
        <v>44717</v>
      </c>
      <c r="C4916" s="1" t="n">
        <v>45182</v>
      </c>
      <c r="D4916" t="inlineStr">
        <is>
          <t>JÄMTLANDS LÄN</t>
        </is>
      </c>
      <c r="E4916" t="inlineStr">
        <is>
          <t>BRÄCKE</t>
        </is>
      </c>
      <c r="F4916" t="inlineStr">
        <is>
          <t>SCA</t>
        </is>
      </c>
      <c r="G4916" t="n">
        <v>5.2</v>
      </c>
      <c r="H4916" t="n">
        <v>0</v>
      </c>
      <c r="I4916" t="n">
        <v>0</v>
      </c>
      <c r="J4916" t="n">
        <v>0</v>
      </c>
      <c r="K4916" t="n">
        <v>0</v>
      </c>
      <c r="L4916" t="n">
        <v>0</v>
      </c>
      <c r="M4916" t="n">
        <v>0</v>
      </c>
      <c r="N4916" t="n">
        <v>0</v>
      </c>
      <c r="O4916" t="n">
        <v>0</v>
      </c>
      <c r="P4916" t="n">
        <v>0</v>
      </c>
      <c r="Q4916" t="n">
        <v>0</v>
      </c>
      <c r="R4916" s="2" t="inlineStr"/>
    </row>
    <row r="4917" ht="15" customHeight="1">
      <c r="A4917" t="inlineStr">
        <is>
          <t>A 23074-2022</t>
        </is>
      </c>
      <c r="B4917" s="1" t="n">
        <v>44719</v>
      </c>
      <c r="C4917" s="1" t="n">
        <v>45182</v>
      </c>
      <c r="D4917" t="inlineStr">
        <is>
          <t>JÄMTLANDS LÄN</t>
        </is>
      </c>
      <c r="E4917" t="inlineStr">
        <is>
          <t>HÄRJEDALEN</t>
        </is>
      </c>
      <c r="F4917" t="inlineStr">
        <is>
          <t>Bergvik skog väst AB</t>
        </is>
      </c>
      <c r="G4917" t="n">
        <v>23.2</v>
      </c>
      <c r="H4917" t="n">
        <v>0</v>
      </c>
      <c r="I4917" t="n">
        <v>0</v>
      </c>
      <c r="J4917" t="n">
        <v>0</v>
      </c>
      <c r="K4917" t="n">
        <v>0</v>
      </c>
      <c r="L4917" t="n">
        <v>0</v>
      </c>
      <c r="M4917" t="n">
        <v>0</v>
      </c>
      <c r="N4917" t="n">
        <v>0</v>
      </c>
      <c r="O4917" t="n">
        <v>0</v>
      </c>
      <c r="P4917" t="n">
        <v>0</v>
      </c>
      <c r="Q4917" t="n">
        <v>0</v>
      </c>
      <c r="R4917" s="2" t="inlineStr"/>
    </row>
    <row r="4918" ht="15" customHeight="1">
      <c r="A4918" t="inlineStr">
        <is>
          <t>A 23208-2022</t>
        </is>
      </c>
      <c r="B4918" s="1" t="n">
        <v>44719</v>
      </c>
      <c r="C4918" s="1" t="n">
        <v>45182</v>
      </c>
      <c r="D4918" t="inlineStr">
        <is>
          <t>JÄMTLANDS LÄN</t>
        </is>
      </c>
      <c r="E4918" t="inlineStr">
        <is>
          <t>STRÖMSUND</t>
        </is>
      </c>
      <c r="F4918" t="inlineStr">
        <is>
          <t>SCA</t>
        </is>
      </c>
      <c r="G4918" t="n">
        <v>2</v>
      </c>
      <c r="H4918" t="n">
        <v>0</v>
      </c>
      <c r="I4918" t="n">
        <v>0</v>
      </c>
      <c r="J4918" t="n">
        <v>0</v>
      </c>
      <c r="K4918" t="n">
        <v>0</v>
      </c>
      <c r="L4918" t="n">
        <v>0</v>
      </c>
      <c r="M4918" t="n">
        <v>0</v>
      </c>
      <c r="N4918" t="n">
        <v>0</v>
      </c>
      <c r="O4918" t="n">
        <v>0</v>
      </c>
      <c r="P4918" t="n">
        <v>0</v>
      </c>
      <c r="Q4918" t="n">
        <v>0</v>
      </c>
      <c r="R4918" s="2" t="inlineStr"/>
    </row>
    <row r="4919" ht="15" customHeight="1">
      <c r="A4919" t="inlineStr">
        <is>
          <t>A 23128-2022</t>
        </is>
      </c>
      <c r="B4919" s="1" t="n">
        <v>44719</v>
      </c>
      <c r="C4919" s="1" t="n">
        <v>45182</v>
      </c>
      <c r="D4919" t="inlineStr">
        <is>
          <t>JÄMTLANDS LÄN</t>
        </is>
      </c>
      <c r="E4919" t="inlineStr">
        <is>
          <t>STRÖMSUND</t>
        </is>
      </c>
      <c r="G4919" t="n">
        <v>3.7</v>
      </c>
      <c r="H4919" t="n">
        <v>0</v>
      </c>
      <c r="I4919" t="n">
        <v>0</v>
      </c>
      <c r="J4919" t="n">
        <v>0</v>
      </c>
      <c r="K4919" t="n">
        <v>0</v>
      </c>
      <c r="L4919" t="n">
        <v>0</v>
      </c>
      <c r="M4919" t="n">
        <v>0</v>
      </c>
      <c r="N4919" t="n">
        <v>0</v>
      </c>
      <c r="O4919" t="n">
        <v>0</v>
      </c>
      <c r="P4919" t="n">
        <v>0</v>
      </c>
      <c r="Q4919" t="n">
        <v>0</v>
      </c>
      <c r="R4919" s="2" t="inlineStr"/>
    </row>
    <row r="4920" ht="15" customHeight="1">
      <c r="A4920" t="inlineStr">
        <is>
          <t>A 23209-2022</t>
        </is>
      </c>
      <c r="B4920" s="1" t="n">
        <v>44719</v>
      </c>
      <c r="C4920" s="1" t="n">
        <v>45182</v>
      </c>
      <c r="D4920" t="inlineStr">
        <is>
          <t>JÄMTLANDS LÄN</t>
        </is>
      </c>
      <c r="E4920" t="inlineStr">
        <is>
          <t>STRÖMSUND</t>
        </is>
      </c>
      <c r="F4920" t="inlineStr">
        <is>
          <t>SCA</t>
        </is>
      </c>
      <c r="G4920" t="n">
        <v>5.2</v>
      </c>
      <c r="H4920" t="n">
        <v>0</v>
      </c>
      <c r="I4920" t="n">
        <v>0</v>
      </c>
      <c r="J4920" t="n">
        <v>0</v>
      </c>
      <c r="K4920" t="n">
        <v>0</v>
      </c>
      <c r="L4920" t="n">
        <v>0</v>
      </c>
      <c r="M4920" t="n">
        <v>0</v>
      </c>
      <c r="N4920" t="n">
        <v>0</v>
      </c>
      <c r="O4920" t="n">
        <v>0</v>
      </c>
      <c r="P4920" t="n">
        <v>0</v>
      </c>
      <c r="Q4920" t="n">
        <v>0</v>
      </c>
      <c r="R4920" s="2" t="inlineStr"/>
    </row>
    <row r="4921" ht="15" customHeight="1">
      <c r="A4921" t="inlineStr">
        <is>
          <t>A 23206-2022</t>
        </is>
      </c>
      <c r="B4921" s="1" t="n">
        <v>44719</v>
      </c>
      <c r="C4921" s="1" t="n">
        <v>45182</v>
      </c>
      <c r="D4921" t="inlineStr">
        <is>
          <t>JÄMTLANDS LÄN</t>
        </is>
      </c>
      <c r="E4921" t="inlineStr">
        <is>
          <t>STRÖMSUND</t>
        </is>
      </c>
      <c r="F4921" t="inlineStr">
        <is>
          <t>SCA</t>
        </is>
      </c>
      <c r="G4921" t="n">
        <v>2</v>
      </c>
      <c r="H4921" t="n">
        <v>0</v>
      </c>
      <c r="I4921" t="n">
        <v>0</v>
      </c>
      <c r="J4921" t="n">
        <v>0</v>
      </c>
      <c r="K4921" t="n">
        <v>0</v>
      </c>
      <c r="L4921" t="n">
        <v>0</v>
      </c>
      <c r="M4921" t="n">
        <v>0</v>
      </c>
      <c r="N4921" t="n">
        <v>0</v>
      </c>
      <c r="O4921" t="n">
        <v>0</v>
      </c>
      <c r="P4921" t="n">
        <v>0</v>
      </c>
      <c r="Q4921" t="n">
        <v>0</v>
      </c>
      <c r="R4921" s="2" t="inlineStr"/>
    </row>
    <row r="4922" ht="15" customHeight="1">
      <c r="A4922" t="inlineStr">
        <is>
          <t>A 23433-2022</t>
        </is>
      </c>
      <c r="B4922" s="1" t="n">
        <v>44720</v>
      </c>
      <c r="C4922" s="1" t="n">
        <v>45182</v>
      </c>
      <c r="D4922" t="inlineStr">
        <is>
          <t>JÄMTLANDS LÄN</t>
        </is>
      </c>
      <c r="E4922" t="inlineStr">
        <is>
          <t>BRÄCKE</t>
        </is>
      </c>
      <c r="F4922" t="inlineStr">
        <is>
          <t>SCA</t>
        </is>
      </c>
      <c r="G4922" t="n">
        <v>5.3</v>
      </c>
      <c r="H4922" t="n">
        <v>0</v>
      </c>
      <c r="I4922" t="n">
        <v>0</v>
      </c>
      <c r="J4922" t="n">
        <v>0</v>
      </c>
      <c r="K4922" t="n">
        <v>0</v>
      </c>
      <c r="L4922" t="n">
        <v>0</v>
      </c>
      <c r="M4922" t="n">
        <v>0</v>
      </c>
      <c r="N4922" t="n">
        <v>0</v>
      </c>
      <c r="O4922" t="n">
        <v>0</v>
      </c>
      <c r="P4922" t="n">
        <v>0</v>
      </c>
      <c r="Q4922" t="n">
        <v>0</v>
      </c>
      <c r="R4922" s="2" t="inlineStr"/>
    </row>
    <row r="4923" ht="15" customHeight="1">
      <c r="A4923" t="inlineStr">
        <is>
          <t>A 23426-2022</t>
        </is>
      </c>
      <c r="B4923" s="1" t="n">
        <v>44720</v>
      </c>
      <c r="C4923" s="1" t="n">
        <v>45182</v>
      </c>
      <c r="D4923" t="inlineStr">
        <is>
          <t>JÄMTLANDS LÄN</t>
        </is>
      </c>
      <c r="E4923" t="inlineStr">
        <is>
          <t>BRÄCKE</t>
        </is>
      </c>
      <c r="F4923" t="inlineStr">
        <is>
          <t>SCA</t>
        </is>
      </c>
      <c r="G4923" t="n">
        <v>6</v>
      </c>
      <c r="H4923" t="n">
        <v>0</v>
      </c>
      <c r="I4923" t="n">
        <v>0</v>
      </c>
      <c r="J4923" t="n">
        <v>0</v>
      </c>
      <c r="K4923" t="n">
        <v>0</v>
      </c>
      <c r="L4923" t="n">
        <v>0</v>
      </c>
      <c r="M4923" t="n">
        <v>0</v>
      </c>
      <c r="N4923" t="n">
        <v>0</v>
      </c>
      <c r="O4923" t="n">
        <v>0</v>
      </c>
      <c r="P4923" t="n">
        <v>0</v>
      </c>
      <c r="Q4923" t="n">
        <v>0</v>
      </c>
      <c r="R4923" s="2" t="inlineStr"/>
    </row>
    <row r="4924" ht="15" customHeight="1">
      <c r="A4924" t="inlineStr">
        <is>
          <t>A 23384-2022</t>
        </is>
      </c>
      <c r="B4924" s="1" t="n">
        <v>44720</v>
      </c>
      <c r="C4924" s="1" t="n">
        <v>45182</v>
      </c>
      <c r="D4924" t="inlineStr">
        <is>
          <t>JÄMTLANDS LÄN</t>
        </is>
      </c>
      <c r="E4924" t="inlineStr">
        <is>
          <t>KROKOM</t>
        </is>
      </c>
      <c r="F4924" t="inlineStr">
        <is>
          <t>Övriga Aktiebolag</t>
        </is>
      </c>
      <c r="G4924" t="n">
        <v>8.1</v>
      </c>
      <c r="H4924" t="n">
        <v>0</v>
      </c>
      <c r="I4924" t="n">
        <v>0</v>
      </c>
      <c r="J4924" t="n">
        <v>0</v>
      </c>
      <c r="K4924" t="n">
        <v>0</v>
      </c>
      <c r="L4924" t="n">
        <v>0</v>
      </c>
      <c r="M4924" t="n">
        <v>0</v>
      </c>
      <c r="N4924" t="n">
        <v>0</v>
      </c>
      <c r="O4924" t="n">
        <v>0</v>
      </c>
      <c r="P4924" t="n">
        <v>0</v>
      </c>
      <c r="Q4924" t="n">
        <v>0</v>
      </c>
      <c r="R4924" s="2" t="inlineStr"/>
    </row>
    <row r="4925" ht="15" customHeight="1">
      <c r="A4925" t="inlineStr">
        <is>
          <t>A 23504-2022</t>
        </is>
      </c>
      <c r="B4925" s="1" t="n">
        <v>44721</v>
      </c>
      <c r="C4925" s="1" t="n">
        <v>45182</v>
      </c>
      <c r="D4925" t="inlineStr">
        <is>
          <t>JÄMTLANDS LÄN</t>
        </is>
      </c>
      <c r="E4925" t="inlineStr">
        <is>
          <t>KROKOM</t>
        </is>
      </c>
      <c r="F4925" t="inlineStr">
        <is>
          <t>Övriga Aktiebolag</t>
        </is>
      </c>
      <c r="G4925" t="n">
        <v>2.4</v>
      </c>
      <c r="H4925" t="n">
        <v>0</v>
      </c>
      <c r="I4925" t="n">
        <v>0</v>
      </c>
      <c r="J4925" t="n">
        <v>0</v>
      </c>
      <c r="K4925" t="n">
        <v>0</v>
      </c>
      <c r="L4925" t="n">
        <v>0</v>
      </c>
      <c r="M4925" t="n">
        <v>0</v>
      </c>
      <c r="N4925" t="n">
        <v>0</v>
      </c>
      <c r="O4925" t="n">
        <v>0</v>
      </c>
      <c r="P4925" t="n">
        <v>0</v>
      </c>
      <c r="Q4925" t="n">
        <v>0</v>
      </c>
      <c r="R4925" s="2" t="inlineStr"/>
    </row>
    <row r="4926" ht="15" customHeight="1">
      <c r="A4926" t="inlineStr">
        <is>
          <t>A 23687-2022</t>
        </is>
      </c>
      <c r="B4926" s="1" t="n">
        <v>44721</v>
      </c>
      <c r="C4926" s="1" t="n">
        <v>45182</v>
      </c>
      <c r="D4926" t="inlineStr">
        <is>
          <t>JÄMTLANDS LÄN</t>
        </is>
      </c>
      <c r="E4926" t="inlineStr">
        <is>
          <t>BRÄCKE</t>
        </is>
      </c>
      <c r="F4926" t="inlineStr">
        <is>
          <t>SCA</t>
        </is>
      </c>
      <c r="G4926" t="n">
        <v>1.9</v>
      </c>
      <c r="H4926" t="n">
        <v>0</v>
      </c>
      <c r="I4926" t="n">
        <v>0</v>
      </c>
      <c r="J4926" t="n">
        <v>0</v>
      </c>
      <c r="K4926" t="n">
        <v>0</v>
      </c>
      <c r="L4926" t="n">
        <v>0</v>
      </c>
      <c r="M4926" t="n">
        <v>0</v>
      </c>
      <c r="N4926" t="n">
        <v>0</v>
      </c>
      <c r="O4926" t="n">
        <v>0</v>
      </c>
      <c r="P4926" t="n">
        <v>0</v>
      </c>
      <c r="Q4926" t="n">
        <v>0</v>
      </c>
      <c r="R4926" s="2" t="inlineStr"/>
    </row>
    <row r="4927" ht="15" customHeight="1">
      <c r="A4927" t="inlineStr">
        <is>
          <t>A 23555-2022</t>
        </is>
      </c>
      <c r="B4927" s="1" t="n">
        <v>44721</v>
      </c>
      <c r="C4927" s="1" t="n">
        <v>45182</v>
      </c>
      <c r="D4927" t="inlineStr">
        <is>
          <t>JÄMTLANDS LÄN</t>
        </is>
      </c>
      <c r="E4927" t="inlineStr">
        <is>
          <t>ÖSTERSUND</t>
        </is>
      </c>
      <c r="G4927" t="n">
        <v>1.2</v>
      </c>
      <c r="H4927" t="n">
        <v>0</v>
      </c>
      <c r="I4927" t="n">
        <v>0</v>
      </c>
      <c r="J4927" t="n">
        <v>0</v>
      </c>
      <c r="K4927" t="n">
        <v>0</v>
      </c>
      <c r="L4927" t="n">
        <v>0</v>
      </c>
      <c r="M4927" t="n">
        <v>0</v>
      </c>
      <c r="N4927" t="n">
        <v>0</v>
      </c>
      <c r="O4927" t="n">
        <v>0</v>
      </c>
      <c r="P4927" t="n">
        <v>0</v>
      </c>
      <c r="Q4927" t="n">
        <v>0</v>
      </c>
      <c r="R4927" s="2" t="inlineStr"/>
    </row>
    <row r="4928" ht="15" customHeight="1">
      <c r="A4928" t="inlineStr">
        <is>
          <t>A 23551-2022</t>
        </is>
      </c>
      <c r="B4928" s="1" t="n">
        <v>44721</v>
      </c>
      <c r="C4928" s="1" t="n">
        <v>45182</v>
      </c>
      <c r="D4928" t="inlineStr">
        <is>
          <t>JÄMTLANDS LÄN</t>
        </is>
      </c>
      <c r="E4928" t="inlineStr">
        <is>
          <t>ÖSTERSUND</t>
        </is>
      </c>
      <c r="G4928" t="n">
        <v>0.3</v>
      </c>
      <c r="H4928" t="n">
        <v>0</v>
      </c>
      <c r="I4928" t="n">
        <v>0</v>
      </c>
      <c r="J4928" t="n">
        <v>0</v>
      </c>
      <c r="K4928" t="n">
        <v>0</v>
      </c>
      <c r="L4928" t="n">
        <v>0</v>
      </c>
      <c r="M4928" t="n">
        <v>0</v>
      </c>
      <c r="N4928" t="n">
        <v>0</v>
      </c>
      <c r="O4928" t="n">
        <v>0</v>
      </c>
      <c r="P4928" t="n">
        <v>0</v>
      </c>
      <c r="Q4928" t="n">
        <v>0</v>
      </c>
      <c r="R4928" s="2" t="inlineStr"/>
    </row>
    <row r="4929" ht="15" customHeight="1">
      <c r="A4929" t="inlineStr">
        <is>
          <t>A 23731-2022</t>
        </is>
      </c>
      <c r="B4929" s="1" t="n">
        <v>44722</v>
      </c>
      <c r="C4929" s="1" t="n">
        <v>45182</v>
      </c>
      <c r="D4929" t="inlineStr">
        <is>
          <t>JÄMTLANDS LÄN</t>
        </is>
      </c>
      <c r="E4929" t="inlineStr">
        <is>
          <t>HÄRJEDALEN</t>
        </is>
      </c>
      <c r="G4929" t="n">
        <v>15.6</v>
      </c>
      <c r="H4929" t="n">
        <v>0</v>
      </c>
      <c r="I4929" t="n">
        <v>0</v>
      </c>
      <c r="J4929" t="n">
        <v>0</v>
      </c>
      <c r="K4929" t="n">
        <v>0</v>
      </c>
      <c r="L4929" t="n">
        <v>0</v>
      </c>
      <c r="M4929" t="n">
        <v>0</v>
      </c>
      <c r="N4929" t="n">
        <v>0</v>
      </c>
      <c r="O4929" t="n">
        <v>0</v>
      </c>
      <c r="P4929" t="n">
        <v>0</v>
      </c>
      <c r="Q4929" t="n">
        <v>0</v>
      </c>
      <c r="R4929" s="2" t="inlineStr"/>
    </row>
    <row r="4930" ht="15" customHeight="1">
      <c r="A4930" t="inlineStr">
        <is>
          <t>A 23992-2022</t>
        </is>
      </c>
      <c r="B4930" s="1" t="n">
        <v>44722</v>
      </c>
      <c r="C4930" s="1" t="n">
        <v>45182</v>
      </c>
      <c r="D4930" t="inlineStr">
        <is>
          <t>JÄMTLANDS LÄN</t>
        </is>
      </c>
      <c r="E4930" t="inlineStr">
        <is>
          <t>ÖSTERSUND</t>
        </is>
      </c>
      <c r="F4930" t="inlineStr">
        <is>
          <t>SCA</t>
        </is>
      </c>
      <c r="G4930" t="n">
        <v>1.9</v>
      </c>
      <c r="H4930" t="n">
        <v>0</v>
      </c>
      <c r="I4930" t="n">
        <v>0</v>
      </c>
      <c r="J4930" t="n">
        <v>0</v>
      </c>
      <c r="K4930" t="n">
        <v>0</v>
      </c>
      <c r="L4930" t="n">
        <v>0</v>
      </c>
      <c r="M4930" t="n">
        <v>0</v>
      </c>
      <c r="N4930" t="n">
        <v>0</v>
      </c>
      <c r="O4930" t="n">
        <v>0</v>
      </c>
      <c r="P4930" t="n">
        <v>0</v>
      </c>
      <c r="Q4930" t="n">
        <v>0</v>
      </c>
      <c r="R4930" s="2" t="inlineStr"/>
    </row>
    <row r="4931" ht="15" customHeight="1">
      <c r="A4931" t="inlineStr">
        <is>
          <t>A 24119-2022</t>
        </is>
      </c>
      <c r="B4931" s="1" t="n">
        <v>44725</v>
      </c>
      <c r="C4931" s="1" t="n">
        <v>45182</v>
      </c>
      <c r="D4931" t="inlineStr">
        <is>
          <t>JÄMTLANDS LÄN</t>
        </is>
      </c>
      <c r="E4931" t="inlineStr">
        <is>
          <t>BERG</t>
        </is>
      </c>
      <c r="G4931" t="n">
        <v>3.6</v>
      </c>
      <c r="H4931" t="n">
        <v>0</v>
      </c>
      <c r="I4931" t="n">
        <v>0</v>
      </c>
      <c r="J4931" t="n">
        <v>0</v>
      </c>
      <c r="K4931" t="n">
        <v>0</v>
      </c>
      <c r="L4931" t="n">
        <v>0</v>
      </c>
      <c r="M4931" t="n">
        <v>0</v>
      </c>
      <c r="N4931" t="n">
        <v>0</v>
      </c>
      <c r="O4931" t="n">
        <v>0</v>
      </c>
      <c r="P4931" t="n">
        <v>0</v>
      </c>
      <c r="Q4931" t="n">
        <v>0</v>
      </c>
      <c r="R4931" s="2" t="inlineStr"/>
    </row>
    <row r="4932" ht="15" customHeight="1">
      <c r="A4932" t="inlineStr">
        <is>
          <t>A 24359-2022</t>
        </is>
      </c>
      <c r="B4932" s="1" t="n">
        <v>44725</v>
      </c>
      <c r="C4932" s="1" t="n">
        <v>45182</v>
      </c>
      <c r="D4932" t="inlineStr">
        <is>
          <t>JÄMTLANDS LÄN</t>
        </is>
      </c>
      <c r="E4932" t="inlineStr">
        <is>
          <t>RAGUNDA</t>
        </is>
      </c>
      <c r="G4932" t="n">
        <v>11.4</v>
      </c>
      <c r="H4932" t="n">
        <v>0</v>
      </c>
      <c r="I4932" t="n">
        <v>0</v>
      </c>
      <c r="J4932" t="n">
        <v>0</v>
      </c>
      <c r="K4932" t="n">
        <v>0</v>
      </c>
      <c r="L4932" t="n">
        <v>0</v>
      </c>
      <c r="M4932" t="n">
        <v>0</v>
      </c>
      <c r="N4932" t="n">
        <v>0</v>
      </c>
      <c r="O4932" t="n">
        <v>0</v>
      </c>
      <c r="P4932" t="n">
        <v>0</v>
      </c>
      <c r="Q4932" t="n">
        <v>0</v>
      </c>
      <c r="R4932" s="2" t="inlineStr"/>
    </row>
    <row r="4933" ht="15" customHeight="1">
      <c r="A4933" t="inlineStr">
        <is>
          <t>A 24117-2022</t>
        </is>
      </c>
      <c r="B4933" s="1" t="n">
        <v>44725</v>
      </c>
      <c r="C4933" s="1" t="n">
        <v>45182</v>
      </c>
      <c r="D4933" t="inlineStr">
        <is>
          <t>JÄMTLANDS LÄN</t>
        </is>
      </c>
      <c r="E4933" t="inlineStr">
        <is>
          <t>KROKOM</t>
        </is>
      </c>
      <c r="G4933" t="n">
        <v>1.4</v>
      </c>
      <c r="H4933" t="n">
        <v>0</v>
      </c>
      <c r="I4933" t="n">
        <v>0</v>
      </c>
      <c r="J4933" t="n">
        <v>0</v>
      </c>
      <c r="K4933" t="n">
        <v>0</v>
      </c>
      <c r="L4933" t="n">
        <v>0</v>
      </c>
      <c r="M4933" t="n">
        <v>0</v>
      </c>
      <c r="N4933" t="n">
        <v>0</v>
      </c>
      <c r="O4933" t="n">
        <v>0</v>
      </c>
      <c r="P4933" t="n">
        <v>0</v>
      </c>
      <c r="Q4933" t="n">
        <v>0</v>
      </c>
      <c r="R4933" s="2" t="inlineStr"/>
    </row>
    <row r="4934" ht="15" customHeight="1">
      <c r="A4934" t="inlineStr">
        <is>
          <t>A 24214-2022</t>
        </is>
      </c>
      <c r="B4934" s="1" t="n">
        <v>44725</v>
      </c>
      <c r="C4934" s="1" t="n">
        <v>45182</v>
      </c>
      <c r="D4934" t="inlineStr">
        <is>
          <t>JÄMTLANDS LÄN</t>
        </is>
      </c>
      <c r="E4934" t="inlineStr">
        <is>
          <t>HÄRJEDALEN</t>
        </is>
      </c>
      <c r="F4934" t="inlineStr">
        <is>
          <t>Holmen skog AB</t>
        </is>
      </c>
      <c r="G4934" t="n">
        <v>7.8</v>
      </c>
      <c r="H4934" t="n">
        <v>0</v>
      </c>
      <c r="I4934" t="n">
        <v>0</v>
      </c>
      <c r="J4934" t="n">
        <v>0</v>
      </c>
      <c r="K4934" t="n">
        <v>0</v>
      </c>
      <c r="L4934" t="n">
        <v>0</v>
      </c>
      <c r="M4934" t="n">
        <v>0</v>
      </c>
      <c r="N4934" t="n">
        <v>0</v>
      </c>
      <c r="O4934" t="n">
        <v>0</v>
      </c>
      <c r="P4934" t="n">
        <v>0</v>
      </c>
      <c r="Q4934" t="n">
        <v>0</v>
      </c>
      <c r="R4934" s="2" t="inlineStr"/>
    </row>
    <row r="4935" ht="15" customHeight="1">
      <c r="A4935" t="inlineStr">
        <is>
          <t>A 24441-2022</t>
        </is>
      </c>
      <c r="B4935" s="1" t="n">
        <v>44726</v>
      </c>
      <c r="C4935" s="1" t="n">
        <v>45182</v>
      </c>
      <c r="D4935" t="inlineStr">
        <is>
          <t>JÄMTLANDS LÄN</t>
        </is>
      </c>
      <c r="E4935" t="inlineStr">
        <is>
          <t>KROKOM</t>
        </is>
      </c>
      <c r="G4935" t="n">
        <v>12.1</v>
      </c>
      <c r="H4935" t="n">
        <v>0</v>
      </c>
      <c r="I4935" t="n">
        <v>0</v>
      </c>
      <c r="J4935" t="n">
        <v>0</v>
      </c>
      <c r="K4935" t="n">
        <v>0</v>
      </c>
      <c r="L4935" t="n">
        <v>0</v>
      </c>
      <c r="M4935" t="n">
        <v>0</v>
      </c>
      <c r="N4935" t="n">
        <v>0</v>
      </c>
      <c r="O4935" t="n">
        <v>0</v>
      </c>
      <c r="P4935" t="n">
        <v>0</v>
      </c>
      <c r="Q4935" t="n">
        <v>0</v>
      </c>
      <c r="R4935" s="2" t="inlineStr"/>
    </row>
    <row r="4936" ht="15" customHeight="1">
      <c r="A4936" t="inlineStr">
        <is>
          <t>A 24402-2022</t>
        </is>
      </c>
      <c r="B4936" s="1" t="n">
        <v>44726</v>
      </c>
      <c r="C4936" s="1" t="n">
        <v>45182</v>
      </c>
      <c r="D4936" t="inlineStr">
        <is>
          <t>JÄMTLANDS LÄN</t>
        </is>
      </c>
      <c r="E4936" t="inlineStr">
        <is>
          <t>KROKOM</t>
        </is>
      </c>
      <c r="G4936" t="n">
        <v>13.3</v>
      </c>
      <c r="H4936" t="n">
        <v>0</v>
      </c>
      <c r="I4936" t="n">
        <v>0</v>
      </c>
      <c r="J4936" t="n">
        <v>0</v>
      </c>
      <c r="K4936" t="n">
        <v>0</v>
      </c>
      <c r="L4936" t="n">
        <v>0</v>
      </c>
      <c r="M4936" t="n">
        <v>0</v>
      </c>
      <c r="N4936" t="n">
        <v>0</v>
      </c>
      <c r="O4936" t="n">
        <v>0</v>
      </c>
      <c r="P4936" t="n">
        <v>0</v>
      </c>
      <c r="Q4936" t="n">
        <v>0</v>
      </c>
      <c r="R4936" s="2" t="inlineStr"/>
    </row>
    <row r="4937" ht="15" customHeight="1">
      <c r="A4937" t="inlineStr">
        <is>
          <t>A 24488-2022</t>
        </is>
      </c>
      <c r="B4937" s="1" t="n">
        <v>44726</v>
      </c>
      <c r="C4937" s="1" t="n">
        <v>45182</v>
      </c>
      <c r="D4937" t="inlineStr">
        <is>
          <t>JÄMTLANDS LÄN</t>
        </is>
      </c>
      <c r="E4937" t="inlineStr">
        <is>
          <t>STRÖMSUND</t>
        </is>
      </c>
      <c r="G4937" t="n">
        <v>19.1</v>
      </c>
      <c r="H4937" t="n">
        <v>0</v>
      </c>
      <c r="I4937" t="n">
        <v>0</v>
      </c>
      <c r="J4937" t="n">
        <v>0</v>
      </c>
      <c r="K4937" t="n">
        <v>0</v>
      </c>
      <c r="L4937" t="n">
        <v>0</v>
      </c>
      <c r="M4937" t="n">
        <v>0</v>
      </c>
      <c r="N4937" t="n">
        <v>0</v>
      </c>
      <c r="O4937" t="n">
        <v>0</v>
      </c>
      <c r="P4937" t="n">
        <v>0</v>
      </c>
      <c r="Q4937" t="n">
        <v>0</v>
      </c>
      <c r="R4937" s="2" t="inlineStr"/>
    </row>
    <row r="4938" ht="15" customHeight="1">
      <c r="A4938" t="inlineStr">
        <is>
          <t>A 24509-2022</t>
        </is>
      </c>
      <c r="B4938" s="1" t="n">
        <v>44726</v>
      </c>
      <c r="C4938" s="1" t="n">
        <v>45182</v>
      </c>
      <c r="D4938" t="inlineStr">
        <is>
          <t>JÄMTLANDS LÄN</t>
        </is>
      </c>
      <c r="E4938" t="inlineStr">
        <is>
          <t>STRÖMSUND</t>
        </is>
      </c>
      <c r="G4938" t="n">
        <v>6.9</v>
      </c>
      <c r="H4938" t="n">
        <v>0</v>
      </c>
      <c r="I4938" t="n">
        <v>0</v>
      </c>
      <c r="J4938" t="n">
        <v>0</v>
      </c>
      <c r="K4938" t="n">
        <v>0</v>
      </c>
      <c r="L4938" t="n">
        <v>0</v>
      </c>
      <c r="M4938" t="n">
        <v>0</v>
      </c>
      <c r="N4938" t="n">
        <v>0</v>
      </c>
      <c r="O4938" t="n">
        <v>0</v>
      </c>
      <c r="P4938" t="n">
        <v>0</v>
      </c>
      <c r="Q4938" t="n">
        <v>0</v>
      </c>
      <c r="R4938" s="2" t="inlineStr"/>
    </row>
    <row r="4939" ht="15" customHeight="1">
      <c r="A4939" t="inlineStr">
        <is>
          <t>A 24530-2022</t>
        </is>
      </c>
      <c r="B4939" s="1" t="n">
        <v>44726</v>
      </c>
      <c r="C4939" s="1" t="n">
        <v>45182</v>
      </c>
      <c r="D4939" t="inlineStr">
        <is>
          <t>JÄMTLANDS LÄN</t>
        </is>
      </c>
      <c r="E4939" t="inlineStr">
        <is>
          <t>HÄRJEDALEN</t>
        </is>
      </c>
      <c r="F4939" t="inlineStr">
        <is>
          <t>SCA</t>
        </is>
      </c>
      <c r="G4939" t="n">
        <v>8.800000000000001</v>
      </c>
      <c r="H4939" t="n">
        <v>0</v>
      </c>
      <c r="I4939" t="n">
        <v>0</v>
      </c>
      <c r="J4939" t="n">
        <v>0</v>
      </c>
      <c r="K4939" t="n">
        <v>0</v>
      </c>
      <c r="L4939" t="n">
        <v>0</v>
      </c>
      <c r="M4939" t="n">
        <v>0</v>
      </c>
      <c r="N4939" t="n">
        <v>0</v>
      </c>
      <c r="O4939" t="n">
        <v>0</v>
      </c>
      <c r="P4939" t="n">
        <v>0</v>
      </c>
      <c r="Q4939" t="n">
        <v>0</v>
      </c>
      <c r="R4939" s="2" t="inlineStr"/>
    </row>
    <row r="4940" ht="15" customHeight="1">
      <c r="A4940" t="inlineStr">
        <is>
          <t>A 24487-2022</t>
        </is>
      </c>
      <c r="B4940" s="1" t="n">
        <v>44726</v>
      </c>
      <c r="C4940" s="1" t="n">
        <v>45182</v>
      </c>
      <c r="D4940" t="inlineStr">
        <is>
          <t>JÄMTLANDS LÄN</t>
        </is>
      </c>
      <c r="E4940" t="inlineStr">
        <is>
          <t>STRÖMSUND</t>
        </is>
      </c>
      <c r="G4940" t="n">
        <v>11.3</v>
      </c>
      <c r="H4940" t="n">
        <v>0</v>
      </c>
      <c r="I4940" t="n">
        <v>0</v>
      </c>
      <c r="J4940" t="n">
        <v>0</v>
      </c>
      <c r="K4940" t="n">
        <v>0</v>
      </c>
      <c r="L4940" t="n">
        <v>0</v>
      </c>
      <c r="M4940" t="n">
        <v>0</v>
      </c>
      <c r="N4940" t="n">
        <v>0</v>
      </c>
      <c r="O4940" t="n">
        <v>0</v>
      </c>
      <c r="P4940" t="n">
        <v>0</v>
      </c>
      <c r="Q4940" t="n">
        <v>0</v>
      </c>
      <c r="R4940" s="2" t="inlineStr"/>
    </row>
    <row r="4941" ht="15" customHeight="1">
      <c r="A4941" t="inlineStr">
        <is>
          <t>A 24508-2022</t>
        </is>
      </c>
      <c r="B4941" s="1" t="n">
        <v>44726</v>
      </c>
      <c r="C4941" s="1" t="n">
        <v>45182</v>
      </c>
      <c r="D4941" t="inlineStr">
        <is>
          <t>JÄMTLANDS LÄN</t>
        </is>
      </c>
      <c r="E4941" t="inlineStr">
        <is>
          <t>STRÖMSUND</t>
        </is>
      </c>
      <c r="G4941" t="n">
        <v>5.2</v>
      </c>
      <c r="H4941" t="n">
        <v>0</v>
      </c>
      <c r="I4941" t="n">
        <v>0</v>
      </c>
      <c r="J4941" t="n">
        <v>0</v>
      </c>
      <c r="K4941" t="n">
        <v>0</v>
      </c>
      <c r="L4941" t="n">
        <v>0</v>
      </c>
      <c r="M4941" t="n">
        <v>0</v>
      </c>
      <c r="N4941" t="n">
        <v>0</v>
      </c>
      <c r="O4941" t="n">
        <v>0</v>
      </c>
      <c r="P4941" t="n">
        <v>0</v>
      </c>
      <c r="Q4941" t="n">
        <v>0</v>
      </c>
      <c r="R4941" s="2" t="inlineStr"/>
    </row>
    <row r="4942" ht="15" customHeight="1">
      <c r="A4942" t="inlineStr">
        <is>
          <t>A 24426-2022</t>
        </is>
      </c>
      <c r="B4942" s="1" t="n">
        <v>44726</v>
      </c>
      <c r="C4942" s="1" t="n">
        <v>45182</v>
      </c>
      <c r="D4942" t="inlineStr">
        <is>
          <t>JÄMTLANDS LÄN</t>
        </is>
      </c>
      <c r="E4942" t="inlineStr">
        <is>
          <t>HÄRJEDALEN</t>
        </is>
      </c>
      <c r="G4942" t="n">
        <v>1.5</v>
      </c>
      <c r="H4942" t="n">
        <v>0</v>
      </c>
      <c r="I4942" t="n">
        <v>0</v>
      </c>
      <c r="J4942" t="n">
        <v>0</v>
      </c>
      <c r="K4942" t="n">
        <v>0</v>
      </c>
      <c r="L4942" t="n">
        <v>0</v>
      </c>
      <c r="M4942" t="n">
        <v>0</v>
      </c>
      <c r="N4942" t="n">
        <v>0</v>
      </c>
      <c r="O4942" t="n">
        <v>0</v>
      </c>
      <c r="P4942" t="n">
        <v>0</v>
      </c>
      <c r="Q4942" t="n">
        <v>0</v>
      </c>
      <c r="R4942" s="2" t="inlineStr"/>
    </row>
    <row r="4943" ht="15" customHeight="1">
      <c r="A4943" t="inlineStr">
        <is>
          <t>A 24531-2022</t>
        </is>
      </c>
      <c r="B4943" s="1" t="n">
        <v>44726</v>
      </c>
      <c r="C4943" s="1" t="n">
        <v>45182</v>
      </c>
      <c r="D4943" t="inlineStr">
        <is>
          <t>JÄMTLANDS LÄN</t>
        </is>
      </c>
      <c r="E4943" t="inlineStr">
        <is>
          <t>BRÄCKE</t>
        </is>
      </c>
      <c r="F4943" t="inlineStr">
        <is>
          <t>SCA</t>
        </is>
      </c>
      <c r="G4943" t="n">
        <v>5.1</v>
      </c>
      <c r="H4943" t="n">
        <v>0</v>
      </c>
      <c r="I4943" t="n">
        <v>0</v>
      </c>
      <c r="J4943" t="n">
        <v>0</v>
      </c>
      <c r="K4943" t="n">
        <v>0</v>
      </c>
      <c r="L4943" t="n">
        <v>0</v>
      </c>
      <c r="M4943" t="n">
        <v>0</v>
      </c>
      <c r="N4943" t="n">
        <v>0</v>
      </c>
      <c r="O4943" t="n">
        <v>0</v>
      </c>
      <c r="P4943" t="n">
        <v>0</v>
      </c>
      <c r="Q4943" t="n">
        <v>0</v>
      </c>
      <c r="R4943" s="2" t="inlineStr"/>
    </row>
    <row r="4944" ht="15" customHeight="1">
      <c r="A4944" t="inlineStr">
        <is>
          <t>A 24539-2022</t>
        </is>
      </c>
      <c r="B4944" s="1" t="n">
        <v>44727</v>
      </c>
      <c r="C4944" s="1" t="n">
        <v>45182</v>
      </c>
      <c r="D4944" t="inlineStr">
        <is>
          <t>JÄMTLANDS LÄN</t>
        </is>
      </c>
      <c r="E4944" t="inlineStr">
        <is>
          <t>ÅRE</t>
        </is>
      </c>
      <c r="G4944" t="n">
        <v>0.3</v>
      </c>
      <c r="H4944" t="n">
        <v>0</v>
      </c>
      <c r="I4944" t="n">
        <v>0</v>
      </c>
      <c r="J4944" t="n">
        <v>0</v>
      </c>
      <c r="K4944" t="n">
        <v>0</v>
      </c>
      <c r="L4944" t="n">
        <v>0</v>
      </c>
      <c r="M4944" t="n">
        <v>0</v>
      </c>
      <c r="N4944" t="n">
        <v>0</v>
      </c>
      <c r="O4944" t="n">
        <v>0</v>
      </c>
      <c r="P4944" t="n">
        <v>0</v>
      </c>
      <c r="Q4944" t="n">
        <v>0</v>
      </c>
      <c r="R4944" s="2" t="inlineStr"/>
    </row>
    <row r="4945" ht="15" customHeight="1">
      <c r="A4945" t="inlineStr">
        <is>
          <t>A 24692-2022</t>
        </is>
      </c>
      <c r="B4945" s="1" t="n">
        <v>44727</v>
      </c>
      <c r="C4945" s="1" t="n">
        <v>45182</v>
      </c>
      <c r="D4945" t="inlineStr">
        <is>
          <t>JÄMTLANDS LÄN</t>
        </is>
      </c>
      <c r="E4945" t="inlineStr">
        <is>
          <t>KROKOM</t>
        </is>
      </c>
      <c r="G4945" t="n">
        <v>5.5</v>
      </c>
      <c r="H4945" t="n">
        <v>0</v>
      </c>
      <c r="I4945" t="n">
        <v>0</v>
      </c>
      <c r="J4945" t="n">
        <v>0</v>
      </c>
      <c r="K4945" t="n">
        <v>0</v>
      </c>
      <c r="L4945" t="n">
        <v>0</v>
      </c>
      <c r="M4945" t="n">
        <v>0</v>
      </c>
      <c r="N4945" t="n">
        <v>0</v>
      </c>
      <c r="O4945" t="n">
        <v>0</v>
      </c>
      <c r="P4945" t="n">
        <v>0</v>
      </c>
      <c r="Q4945" t="n">
        <v>0</v>
      </c>
      <c r="R4945" s="2" t="inlineStr"/>
    </row>
    <row r="4946" ht="15" customHeight="1">
      <c r="A4946" t="inlineStr">
        <is>
          <t>A 24717-2022</t>
        </is>
      </c>
      <c r="B4946" s="1" t="n">
        <v>44727</v>
      </c>
      <c r="C4946" s="1" t="n">
        <v>45182</v>
      </c>
      <c r="D4946" t="inlineStr">
        <is>
          <t>JÄMTLANDS LÄN</t>
        </is>
      </c>
      <c r="E4946" t="inlineStr">
        <is>
          <t>BRÄCKE</t>
        </is>
      </c>
      <c r="F4946" t="inlineStr">
        <is>
          <t>SCA</t>
        </is>
      </c>
      <c r="G4946" t="n">
        <v>5.2</v>
      </c>
      <c r="H4946" t="n">
        <v>0</v>
      </c>
      <c r="I4946" t="n">
        <v>0</v>
      </c>
      <c r="J4946" t="n">
        <v>0</v>
      </c>
      <c r="K4946" t="n">
        <v>0</v>
      </c>
      <c r="L4946" t="n">
        <v>0</v>
      </c>
      <c r="M4946" t="n">
        <v>0</v>
      </c>
      <c r="N4946" t="n">
        <v>0</v>
      </c>
      <c r="O4946" t="n">
        <v>0</v>
      </c>
      <c r="P4946" t="n">
        <v>0</v>
      </c>
      <c r="Q4946" t="n">
        <v>0</v>
      </c>
      <c r="R4946" s="2" t="inlineStr"/>
    </row>
    <row r="4947" ht="15" customHeight="1">
      <c r="A4947" t="inlineStr">
        <is>
          <t>A 24728-2022</t>
        </is>
      </c>
      <c r="B4947" s="1" t="n">
        <v>44727</v>
      </c>
      <c r="C4947" s="1" t="n">
        <v>45182</v>
      </c>
      <c r="D4947" t="inlineStr">
        <is>
          <t>JÄMTLANDS LÄN</t>
        </is>
      </c>
      <c r="E4947" t="inlineStr">
        <is>
          <t>STRÖMSUND</t>
        </is>
      </c>
      <c r="F4947" t="inlineStr">
        <is>
          <t>SCA</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24612-2022</t>
        </is>
      </c>
      <c r="B4948" s="1" t="n">
        <v>44727</v>
      </c>
      <c r="C4948" s="1" t="n">
        <v>45182</v>
      </c>
      <c r="D4948" t="inlineStr">
        <is>
          <t>JÄMTLANDS LÄN</t>
        </is>
      </c>
      <c r="E4948" t="inlineStr">
        <is>
          <t>KROKOM</t>
        </is>
      </c>
      <c r="G4948" t="n">
        <v>1.2</v>
      </c>
      <c r="H4948" t="n">
        <v>0</v>
      </c>
      <c r="I4948" t="n">
        <v>0</v>
      </c>
      <c r="J4948" t="n">
        <v>0</v>
      </c>
      <c r="K4948" t="n">
        <v>0</v>
      </c>
      <c r="L4948" t="n">
        <v>0</v>
      </c>
      <c r="M4948" t="n">
        <v>0</v>
      </c>
      <c r="N4948" t="n">
        <v>0</v>
      </c>
      <c r="O4948" t="n">
        <v>0</v>
      </c>
      <c r="P4948" t="n">
        <v>0</v>
      </c>
      <c r="Q4948" t="n">
        <v>0</v>
      </c>
      <c r="R4948" s="2" t="inlineStr"/>
    </row>
    <row r="4949" ht="15" customHeight="1">
      <c r="A4949" t="inlineStr">
        <is>
          <t>A 24688-2022</t>
        </is>
      </c>
      <c r="B4949" s="1" t="n">
        <v>44727</v>
      </c>
      <c r="C4949" s="1" t="n">
        <v>45182</v>
      </c>
      <c r="D4949" t="inlineStr">
        <is>
          <t>JÄMTLANDS LÄN</t>
        </is>
      </c>
      <c r="E4949" t="inlineStr">
        <is>
          <t>KROKOM</t>
        </is>
      </c>
      <c r="G4949" t="n">
        <v>12.9</v>
      </c>
      <c r="H4949" t="n">
        <v>0</v>
      </c>
      <c r="I4949" t="n">
        <v>0</v>
      </c>
      <c r="J4949" t="n">
        <v>0</v>
      </c>
      <c r="K4949" t="n">
        <v>0</v>
      </c>
      <c r="L4949" t="n">
        <v>0</v>
      </c>
      <c r="M4949" t="n">
        <v>0</v>
      </c>
      <c r="N4949" t="n">
        <v>0</v>
      </c>
      <c r="O4949" t="n">
        <v>0</v>
      </c>
      <c r="P4949" t="n">
        <v>0</v>
      </c>
      <c r="Q4949" t="n">
        <v>0</v>
      </c>
      <c r="R4949" s="2" t="inlineStr"/>
    </row>
    <row r="4950" ht="15" customHeight="1">
      <c r="A4950" t="inlineStr">
        <is>
          <t>A 24741-2022</t>
        </is>
      </c>
      <c r="B4950" s="1" t="n">
        <v>44727</v>
      </c>
      <c r="C4950" s="1" t="n">
        <v>45182</v>
      </c>
      <c r="D4950" t="inlineStr">
        <is>
          <t>JÄMTLANDS LÄN</t>
        </is>
      </c>
      <c r="E4950" t="inlineStr">
        <is>
          <t>RAGUNDA</t>
        </is>
      </c>
      <c r="F4950" t="inlineStr">
        <is>
          <t>SCA</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24661-2022</t>
        </is>
      </c>
      <c r="B4951" s="1" t="n">
        <v>44727</v>
      </c>
      <c r="C4951" s="1" t="n">
        <v>45182</v>
      </c>
      <c r="D4951" t="inlineStr">
        <is>
          <t>JÄMTLANDS LÄN</t>
        </is>
      </c>
      <c r="E4951" t="inlineStr">
        <is>
          <t>BERG</t>
        </is>
      </c>
      <c r="G4951" t="n">
        <v>7.6</v>
      </c>
      <c r="H4951" t="n">
        <v>0</v>
      </c>
      <c r="I4951" t="n">
        <v>0</v>
      </c>
      <c r="J4951" t="n">
        <v>0</v>
      </c>
      <c r="K4951" t="n">
        <v>0</v>
      </c>
      <c r="L4951" t="n">
        <v>0</v>
      </c>
      <c r="M4951" t="n">
        <v>0</v>
      </c>
      <c r="N4951" t="n">
        <v>0</v>
      </c>
      <c r="O4951" t="n">
        <v>0</v>
      </c>
      <c r="P4951" t="n">
        <v>0</v>
      </c>
      <c r="Q4951" t="n">
        <v>0</v>
      </c>
      <c r="R4951" s="2" t="inlineStr"/>
    </row>
    <row r="4952" ht="15" customHeight="1">
      <c r="A4952" t="inlineStr">
        <is>
          <t>A 24726-2022</t>
        </is>
      </c>
      <c r="B4952" s="1" t="n">
        <v>44727</v>
      </c>
      <c r="C4952" s="1" t="n">
        <v>45182</v>
      </c>
      <c r="D4952" t="inlineStr">
        <is>
          <t>JÄMTLANDS LÄN</t>
        </is>
      </c>
      <c r="E4952" t="inlineStr">
        <is>
          <t>BRÄCKE</t>
        </is>
      </c>
      <c r="F4952" t="inlineStr">
        <is>
          <t>SCA</t>
        </is>
      </c>
      <c r="G4952" t="n">
        <v>3.6</v>
      </c>
      <c r="H4952" t="n">
        <v>0</v>
      </c>
      <c r="I4952" t="n">
        <v>0</v>
      </c>
      <c r="J4952" t="n">
        <v>0</v>
      </c>
      <c r="K4952" t="n">
        <v>0</v>
      </c>
      <c r="L4952" t="n">
        <v>0</v>
      </c>
      <c r="M4952" t="n">
        <v>0</v>
      </c>
      <c r="N4952" t="n">
        <v>0</v>
      </c>
      <c r="O4952" t="n">
        <v>0</v>
      </c>
      <c r="P4952" t="n">
        <v>0</v>
      </c>
      <c r="Q4952" t="n">
        <v>0</v>
      </c>
      <c r="R4952" s="2" t="inlineStr"/>
    </row>
    <row r="4953" ht="15" customHeight="1">
      <c r="A4953" t="inlineStr">
        <is>
          <t>A 24792-2022</t>
        </is>
      </c>
      <c r="B4953" s="1" t="n">
        <v>44728</v>
      </c>
      <c r="C4953" s="1" t="n">
        <v>45182</v>
      </c>
      <c r="D4953" t="inlineStr">
        <is>
          <t>JÄMTLANDS LÄN</t>
        </is>
      </c>
      <c r="E4953" t="inlineStr">
        <is>
          <t>HÄRJEDALEN</t>
        </is>
      </c>
      <c r="G4953" t="n">
        <v>0.2</v>
      </c>
      <c r="H4953" t="n">
        <v>0</v>
      </c>
      <c r="I4953" t="n">
        <v>0</v>
      </c>
      <c r="J4953" t="n">
        <v>0</v>
      </c>
      <c r="K4953" t="n">
        <v>0</v>
      </c>
      <c r="L4953" t="n">
        <v>0</v>
      </c>
      <c r="M4953" t="n">
        <v>0</v>
      </c>
      <c r="N4953" t="n">
        <v>0</v>
      </c>
      <c r="O4953" t="n">
        <v>0</v>
      </c>
      <c r="P4953" t="n">
        <v>0</v>
      </c>
      <c r="Q4953" t="n">
        <v>0</v>
      </c>
      <c r="R4953" s="2" t="inlineStr"/>
    </row>
    <row r="4954" ht="15" customHeight="1">
      <c r="A4954" t="inlineStr">
        <is>
          <t>A 24928-2022</t>
        </is>
      </c>
      <c r="B4954" s="1" t="n">
        <v>44728</v>
      </c>
      <c r="C4954" s="1" t="n">
        <v>45182</v>
      </c>
      <c r="D4954" t="inlineStr">
        <is>
          <t>JÄMTLANDS LÄN</t>
        </is>
      </c>
      <c r="E4954" t="inlineStr">
        <is>
          <t>STRÖMSUND</t>
        </is>
      </c>
      <c r="F4954" t="inlineStr">
        <is>
          <t>Kyrkan</t>
        </is>
      </c>
      <c r="G4954" t="n">
        <v>11.1</v>
      </c>
      <c r="H4954" t="n">
        <v>0</v>
      </c>
      <c r="I4954" t="n">
        <v>0</v>
      </c>
      <c r="J4954" t="n">
        <v>0</v>
      </c>
      <c r="K4954" t="n">
        <v>0</v>
      </c>
      <c r="L4954" t="n">
        <v>0</v>
      </c>
      <c r="M4954" t="n">
        <v>0</v>
      </c>
      <c r="N4954" t="n">
        <v>0</v>
      </c>
      <c r="O4954" t="n">
        <v>0</v>
      </c>
      <c r="P4954" t="n">
        <v>0</v>
      </c>
      <c r="Q4954" t="n">
        <v>0</v>
      </c>
      <c r="R4954" s="2" t="inlineStr"/>
    </row>
    <row r="4955" ht="15" customHeight="1">
      <c r="A4955" t="inlineStr">
        <is>
          <t>A 24918-2022</t>
        </is>
      </c>
      <c r="B4955" s="1" t="n">
        <v>44728</v>
      </c>
      <c r="C4955" s="1" t="n">
        <v>45182</v>
      </c>
      <c r="D4955" t="inlineStr">
        <is>
          <t>JÄMTLANDS LÄN</t>
        </is>
      </c>
      <c r="E4955" t="inlineStr">
        <is>
          <t>STRÖMSUND</t>
        </is>
      </c>
      <c r="F4955" t="inlineStr">
        <is>
          <t>Kyrkan</t>
        </is>
      </c>
      <c r="G4955" t="n">
        <v>2.2</v>
      </c>
      <c r="H4955" t="n">
        <v>0</v>
      </c>
      <c r="I4955" t="n">
        <v>0</v>
      </c>
      <c r="J4955" t="n">
        <v>0</v>
      </c>
      <c r="K4955" t="n">
        <v>0</v>
      </c>
      <c r="L4955" t="n">
        <v>0</v>
      </c>
      <c r="M4955" t="n">
        <v>0</v>
      </c>
      <c r="N4955" t="n">
        <v>0</v>
      </c>
      <c r="O4955" t="n">
        <v>0</v>
      </c>
      <c r="P4955" t="n">
        <v>0</v>
      </c>
      <c r="Q4955" t="n">
        <v>0</v>
      </c>
      <c r="R4955" s="2" t="inlineStr"/>
    </row>
    <row r="4956" ht="15" customHeight="1">
      <c r="A4956" t="inlineStr">
        <is>
          <t>A 24834-2022</t>
        </is>
      </c>
      <c r="B4956" s="1" t="n">
        <v>44728</v>
      </c>
      <c r="C4956" s="1" t="n">
        <v>45182</v>
      </c>
      <c r="D4956" t="inlineStr">
        <is>
          <t>JÄMTLANDS LÄN</t>
        </is>
      </c>
      <c r="E4956" t="inlineStr">
        <is>
          <t>HÄRJEDALEN</t>
        </is>
      </c>
      <c r="F4956" t="inlineStr">
        <is>
          <t>Bergvik skog väst AB</t>
        </is>
      </c>
      <c r="G4956" t="n">
        <v>1.8</v>
      </c>
      <c r="H4956" t="n">
        <v>0</v>
      </c>
      <c r="I4956" t="n">
        <v>0</v>
      </c>
      <c r="J4956" t="n">
        <v>0</v>
      </c>
      <c r="K4956" t="n">
        <v>0</v>
      </c>
      <c r="L4956" t="n">
        <v>0</v>
      </c>
      <c r="M4956" t="n">
        <v>0</v>
      </c>
      <c r="N4956" t="n">
        <v>0</v>
      </c>
      <c r="O4956" t="n">
        <v>0</v>
      </c>
      <c r="P4956" t="n">
        <v>0</v>
      </c>
      <c r="Q4956" t="n">
        <v>0</v>
      </c>
      <c r="R4956" s="2" t="inlineStr"/>
    </row>
    <row r="4957" ht="15" customHeight="1">
      <c r="A4957" t="inlineStr">
        <is>
          <t>A 24965-2022</t>
        </is>
      </c>
      <c r="B4957" s="1" t="n">
        <v>44728</v>
      </c>
      <c r="C4957" s="1" t="n">
        <v>45182</v>
      </c>
      <c r="D4957" t="inlineStr">
        <is>
          <t>JÄMTLANDS LÄN</t>
        </is>
      </c>
      <c r="E4957" t="inlineStr">
        <is>
          <t>STRÖMSUND</t>
        </is>
      </c>
      <c r="G4957" t="n">
        <v>20.5</v>
      </c>
      <c r="H4957" t="n">
        <v>0</v>
      </c>
      <c r="I4957" t="n">
        <v>0</v>
      </c>
      <c r="J4957" t="n">
        <v>0</v>
      </c>
      <c r="K4957" t="n">
        <v>0</v>
      </c>
      <c r="L4957" t="n">
        <v>0</v>
      </c>
      <c r="M4957" t="n">
        <v>0</v>
      </c>
      <c r="N4957" t="n">
        <v>0</v>
      </c>
      <c r="O4957" t="n">
        <v>0</v>
      </c>
      <c r="P4957" t="n">
        <v>0</v>
      </c>
      <c r="Q4957" t="n">
        <v>0</v>
      </c>
      <c r="R4957" s="2" t="inlineStr"/>
    </row>
    <row r="4958" ht="15" customHeight="1">
      <c r="A4958" t="inlineStr">
        <is>
          <t>A 25021-2022</t>
        </is>
      </c>
      <c r="B4958" s="1" t="n">
        <v>44728</v>
      </c>
      <c r="C4958" s="1" t="n">
        <v>45182</v>
      </c>
      <c r="D4958" t="inlineStr">
        <is>
          <t>JÄMTLANDS LÄN</t>
        </is>
      </c>
      <c r="E4958" t="inlineStr">
        <is>
          <t>STRÖMSUND</t>
        </is>
      </c>
      <c r="F4958" t="inlineStr">
        <is>
          <t>SCA</t>
        </is>
      </c>
      <c r="G4958" t="n">
        <v>2.4</v>
      </c>
      <c r="H4958" t="n">
        <v>0</v>
      </c>
      <c r="I4958" t="n">
        <v>0</v>
      </c>
      <c r="J4958" t="n">
        <v>0</v>
      </c>
      <c r="K4958" t="n">
        <v>0</v>
      </c>
      <c r="L4958" t="n">
        <v>0</v>
      </c>
      <c r="M4958" t="n">
        <v>0</v>
      </c>
      <c r="N4958" t="n">
        <v>0</v>
      </c>
      <c r="O4958" t="n">
        <v>0</v>
      </c>
      <c r="P4958" t="n">
        <v>0</v>
      </c>
      <c r="Q4958" t="n">
        <v>0</v>
      </c>
      <c r="R4958" s="2" t="inlineStr"/>
    </row>
    <row r="4959" ht="15" customHeight="1">
      <c r="A4959" t="inlineStr">
        <is>
          <t>A 25018-2022</t>
        </is>
      </c>
      <c r="B4959" s="1" t="n">
        <v>44728</v>
      </c>
      <c r="C4959" s="1" t="n">
        <v>45182</v>
      </c>
      <c r="D4959" t="inlineStr">
        <is>
          <t>JÄMTLANDS LÄN</t>
        </is>
      </c>
      <c r="E4959" t="inlineStr">
        <is>
          <t>STRÖMSUND</t>
        </is>
      </c>
      <c r="F4959" t="inlineStr">
        <is>
          <t>SCA</t>
        </is>
      </c>
      <c r="G4959" t="n">
        <v>8.4</v>
      </c>
      <c r="H4959" t="n">
        <v>0</v>
      </c>
      <c r="I4959" t="n">
        <v>0</v>
      </c>
      <c r="J4959" t="n">
        <v>0</v>
      </c>
      <c r="K4959" t="n">
        <v>0</v>
      </c>
      <c r="L4959" t="n">
        <v>0</v>
      </c>
      <c r="M4959" t="n">
        <v>0</v>
      </c>
      <c r="N4959" t="n">
        <v>0</v>
      </c>
      <c r="O4959" t="n">
        <v>0</v>
      </c>
      <c r="P4959" t="n">
        <v>0</v>
      </c>
      <c r="Q4959" t="n">
        <v>0</v>
      </c>
      <c r="R4959" s="2" t="inlineStr"/>
    </row>
    <row r="4960" ht="15" customHeight="1">
      <c r="A4960" t="inlineStr">
        <is>
          <t>A 25085-2022</t>
        </is>
      </c>
      <c r="B4960" s="1" t="n">
        <v>44729</v>
      </c>
      <c r="C4960" s="1" t="n">
        <v>45182</v>
      </c>
      <c r="D4960" t="inlineStr">
        <is>
          <t>JÄMTLANDS LÄN</t>
        </is>
      </c>
      <c r="E4960" t="inlineStr">
        <is>
          <t>STRÖMSUND</t>
        </is>
      </c>
      <c r="G4960" t="n">
        <v>4.9</v>
      </c>
      <c r="H4960" t="n">
        <v>0</v>
      </c>
      <c r="I4960" t="n">
        <v>0</v>
      </c>
      <c r="J4960" t="n">
        <v>0</v>
      </c>
      <c r="K4960" t="n">
        <v>0</v>
      </c>
      <c r="L4960" t="n">
        <v>0</v>
      </c>
      <c r="M4960" t="n">
        <v>0</v>
      </c>
      <c r="N4960" t="n">
        <v>0</v>
      </c>
      <c r="O4960" t="n">
        <v>0</v>
      </c>
      <c r="P4960" t="n">
        <v>0</v>
      </c>
      <c r="Q4960" t="n">
        <v>0</v>
      </c>
      <c r="R4960" s="2" t="inlineStr"/>
    </row>
    <row r="4961" ht="15" customHeight="1">
      <c r="A4961" t="inlineStr">
        <is>
          <t>A 25177-2022</t>
        </is>
      </c>
      <c r="B4961" s="1" t="n">
        <v>44729</v>
      </c>
      <c r="C4961" s="1" t="n">
        <v>45182</v>
      </c>
      <c r="D4961" t="inlineStr">
        <is>
          <t>JÄMTLANDS LÄN</t>
        </is>
      </c>
      <c r="E4961" t="inlineStr">
        <is>
          <t>BRÄCKE</t>
        </is>
      </c>
      <c r="F4961" t="inlineStr">
        <is>
          <t>Övriga Aktiebolag</t>
        </is>
      </c>
      <c r="G4961" t="n">
        <v>22.1</v>
      </c>
      <c r="H4961" t="n">
        <v>0</v>
      </c>
      <c r="I4961" t="n">
        <v>0</v>
      </c>
      <c r="J4961" t="n">
        <v>0</v>
      </c>
      <c r="K4961" t="n">
        <v>0</v>
      </c>
      <c r="L4961" t="n">
        <v>0</v>
      </c>
      <c r="M4961" t="n">
        <v>0</v>
      </c>
      <c r="N4961" t="n">
        <v>0</v>
      </c>
      <c r="O4961" t="n">
        <v>0</v>
      </c>
      <c r="P4961" t="n">
        <v>0</v>
      </c>
      <c r="Q4961" t="n">
        <v>0</v>
      </c>
      <c r="R4961" s="2" t="inlineStr"/>
    </row>
    <row r="4962" ht="15" customHeight="1">
      <c r="A4962" t="inlineStr">
        <is>
          <t>A 25266-2022</t>
        </is>
      </c>
      <c r="B4962" s="1" t="n">
        <v>44729</v>
      </c>
      <c r="C4962" s="1" t="n">
        <v>45182</v>
      </c>
      <c r="D4962" t="inlineStr">
        <is>
          <t>JÄMTLANDS LÄN</t>
        </is>
      </c>
      <c r="E4962" t="inlineStr">
        <is>
          <t>BERG</t>
        </is>
      </c>
      <c r="F4962" t="inlineStr">
        <is>
          <t>SCA</t>
        </is>
      </c>
      <c r="G4962" t="n">
        <v>1.4</v>
      </c>
      <c r="H4962" t="n">
        <v>0</v>
      </c>
      <c r="I4962" t="n">
        <v>0</v>
      </c>
      <c r="J4962" t="n">
        <v>0</v>
      </c>
      <c r="K4962" t="n">
        <v>0</v>
      </c>
      <c r="L4962" t="n">
        <v>0</v>
      </c>
      <c r="M4962" t="n">
        <v>0</v>
      </c>
      <c r="N4962" t="n">
        <v>0</v>
      </c>
      <c r="O4962" t="n">
        <v>0</v>
      </c>
      <c r="P4962" t="n">
        <v>0</v>
      </c>
      <c r="Q4962" t="n">
        <v>0</v>
      </c>
      <c r="R4962" s="2" t="inlineStr"/>
    </row>
    <row r="4963" ht="15" customHeight="1">
      <c r="A4963" t="inlineStr">
        <is>
          <t>A 25122-2022</t>
        </is>
      </c>
      <c r="B4963" s="1" t="n">
        <v>44729</v>
      </c>
      <c r="C4963" s="1" t="n">
        <v>45182</v>
      </c>
      <c r="D4963" t="inlineStr">
        <is>
          <t>JÄMTLANDS LÄN</t>
        </is>
      </c>
      <c r="E4963" t="inlineStr">
        <is>
          <t>ÅRE</t>
        </is>
      </c>
      <c r="G4963" t="n">
        <v>0.3</v>
      </c>
      <c r="H4963" t="n">
        <v>0</v>
      </c>
      <c r="I4963" t="n">
        <v>0</v>
      </c>
      <c r="J4963" t="n">
        <v>0</v>
      </c>
      <c r="K4963" t="n">
        <v>0</v>
      </c>
      <c r="L4963" t="n">
        <v>0</v>
      </c>
      <c r="M4963" t="n">
        <v>0</v>
      </c>
      <c r="N4963" t="n">
        <v>0</v>
      </c>
      <c r="O4963" t="n">
        <v>0</v>
      </c>
      <c r="P4963" t="n">
        <v>0</v>
      </c>
      <c r="Q4963" t="n">
        <v>0</v>
      </c>
      <c r="R4963" s="2" t="inlineStr"/>
    </row>
    <row r="4964" ht="15" customHeight="1">
      <c r="A4964" t="inlineStr">
        <is>
          <t>A 25248-2022</t>
        </is>
      </c>
      <c r="B4964" s="1" t="n">
        <v>44729</v>
      </c>
      <c r="C4964" s="1" t="n">
        <v>45182</v>
      </c>
      <c r="D4964" t="inlineStr">
        <is>
          <t>JÄMTLANDS LÄN</t>
        </is>
      </c>
      <c r="E4964" t="inlineStr">
        <is>
          <t>ÅRE</t>
        </is>
      </c>
      <c r="G4964" t="n">
        <v>18</v>
      </c>
      <c r="H4964" t="n">
        <v>0</v>
      </c>
      <c r="I4964" t="n">
        <v>0</v>
      </c>
      <c r="J4964" t="n">
        <v>0</v>
      </c>
      <c r="K4964" t="n">
        <v>0</v>
      </c>
      <c r="L4964" t="n">
        <v>0</v>
      </c>
      <c r="M4964" t="n">
        <v>0</v>
      </c>
      <c r="N4964" t="n">
        <v>0</v>
      </c>
      <c r="O4964" t="n">
        <v>0</v>
      </c>
      <c r="P4964" t="n">
        <v>0</v>
      </c>
      <c r="Q4964" t="n">
        <v>0</v>
      </c>
      <c r="R4964" s="2" t="inlineStr"/>
    </row>
    <row r="4965" ht="15" customHeight="1">
      <c r="A4965" t="inlineStr">
        <is>
          <t>A 25371-2022</t>
        </is>
      </c>
      <c r="B4965" s="1" t="n">
        <v>44732</v>
      </c>
      <c r="C4965" s="1" t="n">
        <v>45182</v>
      </c>
      <c r="D4965" t="inlineStr">
        <is>
          <t>JÄMTLANDS LÄN</t>
        </is>
      </c>
      <c r="E4965" t="inlineStr">
        <is>
          <t>HÄRJEDALEN</t>
        </is>
      </c>
      <c r="F4965" t="inlineStr">
        <is>
          <t>Kyrkan</t>
        </is>
      </c>
      <c r="G4965" t="n">
        <v>3.6</v>
      </c>
      <c r="H4965" t="n">
        <v>0</v>
      </c>
      <c r="I4965" t="n">
        <v>0</v>
      </c>
      <c r="J4965" t="n">
        <v>0</v>
      </c>
      <c r="K4965" t="n">
        <v>0</v>
      </c>
      <c r="L4965" t="n">
        <v>0</v>
      </c>
      <c r="M4965" t="n">
        <v>0</v>
      </c>
      <c r="N4965" t="n">
        <v>0</v>
      </c>
      <c r="O4965" t="n">
        <v>0</v>
      </c>
      <c r="P4965" t="n">
        <v>0</v>
      </c>
      <c r="Q4965" t="n">
        <v>0</v>
      </c>
      <c r="R4965" s="2" t="inlineStr"/>
    </row>
    <row r="4966" ht="15" customHeight="1">
      <c r="A4966" t="inlineStr">
        <is>
          <t>A 25433-2022</t>
        </is>
      </c>
      <c r="B4966" s="1" t="n">
        <v>44732</v>
      </c>
      <c r="C4966" s="1" t="n">
        <v>45182</v>
      </c>
      <c r="D4966" t="inlineStr">
        <is>
          <t>JÄMTLANDS LÄN</t>
        </is>
      </c>
      <c r="E4966" t="inlineStr">
        <is>
          <t>RAGUNDA</t>
        </is>
      </c>
      <c r="G4966" t="n">
        <v>1.7</v>
      </c>
      <c r="H4966" t="n">
        <v>0</v>
      </c>
      <c r="I4966" t="n">
        <v>0</v>
      </c>
      <c r="J4966" t="n">
        <v>0</v>
      </c>
      <c r="K4966" t="n">
        <v>0</v>
      </c>
      <c r="L4966" t="n">
        <v>0</v>
      </c>
      <c r="M4966" t="n">
        <v>0</v>
      </c>
      <c r="N4966" t="n">
        <v>0</v>
      </c>
      <c r="O4966" t="n">
        <v>0</v>
      </c>
      <c r="P4966" t="n">
        <v>0</v>
      </c>
      <c r="Q4966" t="n">
        <v>0</v>
      </c>
      <c r="R4966" s="2" t="inlineStr"/>
    </row>
    <row r="4967" ht="15" customHeight="1">
      <c r="A4967" t="inlineStr">
        <is>
          <t>A 25662-2022</t>
        </is>
      </c>
      <c r="B4967" s="1" t="n">
        <v>44732</v>
      </c>
      <c r="C4967" s="1" t="n">
        <v>45182</v>
      </c>
      <c r="D4967" t="inlineStr">
        <is>
          <t>JÄMTLANDS LÄN</t>
        </is>
      </c>
      <c r="E4967" t="inlineStr">
        <is>
          <t>STRÖMSUND</t>
        </is>
      </c>
      <c r="F4967" t="inlineStr">
        <is>
          <t>SCA</t>
        </is>
      </c>
      <c r="G4967" t="n">
        <v>0.8</v>
      </c>
      <c r="H4967" t="n">
        <v>0</v>
      </c>
      <c r="I4967" t="n">
        <v>0</v>
      </c>
      <c r="J4967" t="n">
        <v>0</v>
      </c>
      <c r="K4967" t="n">
        <v>0</v>
      </c>
      <c r="L4967" t="n">
        <v>0</v>
      </c>
      <c r="M4967" t="n">
        <v>0</v>
      </c>
      <c r="N4967" t="n">
        <v>0</v>
      </c>
      <c r="O4967" t="n">
        <v>0</v>
      </c>
      <c r="P4967" t="n">
        <v>0</v>
      </c>
      <c r="Q4967" t="n">
        <v>0</v>
      </c>
      <c r="R4967" s="2" t="inlineStr"/>
    </row>
    <row r="4968" ht="15" customHeight="1">
      <c r="A4968" t="inlineStr">
        <is>
          <t>A 25468-2022</t>
        </is>
      </c>
      <c r="B4968" s="1" t="n">
        <v>44732</v>
      </c>
      <c r="C4968" s="1" t="n">
        <v>45182</v>
      </c>
      <c r="D4968" t="inlineStr">
        <is>
          <t>JÄMTLANDS LÄN</t>
        </is>
      </c>
      <c r="E4968" t="inlineStr">
        <is>
          <t>HÄRJEDALEN</t>
        </is>
      </c>
      <c r="G4968" t="n">
        <v>1.4</v>
      </c>
      <c r="H4968" t="n">
        <v>0</v>
      </c>
      <c r="I4968" t="n">
        <v>0</v>
      </c>
      <c r="J4968" t="n">
        <v>0</v>
      </c>
      <c r="K4968" t="n">
        <v>0</v>
      </c>
      <c r="L4968" t="n">
        <v>0</v>
      </c>
      <c r="M4968" t="n">
        <v>0</v>
      </c>
      <c r="N4968" t="n">
        <v>0</v>
      </c>
      <c r="O4968" t="n">
        <v>0</v>
      </c>
      <c r="P4968" t="n">
        <v>0</v>
      </c>
      <c r="Q4968" t="n">
        <v>0</v>
      </c>
      <c r="R4968" s="2" t="inlineStr"/>
    </row>
    <row r="4969" ht="15" customHeight="1">
      <c r="A4969" t="inlineStr">
        <is>
          <t>A 25656-2022</t>
        </is>
      </c>
      <c r="B4969" s="1" t="n">
        <v>44732</v>
      </c>
      <c r="C4969" s="1" t="n">
        <v>45182</v>
      </c>
      <c r="D4969" t="inlineStr">
        <is>
          <t>JÄMTLANDS LÄN</t>
        </is>
      </c>
      <c r="E4969" t="inlineStr">
        <is>
          <t>BERG</t>
        </is>
      </c>
      <c r="F4969" t="inlineStr">
        <is>
          <t>SCA</t>
        </is>
      </c>
      <c r="G4969" t="n">
        <v>5.9</v>
      </c>
      <c r="H4969" t="n">
        <v>0</v>
      </c>
      <c r="I4969" t="n">
        <v>0</v>
      </c>
      <c r="J4969" t="n">
        <v>0</v>
      </c>
      <c r="K4969" t="n">
        <v>0</v>
      </c>
      <c r="L4969" t="n">
        <v>0</v>
      </c>
      <c r="M4969" t="n">
        <v>0</v>
      </c>
      <c r="N4969" t="n">
        <v>0</v>
      </c>
      <c r="O4969" t="n">
        <v>0</v>
      </c>
      <c r="P4969" t="n">
        <v>0</v>
      </c>
      <c r="Q4969" t="n">
        <v>0</v>
      </c>
      <c r="R4969" s="2" t="inlineStr"/>
    </row>
    <row r="4970" ht="15" customHeight="1">
      <c r="A4970" t="inlineStr">
        <is>
          <t>A 25428-2022</t>
        </is>
      </c>
      <c r="B4970" s="1" t="n">
        <v>44732</v>
      </c>
      <c r="C4970" s="1" t="n">
        <v>45182</v>
      </c>
      <c r="D4970" t="inlineStr">
        <is>
          <t>JÄMTLANDS LÄN</t>
        </is>
      </c>
      <c r="E4970" t="inlineStr">
        <is>
          <t>KROKOM</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25375-2022</t>
        </is>
      </c>
      <c r="B4971" s="1" t="n">
        <v>44732</v>
      </c>
      <c r="C4971" s="1" t="n">
        <v>45182</v>
      </c>
      <c r="D4971" t="inlineStr">
        <is>
          <t>JÄMTLANDS LÄN</t>
        </is>
      </c>
      <c r="E4971" t="inlineStr">
        <is>
          <t>HÄRJEDALEN</t>
        </is>
      </c>
      <c r="F4971" t="inlineStr">
        <is>
          <t>Bergvik skog väst AB</t>
        </is>
      </c>
      <c r="G4971" t="n">
        <v>5.2</v>
      </c>
      <c r="H4971" t="n">
        <v>0</v>
      </c>
      <c r="I4971" t="n">
        <v>0</v>
      </c>
      <c r="J4971" t="n">
        <v>0</v>
      </c>
      <c r="K4971" t="n">
        <v>0</v>
      </c>
      <c r="L4971" t="n">
        <v>0</v>
      </c>
      <c r="M4971" t="n">
        <v>0</v>
      </c>
      <c r="N4971" t="n">
        <v>0</v>
      </c>
      <c r="O4971" t="n">
        <v>0</v>
      </c>
      <c r="P4971" t="n">
        <v>0</v>
      </c>
      <c r="Q4971" t="n">
        <v>0</v>
      </c>
      <c r="R4971" s="2" t="inlineStr"/>
    </row>
    <row r="4972" ht="15" customHeight="1">
      <c r="A4972" t="inlineStr">
        <is>
          <t>A 25421-2022</t>
        </is>
      </c>
      <c r="B4972" s="1" t="n">
        <v>44732</v>
      </c>
      <c r="C4972" s="1" t="n">
        <v>45182</v>
      </c>
      <c r="D4972" t="inlineStr">
        <is>
          <t>JÄMTLANDS LÄN</t>
        </is>
      </c>
      <c r="E4972" t="inlineStr">
        <is>
          <t>KROKOM</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25500-2022</t>
        </is>
      </c>
      <c r="B4973" s="1" t="n">
        <v>44732</v>
      </c>
      <c r="C4973" s="1" t="n">
        <v>45182</v>
      </c>
      <c r="D4973" t="inlineStr">
        <is>
          <t>JÄMTLANDS LÄN</t>
        </is>
      </c>
      <c r="E4973" t="inlineStr">
        <is>
          <t>HÄRJEDALEN</t>
        </is>
      </c>
      <c r="G4973" t="n">
        <v>2.6</v>
      </c>
      <c r="H4973" t="n">
        <v>0</v>
      </c>
      <c r="I4973" t="n">
        <v>0</v>
      </c>
      <c r="J4973" t="n">
        <v>0</v>
      </c>
      <c r="K4973" t="n">
        <v>0</v>
      </c>
      <c r="L4973" t="n">
        <v>0</v>
      </c>
      <c r="M4973" t="n">
        <v>0</v>
      </c>
      <c r="N4973" t="n">
        <v>0</v>
      </c>
      <c r="O4973" t="n">
        <v>0</v>
      </c>
      <c r="P4973" t="n">
        <v>0</v>
      </c>
      <c r="Q4973" t="n">
        <v>0</v>
      </c>
      <c r="R4973" s="2" t="inlineStr"/>
    </row>
    <row r="4974" ht="15" customHeight="1">
      <c r="A4974" t="inlineStr">
        <is>
          <t>A 25780-2022</t>
        </is>
      </c>
      <c r="B4974" s="1" t="n">
        <v>44733</v>
      </c>
      <c r="C4974" s="1" t="n">
        <v>45182</v>
      </c>
      <c r="D4974" t="inlineStr">
        <is>
          <t>JÄMTLANDS LÄN</t>
        </is>
      </c>
      <c r="E4974" t="inlineStr">
        <is>
          <t>HÄRJEDALEN</t>
        </is>
      </c>
      <c r="F4974" t="inlineStr">
        <is>
          <t>Kyrkan</t>
        </is>
      </c>
      <c r="G4974" t="n">
        <v>7.7</v>
      </c>
      <c r="H4974" t="n">
        <v>0</v>
      </c>
      <c r="I4974" t="n">
        <v>0</v>
      </c>
      <c r="J4974" t="n">
        <v>0</v>
      </c>
      <c r="K4974" t="n">
        <v>0</v>
      </c>
      <c r="L4974" t="n">
        <v>0</v>
      </c>
      <c r="M4974" t="n">
        <v>0</v>
      </c>
      <c r="N4974" t="n">
        <v>0</v>
      </c>
      <c r="O4974" t="n">
        <v>0</v>
      </c>
      <c r="P4974" t="n">
        <v>0</v>
      </c>
      <c r="Q4974" t="n">
        <v>0</v>
      </c>
      <c r="R4974" s="2" t="inlineStr"/>
    </row>
    <row r="4975" ht="15" customHeight="1">
      <c r="A4975" t="inlineStr">
        <is>
          <t>A 25795-2022</t>
        </is>
      </c>
      <c r="B4975" s="1" t="n">
        <v>44733</v>
      </c>
      <c r="C4975" s="1" t="n">
        <v>45182</v>
      </c>
      <c r="D4975" t="inlineStr">
        <is>
          <t>JÄMTLANDS LÄN</t>
        </is>
      </c>
      <c r="E4975" t="inlineStr">
        <is>
          <t>BERG</t>
        </is>
      </c>
      <c r="G4975" t="n">
        <v>1.1</v>
      </c>
      <c r="H4975" t="n">
        <v>0</v>
      </c>
      <c r="I4975" t="n">
        <v>0</v>
      </c>
      <c r="J4975" t="n">
        <v>0</v>
      </c>
      <c r="K4975" t="n">
        <v>0</v>
      </c>
      <c r="L4975" t="n">
        <v>0</v>
      </c>
      <c r="M4975" t="n">
        <v>0</v>
      </c>
      <c r="N4975" t="n">
        <v>0</v>
      </c>
      <c r="O4975" t="n">
        <v>0</v>
      </c>
      <c r="P4975" t="n">
        <v>0</v>
      </c>
      <c r="Q4975" t="n">
        <v>0</v>
      </c>
      <c r="R4975" s="2" t="inlineStr"/>
    </row>
    <row r="4976" ht="15" customHeight="1">
      <c r="A4976" t="inlineStr">
        <is>
          <t>A 25843-2022</t>
        </is>
      </c>
      <c r="B4976" s="1" t="n">
        <v>44733</v>
      </c>
      <c r="C4976" s="1" t="n">
        <v>45182</v>
      </c>
      <c r="D4976" t="inlineStr">
        <is>
          <t>JÄMTLANDS LÄN</t>
        </is>
      </c>
      <c r="E4976" t="inlineStr">
        <is>
          <t>STRÖMSUND</t>
        </is>
      </c>
      <c r="F4976" t="inlineStr">
        <is>
          <t>Kyrkan</t>
        </is>
      </c>
      <c r="G4976" t="n">
        <v>12.2</v>
      </c>
      <c r="H4976" t="n">
        <v>0</v>
      </c>
      <c r="I4976" t="n">
        <v>0</v>
      </c>
      <c r="J4976" t="n">
        <v>0</v>
      </c>
      <c r="K4976" t="n">
        <v>0</v>
      </c>
      <c r="L4976" t="n">
        <v>0</v>
      </c>
      <c r="M4976" t="n">
        <v>0</v>
      </c>
      <c r="N4976" t="n">
        <v>0</v>
      </c>
      <c r="O4976" t="n">
        <v>0</v>
      </c>
      <c r="P4976" t="n">
        <v>0</v>
      </c>
      <c r="Q4976" t="n">
        <v>0</v>
      </c>
      <c r="R4976" s="2" t="inlineStr"/>
    </row>
    <row r="4977" ht="15" customHeight="1">
      <c r="A4977" t="inlineStr">
        <is>
          <t>A 25883-2022</t>
        </is>
      </c>
      <c r="B4977" s="1" t="n">
        <v>44733</v>
      </c>
      <c r="C4977" s="1" t="n">
        <v>45182</v>
      </c>
      <c r="D4977" t="inlineStr">
        <is>
          <t>JÄMTLANDS LÄN</t>
        </is>
      </c>
      <c r="E4977" t="inlineStr">
        <is>
          <t>BRÄCKE</t>
        </is>
      </c>
      <c r="F4977" t="inlineStr">
        <is>
          <t>Övriga Aktiebolag</t>
        </is>
      </c>
      <c r="G4977" t="n">
        <v>23.4</v>
      </c>
      <c r="H4977" t="n">
        <v>0</v>
      </c>
      <c r="I4977" t="n">
        <v>0</v>
      </c>
      <c r="J4977" t="n">
        <v>0</v>
      </c>
      <c r="K4977" t="n">
        <v>0</v>
      </c>
      <c r="L4977" t="n">
        <v>0</v>
      </c>
      <c r="M4977" t="n">
        <v>0</v>
      </c>
      <c r="N4977" t="n">
        <v>0</v>
      </c>
      <c r="O4977" t="n">
        <v>0</v>
      </c>
      <c r="P4977" t="n">
        <v>0</v>
      </c>
      <c r="Q4977" t="n">
        <v>0</v>
      </c>
      <c r="R4977" s="2" t="inlineStr"/>
    </row>
    <row r="4978" ht="15" customHeight="1">
      <c r="A4978" t="inlineStr">
        <is>
          <t>A 25725-2022</t>
        </is>
      </c>
      <c r="B4978" s="1" t="n">
        <v>44733</v>
      </c>
      <c r="C4978" s="1" t="n">
        <v>45182</v>
      </c>
      <c r="D4978" t="inlineStr">
        <is>
          <t>JÄMTLANDS LÄN</t>
        </is>
      </c>
      <c r="E4978" t="inlineStr">
        <is>
          <t>HÄRJEDALEN</t>
        </is>
      </c>
      <c r="F4978" t="inlineStr">
        <is>
          <t>Kyrkan</t>
        </is>
      </c>
      <c r="G4978" t="n">
        <v>14</v>
      </c>
      <c r="H4978" t="n">
        <v>0</v>
      </c>
      <c r="I4978" t="n">
        <v>0</v>
      </c>
      <c r="J4978" t="n">
        <v>0</v>
      </c>
      <c r="K4978" t="n">
        <v>0</v>
      </c>
      <c r="L4978" t="n">
        <v>0</v>
      </c>
      <c r="M4978" t="n">
        <v>0</v>
      </c>
      <c r="N4978" t="n">
        <v>0</v>
      </c>
      <c r="O4978" t="n">
        <v>0</v>
      </c>
      <c r="P4978" t="n">
        <v>0</v>
      </c>
      <c r="Q4978" t="n">
        <v>0</v>
      </c>
      <c r="R4978" s="2" t="inlineStr"/>
    </row>
    <row r="4979" ht="15" customHeight="1">
      <c r="A4979" t="inlineStr">
        <is>
          <t>A 26116-2022</t>
        </is>
      </c>
      <c r="B4979" s="1" t="n">
        <v>44734</v>
      </c>
      <c r="C4979" s="1" t="n">
        <v>45182</v>
      </c>
      <c r="D4979" t="inlineStr">
        <is>
          <t>JÄMTLANDS LÄN</t>
        </is>
      </c>
      <c r="E4979" t="inlineStr">
        <is>
          <t>STRÖMSUND</t>
        </is>
      </c>
      <c r="F4979" t="inlineStr">
        <is>
          <t>SCA</t>
        </is>
      </c>
      <c r="G4979" t="n">
        <v>6.1</v>
      </c>
      <c r="H4979" t="n">
        <v>0</v>
      </c>
      <c r="I4979" t="n">
        <v>0</v>
      </c>
      <c r="J4979" t="n">
        <v>0</v>
      </c>
      <c r="K4979" t="n">
        <v>0</v>
      </c>
      <c r="L4979" t="n">
        <v>0</v>
      </c>
      <c r="M4979" t="n">
        <v>0</v>
      </c>
      <c r="N4979" t="n">
        <v>0</v>
      </c>
      <c r="O4979" t="n">
        <v>0</v>
      </c>
      <c r="P4979" t="n">
        <v>0</v>
      </c>
      <c r="Q4979" t="n">
        <v>0</v>
      </c>
      <c r="R4979" s="2" t="inlineStr"/>
    </row>
    <row r="4980" ht="15" customHeight="1">
      <c r="A4980" t="inlineStr">
        <is>
          <t>A 26138-2022</t>
        </is>
      </c>
      <c r="B4980" s="1" t="n">
        <v>44734</v>
      </c>
      <c r="C4980" s="1" t="n">
        <v>45182</v>
      </c>
      <c r="D4980" t="inlineStr">
        <is>
          <t>JÄMTLANDS LÄN</t>
        </is>
      </c>
      <c r="E4980" t="inlineStr">
        <is>
          <t>BRÄCKE</t>
        </is>
      </c>
      <c r="F4980" t="inlineStr">
        <is>
          <t>SCA</t>
        </is>
      </c>
      <c r="G4980" t="n">
        <v>9.1</v>
      </c>
      <c r="H4980" t="n">
        <v>0</v>
      </c>
      <c r="I4980" t="n">
        <v>0</v>
      </c>
      <c r="J4980" t="n">
        <v>0</v>
      </c>
      <c r="K4980" t="n">
        <v>0</v>
      </c>
      <c r="L4980" t="n">
        <v>0</v>
      </c>
      <c r="M4980" t="n">
        <v>0</v>
      </c>
      <c r="N4980" t="n">
        <v>0</v>
      </c>
      <c r="O4980" t="n">
        <v>0</v>
      </c>
      <c r="P4980" t="n">
        <v>0</v>
      </c>
      <c r="Q4980" t="n">
        <v>0</v>
      </c>
      <c r="R4980" s="2" t="inlineStr"/>
    </row>
    <row r="4981" ht="15" customHeight="1">
      <c r="A4981" t="inlineStr">
        <is>
          <t>A 25962-2022</t>
        </is>
      </c>
      <c r="B4981" s="1" t="n">
        <v>44734</v>
      </c>
      <c r="C4981" s="1" t="n">
        <v>45182</v>
      </c>
      <c r="D4981" t="inlineStr">
        <is>
          <t>JÄMTLANDS LÄN</t>
        </is>
      </c>
      <c r="E4981" t="inlineStr">
        <is>
          <t>RAGUNDA</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26020-2022</t>
        </is>
      </c>
      <c r="B4982" s="1" t="n">
        <v>44734</v>
      </c>
      <c r="C4982" s="1" t="n">
        <v>45182</v>
      </c>
      <c r="D4982" t="inlineStr">
        <is>
          <t>JÄMTLANDS LÄN</t>
        </is>
      </c>
      <c r="E4982" t="inlineStr">
        <is>
          <t>ÖSTERSUND</t>
        </is>
      </c>
      <c r="G4982" t="n">
        <v>1.4</v>
      </c>
      <c r="H4982" t="n">
        <v>0</v>
      </c>
      <c r="I4982" t="n">
        <v>0</v>
      </c>
      <c r="J4982" t="n">
        <v>0</v>
      </c>
      <c r="K4982" t="n">
        <v>0</v>
      </c>
      <c r="L4982" t="n">
        <v>0</v>
      </c>
      <c r="M4982" t="n">
        <v>0</v>
      </c>
      <c r="N4982" t="n">
        <v>0</v>
      </c>
      <c r="O4982" t="n">
        <v>0</v>
      </c>
      <c r="P4982" t="n">
        <v>0</v>
      </c>
      <c r="Q4982" t="n">
        <v>0</v>
      </c>
      <c r="R4982" s="2" t="inlineStr"/>
    </row>
    <row r="4983" ht="15" customHeight="1">
      <c r="A4983" t="inlineStr">
        <is>
          <t>A 26132-2022</t>
        </is>
      </c>
      <c r="B4983" s="1" t="n">
        <v>44734</v>
      </c>
      <c r="C4983" s="1" t="n">
        <v>45182</v>
      </c>
      <c r="D4983" t="inlineStr">
        <is>
          <t>JÄMTLANDS LÄN</t>
        </is>
      </c>
      <c r="E4983" t="inlineStr">
        <is>
          <t>STRÖMSUND</t>
        </is>
      </c>
      <c r="F4983" t="inlineStr">
        <is>
          <t>SCA</t>
        </is>
      </c>
      <c r="G4983" t="n">
        <v>1.3</v>
      </c>
      <c r="H4983" t="n">
        <v>0</v>
      </c>
      <c r="I4983" t="n">
        <v>0</v>
      </c>
      <c r="J4983" t="n">
        <v>0</v>
      </c>
      <c r="K4983" t="n">
        <v>0</v>
      </c>
      <c r="L4983" t="n">
        <v>0</v>
      </c>
      <c r="M4983" t="n">
        <v>0</v>
      </c>
      <c r="N4983" t="n">
        <v>0</v>
      </c>
      <c r="O4983" t="n">
        <v>0</v>
      </c>
      <c r="P4983" t="n">
        <v>0</v>
      </c>
      <c r="Q4983" t="n">
        <v>0</v>
      </c>
      <c r="R4983" s="2" t="inlineStr"/>
    </row>
    <row r="4984" ht="15" customHeight="1">
      <c r="A4984" t="inlineStr">
        <is>
          <t>A 25986-2022</t>
        </is>
      </c>
      <c r="B4984" s="1" t="n">
        <v>44734</v>
      </c>
      <c r="C4984" s="1" t="n">
        <v>45182</v>
      </c>
      <c r="D4984" t="inlineStr">
        <is>
          <t>JÄMTLANDS LÄN</t>
        </is>
      </c>
      <c r="E4984" t="inlineStr">
        <is>
          <t>ÖSTERSUND</t>
        </is>
      </c>
      <c r="G4984" t="n">
        <v>0.8</v>
      </c>
      <c r="H4984" t="n">
        <v>0</v>
      </c>
      <c r="I4984" t="n">
        <v>0</v>
      </c>
      <c r="J4984" t="n">
        <v>0</v>
      </c>
      <c r="K4984" t="n">
        <v>0</v>
      </c>
      <c r="L4984" t="n">
        <v>0</v>
      </c>
      <c r="M4984" t="n">
        <v>0</v>
      </c>
      <c r="N4984" t="n">
        <v>0</v>
      </c>
      <c r="O4984" t="n">
        <v>0</v>
      </c>
      <c r="P4984" t="n">
        <v>0</v>
      </c>
      <c r="Q4984" t="n">
        <v>0</v>
      </c>
      <c r="R4984" s="2" t="inlineStr"/>
    </row>
    <row r="4985" ht="15" customHeight="1">
      <c r="A4985" t="inlineStr">
        <is>
          <t>A 26127-2022</t>
        </is>
      </c>
      <c r="B4985" s="1" t="n">
        <v>44734</v>
      </c>
      <c r="C4985" s="1" t="n">
        <v>45182</v>
      </c>
      <c r="D4985" t="inlineStr">
        <is>
          <t>JÄMTLANDS LÄN</t>
        </is>
      </c>
      <c r="E4985" t="inlineStr">
        <is>
          <t>RAGUNDA</t>
        </is>
      </c>
      <c r="F4985" t="inlineStr">
        <is>
          <t>SCA</t>
        </is>
      </c>
      <c r="G4985" t="n">
        <v>1.7</v>
      </c>
      <c r="H4985" t="n">
        <v>0</v>
      </c>
      <c r="I4985" t="n">
        <v>0</v>
      </c>
      <c r="J4985" t="n">
        <v>0</v>
      </c>
      <c r="K4985" t="n">
        <v>0</v>
      </c>
      <c r="L4985" t="n">
        <v>0</v>
      </c>
      <c r="M4985" t="n">
        <v>0</v>
      </c>
      <c r="N4985" t="n">
        <v>0</v>
      </c>
      <c r="O4985" t="n">
        <v>0</v>
      </c>
      <c r="P4985" t="n">
        <v>0</v>
      </c>
      <c r="Q4985" t="n">
        <v>0</v>
      </c>
      <c r="R4985" s="2" t="inlineStr"/>
    </row>
    <row r="4986" ht="15" customHeight="1">
      <c r="A4986" t="inlineStr">
        <is>
          <t>A 26139-2022</t>
        </is>
      </c>
      <c r="B4986" s="1" t="n">
        <v>44734</v>
      </c>
      <c r="C4986" s="1" t="n">
        <v>45182</v>
      </c>
      <c r="D4986" t="inlineStr">
        <is>
          <t>JÄMTLANDS LÄN</t>
        </is>
      </c>
      <c r="E4986" t="inlineStr">
        <is>
          <t>BRÄCKE</t>
        </is>
      </c>
      <c r="F4986" t="inlineStr">
        <is>
          <t>SCA</t>
        </is>
      </c>
      <c r="G4986" t="n">
        <v>1.5</v>
      </c>
      <c r="H4986" t="n">
        <v>0</v>
      </c>
      <c r="I4986" t="n">
        <v>0</v>
      </c>
      <c r="J4986" t="n">
        <v>0</v>
      </c>
      <c r="K4986" t="n">
        <v>0</v>
      </c>
      <c r="L4986" t="n">
        <v>0</v>
      </c>
      <c r="M4986" t="n">
        <v>0</v>
      </c>
      <c r="N4986" t="n">
        <v>0</v>
      </c>
      <c r="O4986" t="n">
        <v>0</v>
      </c>
      <c r="P4986" t="n">
        <v>0</v>
      </c>
      <c r="Q4986" t="n">
        <v>0</v>
      </c>
      <c r="R4986" s="2" t="inlineStr"/>
    </row>
    <row r="4987" ht="15" customHeight="1">
      <c r="A4987" t="inlineStr">
        <is>
          <t>A 26404-2022</t>
        </is>
      </c>
      <c r="B4987" s="1" t="n">
        <v>44735</v>
      </c>
      <c r="C4987" s="1" t="n">
        <v>45182</v>
      </c>
      <c r="D4987" t="inlineStr">
        <is>
          <t>JÄMTLANDS LÄN</t>
        </is>
      </c>
      <c r="E4987" t="inlineStr">
        <is>
          <t>BERG</t>
        </is>
      </c>
      <c r="G4987" t="n">
        <v>3.7</v>
      </c>
      <c r="H4987" t="n">
        <v>0</v>
      </c>
      <c r="I4987" t="n">
        <v>0</v>
      </c>
      <c r="J4987" t="n">
        <v>0</v>
      </c>
      <c r="K4987" t="n">
        <v>0</v>
      </c>
      <c r="L4987" t="n">
        <v>0</v>
      </c>
      <c r="M4987" t="n">
        <v>0</v>
      </c>
      <c r="N4987" t="n">
        <v>0</v>
      </c>
      <c r="O4987" t="n">
        <v>0</v>
      </c>
      <c r="P4987" t="n">
        <v>0</v>
      </c>
      <c r="Q4987" t="n">
        <v>0</v>
      </c>
      <c r="R4987" s="2" t="inlineStr"/>
    </row>
    <row r="4988" ht="15" customHeight="1">
      <c r="A4988" t="inlineStr">
        <is>
          <t>A 26321-2022</t>
        </is>
      </c>
      <c r="B4988" s="1" t="n">
        <v>44735</v>
      </c>
      <c r="C4988" s="1" t="n">
        <v>45182</v>
      </c>
      <c r="D4988" t="inlineStr">
        <is>
          <t>JÄMTLANDS LÄN</t>
        </is>
      </c>
      <c r="E4988" t="inlineStr">
        <is>
          <t>ÖSTERSUND</t>
        </is>
      </c>
      <c r="G4988" t="n">
        <v>1</v>
      </c>
      <c r="H4988" t="n">
        <v>0</v>
      </c>
      <c r="I4988" t="n">
        <v>0</v>
      </c>
      <c r="J4988" t="n">
        <v>0</v>
      </c>
      <c r="K4988" t="n">
        <v>0</v>
      </c>
      <c r="L4988" t="n">
        <v>0</v>
      </c>
      <c r="M4988" t="n">
        <v>0</v>
      </c>
      <c r="N4988" t="n">
        <v>0</v>
      </c>
      <c r="O4988" t="n">
        <v>0</v>
      </c>
      <c r="P4988" t="n">
        <v>0</v>
      </c>
      <c r="Q4988" t="n">
        <v>0</v>
      </c>
      <c r="R4988" s="2" t="inlineStr"/>
    </row>
    <row r="4989" ht="15" customHeight="1">
      <c r="A4989" t="inlineStr">
        <is>
          <t>A 26405-2022</t>
        </is>
      </c>
      <c r="B4989" s="1" t="n">
        <v>44735</v>
      </c>
      <c r="C4989" s="1" t="n">
        <v>45182</v>
      </c>
      <c r="D4989" t="inlineStr">
        <is>
          <t>JÄMTLANDS LÄN</t>
        </is>
      </c>
      <c r="E4989" t="inlineStr">
        <is>
          <t>BERG</t>
        </is>
      </c>
      <c r="F4989" t="inlineStr">
        <is>
          <t>SCA</t>
        </is>
      </c>
      <c r="G4989" t="n">
        <v>7.2</v>
      </c>
      <c r="H4989" t="n">
        <v>0</v>
      </c>
      <c r="I4989" t="n">
        <v>0</v>
      </c>
      <c r="J4989" t="n">
        <v>0</v>
      </c>
      <c r="K4989" t="n">
        <v>0</v>
      </c>
      <c r="L4989" t="n">
        <v>0</v>
      </c>
      <c r="M4989" t="n">
        <v>0</v>
      </c>
      <c r="N4989" t="n">
        <v>0</v>
      </c>
      <c r="O4989" t="n">
        <v>0</v>
      </c>
      <c r="P4989" t="n">
        <v>0</v>
      </c>
      <c r="Q4989" t="n">
        <v>0</v>
      </c>
      <c r="R4989" s="2" t="inlineStr"/>
    </row>
    <row r="4990" ht="15" customHeight="1">
      <c r="A4990" t="inlineStr">
        <is>
          <t>A 26445-2022</t>
        </is>
      </c>
      <c r="B4990" s="1" t="n">
        <v>44738</v>
      </c>
      <c r="C4990" s="1" t="n">
        <v>45182</v>
      </c>
      <c r="D4990" t="inlineStr">
        <is>
          <t>JÄMTLANDS LÄN</t>
        </is>
      </c>
      <c r="E4990" t="inlineStr">
        <is>
          <t>BRÄCKE</t>
        </is>
      </c>
      <c r="F4990" t="inlineStr">
        <is>
          <t>SCA</t>
        </is>
      </c>
      <c r="G4990" t="n">
        <v>62.5</v>
      </c>
      <c r="H4990" t="n">
        <v>0</v>
      </c>
      <c r="I4990" t="n">
        <v>0</v>
      </c>
      <c r="J4990" t="n">
        <v>0</v>
      </c>
      <c r="K4990" t="n">
        <v>0</v>
      </c>
      <c r="L4990" t="n">
        <v>0</v>
      </c>
      <c r="M4990" t="n">
        <v>0</v>
      </c>
      <c r="N4990" t="n">
        <v>0</v>
      </c>
      <c r="O4990" t="n">
        <v>0</v>
      </c>
      <c r="P4990" t="n">
        <v>0</v>
      </c>
      <c r="Q4990" t="n">
        <v>0</v>
      </c>
      <c r="R4990" s="2" t="inlineStr"/>
    </row>
    <row r="4991" ht="15" customHeight="1">
      <c r="A4991" t="inlineStr">
        <is>
          <t>A 26738-2022</t>
        </is>
      </c>
      <c r="B4991" s="1" t="n">
        <v>44739</v>
      </c>
      <c r="C4991" s="1" t="n">
        <v>45182</v>
      </c>
      <c r="D4991" t="inlineStr">
        <is>
          <t>JÄMTLANDS LÄN</t>
        </is>
      </c>
      <c r="E4991" t="inlineStr">
        <is>
          <t>BERG</t>
        </is>
      </c>
      <c r="F4991" t="inlineStr">
        <is>
          <t>SCA</t>
        </is>
      </c>
      <c r="G4991" t="n">
        <v>5</v>
      </c>
      <c r="H4991" t="n">
        <v>0</v>
      </c>
      <c r="I4991" t="n">
        <v>0</v>
      </c>
      <c r="J4991" t="n">
        <v>0</v>
      </c>
      <c r="K4991" t="n">
        <v>0</v>
      </c>
      <c r="L4991" t="n">
        <v>0</v>
      </c>
      <c r="M4991" t="n">
        <v>0</v>
      </c>
      <c r="N4991" t="n">
        <v>0</v>
      </c>
      <c r="O4991" t="n">
        <v>0</v>
      </c>
      <c r="P4991" t="n">
        <v>0</v>
      </c>
      <c r="Q4991" t="n">
        <v>0</v>
      </c>
      <c r="R4991" s="2" t="inlineStr"/>
    </row>
    <row r="4992" ht="15" customHeight="1">
      <c r="A4992" t="inlineStr">
        <is>
          <t>A 26751-2022</t>
        </is>
      </c>
      <c r="B4992" s="1" t="n">
        <v>44739</v>
      </c>
      <c r="C4992" s="1" t="n">
        <v>45182</v>
      </c>
      <c r="D4992" t="inlineStr">
        <is>
          <t>JÄMTLANDS LÄN</t>
        </is>
      </c>
      <c r="E4992" t="inlineStr">
        <is>
          <t>BRÄCKE</t>
        </is>
      </c>
      <c r="F4992" t="inlineStr">
        <is>
          <t>SCA</t>
        </is>
      </c>
      <c r="G4992" t="n">
        <v>1.8</v>
      </c>
      <c r="H4992" t="n">
        <v>0</v>
      </c>
      <c r="I4992" t="n">
        <v>0</v>
      </c>
      <c r="J4992" t="n">
        <v>0</v>
      </c>
      <c r="K4992" t="n">
        <v>0</v>
      </c>
      <c r="L4992" t="n">
        <v>0</v>
      </c>
      <c r="M4992" t="n">
        <v>0</v>
      </c>
      <c r="N4992" t="n">
        <v>0</v>
      </c>
      <c r="O4992" t="n">
        <v>0</v>
      </c>
      <c r="P4992" t="n">
        <v>0</v>
      </c>
      <c r="Q4992" t="n">
        <v>0</v>
      </c>
      <c r="R4992" s="2" t="inlineStr"/>
    </row>
    <row r="4993" ht="15" customHeight="1">
      <c r="A4993" t="inlineStr">
        <is>
          <t>A 27032-2022</t>
        </is>
      </c>
      <c r="B4993" s="1" t="n">
        <v>44740</v>
      </c>
      <c r="C4993" s="1" t="n">
        <v>45182</v>
      </c>
      <c r="D4993" t="inlineStr">
        <is>
          <t>JÄMTLANDS LÄN</t>
        </is>
      </c>
      <c r="E4993" t="inlineStr">
        <is>
          <t>STRÖMSUND</t>
        </is>
      </c>
      <c r="F4993" t="inlineStr">
        <is>
          <t>SCA</t>
        </is>
      </c>
      <c r="G4993" t="n">
        <v>2.2</v>
      </c>
      <c r="H4993" t="n">
        <v>0</v>
      </c>
      <c r="I4993" t="n">
        <v>0</v>
      </c>
      <c r="J4993" t="n">
        <v>0</v>
      </c>
      <c r="K4993" t="n">
        <v>0</v>
      </c>
      <c r="L4993" t="n">
        <v>0</v>
      </c>
      <c r="M4993" t="n">
        <v>0</v>
      </c>
      <c r="N4993" t="n">
        <v>0</v>
      </c>
      <c r="O4993" t="n">
        <v>0</v>
      </c>
      <c r="P4993" t="n">
        <v>0</v>
      </c>
      <c r="Q4993" t="n">
        <v>0</v>
      </c>
      <c r="R4993" s="2" t="inlineStr"/>
    </row>
    <row r="4994" ht="15" customHeight="1">
      <c r="A4994" t="inlineStr">
        <is>
          <t>A 26944-2022</t>
        </is>
      </c>
      <c r="B4994" s="1" t="n">
        <v>44740</v>
      </c>
      <c r="C4994" s="1" t="n">
        <v>45182</v>
      </c>
      <c r="D4994" t="inlineStr">
        <is>
          <t>JÄMTLANDS LÄN</t>
        </is>
      </c>
      <c r="E4994" t="inlineStr">
        <is>
          <t>BERG</t>
        </is>
      </c>
      <c r="G4994" t="n">
        <v>3.3</v>
      </c>
      <c r="H4994" t="n">
        <v>0</v>
      </c>
      <c r="I4994" t="n">
        <v>0</v>
      </c>
      <c r="J4994" t="n">
        <v>0</v>
      </c>
      <c r="K4994" t="n">
        <v>0</v>
      </c>
      <c r="L4994" t="n">
        <v>0</v>
      </c>
      <c r="M4994" t="n">
        <v>0</v>
      </c>
      <c r="N4994" t="n">
        <v>0</v>
      </c>
      <c r="O4994" t="n">
        <v>0</v>
      </c>
      <c r="P4994" t="n">
        <v>0</v>
      </c>
      <c r="Q4994" t="n">
        <v>0</v>
      </c>
      <c r="R4994" s="2" t="inlineStr"/>
    </row>
    <row r="4995" ht="15" customHeight="1">
      <c r="A4995" t="inlineStr">
        <is>
          <t>A 27290-2022</t>
        </is>
      </c>
      <c r="B4995" s="1" t="n">
        <v>44741</v>
      </c>
      <c r="C4995" s="1" t="n">
        <v>45182</v>
      </c>
      <c r="D4995" t="inlineStr">
        <is>
          <t>JÄMTLANDS LÄN</t>
        </is>
      </c>
      <c r="E4995" t="inlineStr">
        <is>
          <t>STRÖMSUND</t>
        </is>
      </c>
      <c r="F4995" t="inlineStr">
        <is>
          <t>SCA</t>
        </is>
      </c>
      <c r="G4995" t="n">
        <v>5.8</v>
      </c>
      <c r="H4995" t="n">
        <v>0</v>
      </c>
      <c r="I4995" t="n">
        <v>0</v>
      </c>
      <c r="J4995" t="n">
        <v>0</v>
      </c>
      <c r="K4995" t="n">
        <v>0</v>
      </c>
      <c r="L4995" t="n">
        <v>0</v>
      </c>
      <c r="M4995" t="n">
        <v>0</v>
      </c>
      <c r="N4995" t="n">
        <v>0</v>
      </c>
      <c r="O4995" t="n">
        <v>0</v>
      </c>
      <c r="P4995" t="n">
        <v>0</v>
      </c>
      <c r="Q4995" t="n">
        <v>0</v>
      </c>
      <c r="R4995" s="2" t="inlineStr"/>
    </row>
    <row r="4996" ht="15" customHeight="1">
      <c r="A4996" t="inlineStr">
        <is>
          <t>A 27178-2022</t>
        </is>
      </c>
      <c r="B4996" s="1" t="n">
        <v>44741</v>
      </c>
      <c r="C4996" s="1" t="n">
        <v>45182</v>
      </c>
      <c r="D4996" t="inlineStr">
        <is>
          <t>JÄMTLANDS LÄN</t>
        </is>
      </c>
      <c r="E4996" t="inlineStr">
        <is>
          <t>KROKOM</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27075-2022</t>
        </is>
      </c>
      <c r="B4997" s="1" t="n">
        <v>44741</v>
      </c>
      <c r="C4997" s="1" t="n">
        <v>45182</v>
      </c>
      <c r="D4997" t="inlineStr">
        <is>
          <t>JÄMTLANDS LÄN</t>
        </is>
      </c>
      <c r="E4997" t="inlineStr">
        <is>
          <t>KROKOM</t>
        </is>
      </c>
      <c r="G4997" t="n">
        <v>10.4</v>
      </c>
      <c r="H4997" t="n">
        <v>0</v>
      </c>
      <c r="I4997" t="n">
        <v>0</v>
      </c>
      <c r="J4997" t="n">
        <v>0</v>
      </c>
      <c r="K4997" t="n">
        <v>0</v>
      </c>
      <c r="L4997" t="n">
        <v>0</v>
      </c>
      <c r="M4997" t="n">
        <v>0</v>
      </c>
      <c r="N4997" t="n">
        <v>0</v>
      </c>
      <c r="O4997" t="n">
        <v>0</v>
      </c>
      <c r="P4997" t="n">
        <v>0</v>
      </c>
      <c r="Q4997" t="n">
        <v>0</v>
      </c>
      <c r="R4997" s="2" t="inlineStr"/>
    </row>
    <row r="4998" ht="15" customHeight="1">
      <c r="A4998" t="inlineStr">
        <is>
          <t>A 27204-2022</t>
        </is>
      </c>
      <c r="B4998" s="1" t="n">
        <v>44741</v>
      </c>
      <c r="C4998" s="1" t="n">
        <v>45182</v>
      </c>
      <c r="D4998" t="inlineStr">
        <is>
          <t>JÄMTLANDS LÄN</t>
        </is>
      </c>
      <c r="E4998" t="inlineStr">
        <is>
          <t>HÄRJEDALEN</t>
        </is>
      </c>
      <c r="F4998" t="inlineStr">
        <is>
          <t>Bergvik skog väst AB</t>
        </is>
      </c>
      <c r="G4998" t="n">
        <v>33.9</v>
      </c>
      <c r="H4998" t="n">
        <v>0</v>
      </c>
      <c r="I4998" t="n">
        <v>0</v>
      </c>
      <c r="J4998" t="n">
        <v>0</v>
      </c>
      <c r="K4998" t="n">
        <v>0</v>
      </c>
      <c r="L4998" t="n">
        <v>0</v>
      </c>
      <c r="M4998" t="n">
        <v>0</v>
      </c>
      <c r="N4998" t="n">
        <v>0</v>
      </c>
      <c r="O4998" t="n">
        <v>0</v>
      </c>
      <c r="P4998" t="n">
        <v>0</v>
      </c>
      <c r="Q4998" t="n">
        <v>0</v>
      </c>
      <c r="R4998" s="2" t="inlineStr"/>
    </row>
    <row r="4999" ht="15" customHeight="1">
      <c r="A4999" t="inlineStr">
        <is>
          <t>A 27302-2022</t>
        </is>
      </c>
      <c r="B4999" s="1" t="n">
        <v>44741</v>
      </c>
      <c r="C4999" s="1" t="n">
        <v>45182</v>
      </c>
      <c r="D4999" t="inlineStr">
        <is>
          <t>JÄMTLANDS LÄN</t>
        </is>
      </c>
      <c r="E4999" t="inlineStr">
        <is>
          <t>RAGUNDA</t>
        </is>
      </c>
      <c r="G4999" t="n">
        <v>1.6</v>
      </c>
      <c r="H4999" t="n">
        <v>0</v>
      </c>
      <c r="I4999" t="n">
        <v>0</v>
      </c>
      <c r="J4999" t="n">
        <v>0</v>
      </c>
      <c r="K4999" t="n">
        <v>0</v>
      </c>
      <c r="L4999" t="n">
        <v>0</v>
      </c>
      <c r="M4999" t="n">
        <v>0</v>
      </c>
      <c r="N4999" t="n">
        <v>0</v>
      </c>
      <c r="O4999" t="n">
        <v>0</v>
      </c>
      <c r="P4999" t="n">
        <v>0</v>
      </c>
      <c r="Q4999" t="n">
        <v>0</v>
      </c>
      <c r="R4999" s="2" t="inlineStr"/>
    </row>
    <row r="5000" ht="15" customHeight="1">
      <c r="A5000" t="inlineStr">
        <is>
          <t>A 27334-2022</t>
        </is>
      </c>
      <c r="B5000" s="1" t="n">
        <v>44742</v>
      </c>
      <c r="C5000" s="1" t="n">
        <v>45182</v>
      </c>
      <c r="D5000" t="inlineStr">
        <is>
          <t>JÄMTLANDS LÄN</t>
        </is>
      </c>
      <c r="E5000" t="inlineStr">
        <is>
          <t>STRÖMSUND</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27581-2022</t>
        </is>
      </c>
      <c r="B5001" s="1" t="n">
        <v>44742</v>
      </c>
      <c r="C5001" s="1" t="n">
        <v>45182</v>
      </c>
      <c r="D5001" t="inlineStr">
        <is>
          <t>JÄMTLANDS LÄN</t>
        </is>
      </c>
      <c r="E5001" t="inlineStr">
        <is>
          <t>ÖSTERSUND</t>
        </is>
      </c>
      <c r="F5001" t="inlineStr">
        <is>
          <t>SCA</t>
        </is>
      </c>
      <c r="G5001" t="n">
        <v>1.1</v>
      </c>
      <c r="H5001" t="n">
        <v>0</v>
      </c>
      <c r="I5001" t="n">
        <v>0</v>
      </c>
      <c r="J5001" t="n">
        <v>0</v>
      </c>
      <c r="K5001" t="n">
        <v>0</v>
      </c>
      <c r="L5001" t="n">
        <v>0</v>
      </c>
      <c r="M5001" t="n">
        <v>0</v>
      </c>
      <c r="N5001" t="n">
        <v>0</v>
      </c>
      <c r="O5001" t="n">
        <v>0</v>
      </c>
      <c r="P5001" t="n">
        <v>0</v>
      </c>
      <c r="Q5001" t="n">
        <v>0</v>
      </c>
      <c r="R5001" s="2" t="inlineStr"/>
    </row>
    <row r="5002" ht="15" customHeight="1">
      <c r="A5002" t="inlineStr">
        <is>
          <t>A 27596-2022</t>
        </is>
      </c>
      <c r="B5002" s="1" t="n">
        <v>44742</v>
      </c>
      <c r="C5002" s="1" t="n">
        <v>45182</v>
      </c>
      <c r="D5002" t="inlineStr">
        <is>
          <t>JÄMTLANDS LÄN</t>
        </is>
      </c>
      <c r="E5002" t="inlineStr">
        <is>
          <t>STRÖMSUND</t>
        </is>
      </c>
      <c r="F5002" t="inlineStr">
        <is>
          <t>SCA</t>
        </is>
      </c>
      <c r="G5002" t="n">
        <v>1.8</v>
      </c>
      <c r="H5002" t="n">
        <v>0</v>
      </c>
      <c r="I5002" t="n">
        <v>0</v>
      </c>
      <c r="J5002" t="n">
        <v>0</v>
      </c>
      <c r="K5002" t="n">
        <v>0</v>
      </c>
      <c r="L5002" t="n">
        <v>0</v>
      </c>
      <c r="M5002" t="n">
        <v>0</v>
      </c>
      <c r="N5002" t="n">
        <v>0</v>
      </c>
      <c r="O5002" t="n">
        <v>0</v>
      </c>
      <c r="P5002" t="n">
        <v>0</v>
      </c>
      <c r="Q5002" t="n">
        <v>0</v>
      </c>
      <c r="R5002" s="2" t="inlineStr"/>
    </row>
    <row r="5003" ht="15" customHeight="1">
      <c r="A5003" t="inlineStr">
        <is>
          <t>A 27343-2022</t>
        </is>
      </c>
      <c r="B5003" s="1" t="n">
        <v>44742</v>
      </c>
      <c r="C5003" s="1" t="n">
        <v>45182</v>
      </c>
      <c r="D5003" t="inlineStr">
        <is>
          <t>JÄMTLANDS LÄN</t>
        </is>
      </c>
      <c r="E5003" t="inlineStr">
        <is>
          <t>ÖSTERSUND</t>
        </is>
      </c>
      <c r="G5003" t="n">
        <v>1.5</v>
      </c>
      <c r="H5003" t="n">
        <v>0</v>
      </c>
      <c r="I5003" t="n">
        <v>0</v>
      </c>
      <c r="J5003" t="n">
        <v>0</v>
      </c>
      <c r="K5003" t="n">
        <v>0</v>
      </c>
      <c r="L5003" t="n">
        <v>0</v>
      </c>
      <c r="M5003" t="n">
        <v>0</v>
      </c>
      <c r="N5003" t="n">
        <v>0</v>
      </c>
      <c r="O5003" t="n">
        <v>0</v>
      </c>
      <c r="P5003" t="n">
        <v>0</v>
      </c>
      <c r="Q5003" t="n">
        <v>0</v>
      </c>
      <c r="R5003" s="2" t="inlineStr"/>
    </row>
    <row r="5004" ht="15" customHeight="1">
      <c r="A5004" t="inlineStr">
        <is>
          <t>A 27599-2022</t>
        </is>
      </c>
      <c r="B5004" s="1" t="n">
        <v>44742</v>
      </c>
      <c r="C5004" s="1" t="n">
        <v>45182</v>
      </c>
      <c r="D5004" t="inlineStr">
        <is>
          <t>JÄMTLANDS LÄN</t>
        </is>
      </c>
      <c r="E5004" t="inlineStr">
        <is>
          <t>BERG</t>
        </is>
      </c>
      <c r="F5004" t="inlineStr">
        <is>
          <t>SCA</t>
        </is>
      </c>
      <c r="G5004" t="n">
        <v>7</v>
      </c>
      <c r="H5004" t="n">
        <v>0</v>
      </c>
      <c r="I5004" t="n">
        <v>0</v>
      </c>
      <c r="J5004" t="n">
        <v>0</v>
      </c>
      <c r="K5004" t="n">
        <v>0</v>
      </c>
      <c r="L5004" t="n">
        <v>0</v>
      </c>
      <c r="M5004" t="n">
        <v>0</v>
      </c>
      <c r="N5004" t="n">
        <v>0</v>
      </c>
      <c r="O5004" t="n">
        <v>0</v>
      </c>
      <c r="P5004" t="n">
        <v>0</v>
      </c>
      <c r="Q5004" t="n">
        <v>0</v>
      </c>
      <c r="R5004" s="2" t="inlineStr"/>
    </row>
    <row r="5005" ht="15" customHeight="1">
      <c r="A5005" t="inlineStr">
        <is>
          <t>A 27483-2022</t>
        </is>
      </c>
      <c r="B5005" s="1" t="n">
        <v>44742</v>
      </c>
      <c r="C5005" s="1" t="n">
        <v>45182</v>
      </c>
      <c r="D5005" t="inlineStr">
        <is>
          <t>JÄMTLANDS LÄN</t>
        </is>
      </c>
      <c r="E5005" t="inlineStr">
        <is>
          <t>HÄRJEDALEN</t>
        </is>
      </c>
      <c r="F5005" t="inlineStr">
        <is>
          <t>Holmen skog AB</t>
        </is>
      </c>
      <c r="G5005" t="n">
        <v>0</v>
      </c>
      <c r="H5005" t="n">
        <v>0</v>
      </c>
      <c r="I5005" t="n">
        <v>0</v>
      </c>
      <c r="J5005" t="n">
        <v>0</v>
      </c>
      <c r="K5005" t="n">
        <v>0</v>
      </c>
      <c r="L5005" t="n">
        <v>0</v>
      </c>
      <c r="M5005" t="n">
        <v>0</v>
      </c>
      <c r="N5005" t="n">
        <v>0</v>
      </c>
      <c r="O5005" t="n">
        <v>0</v>
      </c>
      <c r="P5005" t="n">
        <v>0</v>
      </c>
      <c r="Q5005" t="n">
        <v>0</v>
      </c>
      <c r="R5005" s="2" t="inlineStr"/>
    </row>
    <row r="5006" ht="15" customHeight="1">
      <c r="A5006" t="inlineStr">
        <is>
          <t>A 27584-2022</t>
        </is>
      </c>
      <c r="B5006" s="1" t="n">
        <v>44742</v>
      </c>
      <c r="C5006" s="1" t="n">
        <v>45182</v>
      </c>
      <c r="D5006" t="inlineStr">
        <is>
          <t>JÄMTLANDS LÄN</t>
        </is>
      </c>
      <c r="E5006" t="inlineStr">
        <is>
          <t>STRÖMSUND</t>
        </is>
      </c>
      <c r="F5006" t="inlineStr">
        <is>
          <t>SCA</t>
        </is>
      </c>
      <c r="G5006" t="n">
        <v>0.5</v>
      </c>
      <c r="H5006" t="n">
        <v>0</v>
      </c>
      <c r="I5006" t="n">
        <v>0</v>
      </c>
      <c r="J5006" t="n">
        <v>0</v>
      </c>
      <c r="K5006" t="n">
        <v>0</v>
      </c>
      <c r="L5006" t="n">
        <v>0</v>
      </c>
      <c r="M5006" t="n">
        <v>0</v>
      </c>
      <c r="N5006" t="n">
        <v>0</v>
      </c>
      <c r="O5006" t="n">
        <v>0</v>
      </c>
      <c r="P5006" t="n">
        <v>0</v>
      </c>
      <c r="Q5006" t="n">
        <v>0</v>
      </c>
      <c r="R5006" s="2" t="inlineStr"/>
    </row>
    <row r="5007" ht="15" customHeight="1">
      <c r="A5007" t="inlineStr">
        <is>
          <t>A 27575-2022</t>
        </is>
      </c>
      <c r="B5007" s="1" t="n">
        <v>44742</v>
      </c>
      <c r="C5007" s="1" t="n">
        <v>45182</v>
      </c>
      <c r="D5007" t="inlineStr">
        <is>
          <t>JÄMTLANDS LÄN</t>
        </is>
      </c>
      <c r="E5007" t="inlineStr">
        <is>
          <t>ÖSTERSUND</t>
        </is>
      </c>
      <c r="F5007" t="inlineStr">
        <is>
          <t>SCA</t>
        </is>
      </c>
      <c r="G5007" t="n">
        <v>2.4</v>
      </c>
      <c r="H5007" t="n">
        <v>0</v>
      </c>
      <c r="I5007" t="n">
        <v>0</v>
      </c>
      <c r="J5007" t="n">
        <v>0</v>
      </c>
      <c r="K5007" t="n">
        <v>0</v>
      </c>
      <c r="L5007" t="n">
        <v>0</v>
      </c>
      <c r="M5007" t="n">
        <v>0</v>
      </c>
      <c r="N5007" t="n">
        <v>0</v>
      </c>
      <c r="O5007" t="n">
        <v>0</v>
      </c>
      <c r="P5007" t="n">
        <v>0</v>
      </c>
      <c r="Q5007" t="n">
        <v>0</v>
      </c>
      <c r="R5007" s="2" t="inlineStr"/>
      <c r="U5007">
        <f>HYPERLINK("https://klasma.github.io/Logging_OSTERSUND/knärot/A 27575-2022.png")</f>
        <v/>
      </c>
      <c r="V5007">
        <f>HYPERLINK("https://klasma.github.io/Logging_OSTERSUND/klagomål/A 27575-2022.docx")</f>
        <v/>
      </c>
      <c r="W5007">
        <f>HYPERLINK("https://klasma.github.io/Logging_OSTERSUND/klagomålsmail/A 27575-2022.docx")</f>
        <v/>
      </c>
      <c r="X5007">
        <f>HYPERLINK("https://klasma.github.io/Logging_OSTERSUND/tillsyn/A 27575-2022.docx")</f>
        <v/>
      </c>
      <c r="Y5007">
        <f>HYPERLINK("https://klasma.github.io/Logging_OSTERSUND/tillsynsmail/A 27575-2022.docx")</f>
        <v/>
      </c>
    </row>
    <row r="5008" ht="15" customHeight="1">
      <c r="A5008" t="inlineStr">
        <is>
          <t>A 27585-2022</t>
        </is>
      </c>
      <c r="B5008" s="1" t="n">
        <v>44742</v>
      </c>
      <c r="C5008" s="1" t="n">
        <v>45182</v>
      </c>
      <c r="D5008" t="inlineStr">
        <is>
          <t>JÄMTLANDS LÄN</t>
        </is>
      </c>
      <c r="E5008" t="inlineStr">
        <is>
          <t>STRÖMSUND</t>
        </is>
      </c>
      <c r="F5008" t="inlineStr">
        <is>
          <t>SCA</t>
        </is>
      </c>
      <c r="G5008" t="n">
        <v>3.2</v>
      </c>
      <c r="H5008" t="n">
        <v>0</v>
      </c>
      <c r="I5008" t="n">
        <v>0</v>
      </c>
      <c r="J5008" t="n">
        <v>0</v>
      </c>
      <c r="K5008" t="n">
        <v>0</v>
      </c>
      <c r="L5008" t="n">
        <v>0</v>
      </c>
      <c r="M5008" t="n">
        <v>0</v>
      </c>
      <c r="N5008" t="n">
        <v>0</v>
      </c>
      <c r="O5008" t="n">
        <v>0</v>
      </c>
      <c r="P5008" t="n">
        <v>0</v>
      </c>
      <c r="Q5008" t="n">
        <v>0</v>
      </c>
      <c r="R5008" s="2" t="inlineStr"/>
    </row>
    <row r="5009" ht="15" customHeight="1">
      <c r="A5009" t="inlineStr">
        <is>
          <t>A 27739-2022</t>
        </is>
      </c>
      <c r="B5009" s="1" t="n">
        <v>44743</v>
      </c>
      <c r="C5009" s="1" t="n">
        <v>45182</v>
      </c>
      <c r="D5009" t="inlineStr">
        <is>
          <t>JÄMTLANDS LÄN</t>
        </is>
      </c>
      <c r="E5009" t="inlineStr">
        <is>
          <t>STRÖMSUND</t>
        </is>
      </c>
      <c r="F5009" t="inlineStr">
        <is>
          <t>Holmen skog AB</t>
        </is>
      </c>
      <c r="G5009" t="n">
        <v>18.8</v>
      </c>
      <c r="H5009" t="n">
        <v>0</v>
      </c>
      <c r="I5009" t="n">
        <v>0</v>
      </c>
      <c r="J5009" t="n">
        <v>0</v>
      </c>
      <c r="K5009" t="n">
        <v>0</v>
      </c>
      <c r="L5009" t="n">
        <v>0</v>
      </c>
      <c r="M5009" t="n">
        <v>0</v>
      </c>
      <c r="N5009" t="n">
        <v>0</v>
      </c>
      <c r="O5009" t="n">
        <v>0</v>
      </c>
      <c r="P5009" t="n">
        <v>0</v>
      </c>
      <c r="Q5009" t="n">
        <v>0</v>
      </c>
      <c r="R5009" s="2" t="inlineStr"/>
    </row>
    <row r="5010" ht="15" customHeight="1">
      <c r="A5010" t="inlineStr">
        <is>
          <t>A 27649-2022</t>
        </is>
      </c>
      <c r="B5010" s="1" t="n">
        <v>44743</v>
      </c>
      <c r="C5010" s="1" t="n">
        <v>45182</v>
      </c>
      <c r="D5010" t="inlineStr">
        <is>
          <t>JÄMTLANDS LÄN</t>
        </is>
      </c>
      <c r="E5010" t="inlineStr">
        <is>
          <t>KROKOM</t>
        </is>
      </c>
      <c r="G5010" t="n">
        <v>4.3</v>
      </c>
      <c r="H5010" t="n">
        <v>0</v>
      </c>
      <c r="I5010" t="n">
        <v>0</v>
      </c>
      <c r="J5010" t="n">
        <v>0</v>
      </c>
      <c r="K5010" t="n">
        <v>0</v>
      </c>
      <c r="L5010" t="n">
        <v>0</v>
      </c>
      <c r="M5010" t="n">
        <v>0</v>
      </c>
      <c r="N5010" t="n">
        <v>0</v>
      </c>
      <c r="O5010" t="n">
        <v>0</v>
      </c>
      <c r="P5010" t="n">
        <v>0</v>
      </c>
      <c r="Q5010" t="n">
        <v>0</v>
      </c>
      <c r="R5010" s="2" t="inlineStr"/>
    </row>
    <row r="5011" ht="15" customHeight="1">
      <c r="A5011" t="inlineStr">
        <is>
          <t>A 27780-2022</t>
        </is>
      </c>
      <c r="B5011" s="1" t="n">
        <v>44743</v>
      </c>
      <c r="C5011" s="1" t="n">
        <v>45182</v>
      </c>
      <c r="D5011" t="inlineStr">
        <is>
          <t>JÄMTLANDS LÄN</t>
        </is>
      </c>
      <c r="E5011" t="inlineStr">
        <is>
          <t>ÖSTERSUND</t>
        </is>
      </c>
      <c r="G5011" t="n">
        <v>2.2</v>
      </c>
      <c r="H5011" t="n">
        <v>0</v>
      </c>
      <c r="I5011" t="n">
        <v>0</v>
      </c>
      <c r="J5011" t="n">
        <v>0</v>
      </c>
      <c r="K5011" t="n">
        <v>0</v>
      </c>
      <c r="L5011" t="n">
        <v>0</v>
      </c>
      <c r="M5011" t="n">
        <v>0</v>
      </c>
      <c r="N5011" t="n">
        <v>0</v>
      </c>
      <c r="O5011" t="n">
        <v>0</v>
      </c>
      <c r="P5011" t="n">
        <v>0</v>
      </c>
      <c r="Q5011" t="n">
        <v>0</v>
      </c>
      <c r="R5011" s="2" t="inlineStr"/>
    </row>
    <row r="5012" ht="15" customHeight="1">
      <c r="A5012" t="inlineStr">
        <is>
          <t>A 27805-2022</t>
        </is>
      </c>
      <c r="B5012" s="1" t="n">
        <v>44743</v>
      </c>
      <c r="C5012" s="1" t="n">
        <v>45182</v>
      </c>
      <c r="D5012" t="inlineStr">
        <is>
          <t>JÄMTLANDS LÄN</t>
        </is>
      </c>
      <c r="E5012" t="inlineStr">
        <is>
          <t>ÅRE</t>
        </is>
      </c>
      <c r="G5012" t="n">
        <v>106.9</v>
      </c>
      <c r="H5012" t="n">
        <v>0</v>
      </c>
      <c r="I5012" t="n">
        <v>0</v>
      </c>
      <c r="J5012" t="n">
        <v>0</v>
      </c>
      <c r="K5012" t="n">
        <v>0</v>
      </c>
      <c r="L5012" t="n">
        <v>0</v>
      </c>
      <c r="M5012" t="n">
        <v>0</v>
      </c>
      <c r="N5012" t="n">
        <v>0</v>
      </c>
      <c r="O5012" t="n">
        <v>0</v>
      </c>
      <c r="P5012" t="n">
        <v>0</v>
      </c>
      <c r="Q5012" t="n">
        <v>0</v>
      </c>
      <c r="R5012" s="2" t="inlineStr"/>
    </row>
    <row r="5013" ht="15" customHeight="1">
      <c r="A5013" t="inlineStr">
        <is>
          <t>A 27930-2022</t>
        </is>
      </c>
      <c r="B5013" s="1" t="n">
        <v>44743</v>
      </c>
      <c r="C5013" s="1" t="n">
        <v>45182</v>
      </c>
      <c r="D5013" t="inlineStr">
        <is>
          <t>JÄMTLANDS LÄN</t>
        </is>
      </c>
      <c r="E5013" t="inlineStr">
        <is>
          <t>STRÖMSUND</t>
        </is>
      </c>
      <c r="F5013" t="inlineStr">
        <is>
          <t>SCA</t>
        </is>
      </c>
      <c r="G5013" t="n">
        <v>2.4</v>
      </c>
      <c r="H5013" t="n">
        <v>0</v>
      </c>
      <c r="I5013" t="n">
        <v>0</v>
      </c>
      <c r="J5013" t="n">
        <v>0</v>
      </c>
      <c r="K5013" t="n">
        <v>0</v>
      </c>
      <c r="L5013" t="n">
        <v>0</v>
      </c>
      <c r="M5013" t="n">
        <v>0</v>
      </c>
      <c r="N5013" t="n">
        <v>0</v>
      </c>
      <c r="O5013" t="n">
        <v>0</v>
      </c>
      <c r="P5013" t="n">
        <v>0</v>
      </c>
      <c r="Q5013" t="n">
        <v>0</v>
      </c>
      <c r="R5013" s="2" t="inlineStr"/>
    </row>
    <row r="5014" ht="15" customHeight="1">
      <c r="A5014" t="inlineStr">
        <is>
          <t>A 27646-2022</t>
        </is>
      </c>
      <c r="B5014" s="1" t="n">
        <v>44743</v>
      </c>
      <c r="C5014" s="1" t="n">
        <v>45182</v>
      </c>
      <c r="D5014" t="inlineStr">
        <is>
          <t>JÄMTLANDS LÄN</t>
        </is>
      </c>
      <c r="E5014" t="inlineStr">
        <is>
          <t>ÖSTERSUND</t>
        </is>
      </c>
      <c r="G5014" t="n">
        <v>1.5</v>
      </c>
      <c r="H5014" t="n">
        <v>0</v>
      </c>
      <c r="I5014" t="n">
        <v>0</v>
      </c>
      <c r="J5014" t="n">
        <v>0</v>
      </c>
      <c r="K5014" t="n">
        <v>0</v>
      </c>
      <c r="L5014" t="n">
        <v>0</v>
      </c>
      <c r="M5014" t="n">
        <v>0</v>
      </c>
      <c r="N5014" t="n">
        <v>0</v>
      </c>
      <c r="O5014" t="n">
        <v>0</v>
      </c>
      <c r="P5014" t="n">
        <v>0</v>
      </c>
      <c r="Q5014" t="n">
        <v>0</v>
      </c>
      <c r="R5014" s="2" t="inlineStr"/>
    </row>
    <row r="5015" ht="15" customHeight="1">
      <c r="A5015" t="inlineStr">
        <is>
          <t>A 27670-2022</t>
        </is>
      </c>
      <c r="B5015" s="1" t="n">
        <v>44743</v>
      </c>
      <c r="C5015" s="1" t="n">
        <v>45182</v>
      </c>
      <c r="D5015" t="inlineStr">
        <is>
          <t>JÄMTLANDS LÄN</t>
        </is>
      </c>
      <c r="E5015" t="inlineStr">
        <is>
          <t>ÖSTERSUND</t>
        </is>
      </c>
      <c r="G5015" t="n">
        <v>6.9</v>
      </c>
      <c r="H5015" t="n">
        <v>0</v>
      </c>
      <c r="I5015" t="n">
        <v>0</v>
      </c>
      <c r="J5015" t="n">
        <v>0</v>
      </c>
      <c r="K5015" t="n">
        <v>0</v>
      </c>
      <c r="L5015" t="n">
        <v>0</v>
      </c>
      <c r="M5015" t="n">
        <v>0</v>
      </c>
      <c r="N5015" t="n">
        <v>0</v>
      </c>
      <c r="O5015" t="n">
        <v>0</v>
      </c>
      <c r="P5015" t="n">
        <v>0</v>
      </c>
      <c r="Q5015" t="n">
        <v>0</v>
      </c>
      <c r="R5015" s="2" t="inlineStr"/>
    </row>
    <row r="5016" ht="15" customHeight="1">
      <c r="A5016" t="inlineStr">
        <is>
          <t>A 27777-2022</t>
        </is>
      </c>
      <c r="B5016" s="1" t="n">
        <v>44743</v>
      </c>
      <c r="C5016" s="1" t="n">
        <v>45182</v>
      </c>
      <c r="D5016" t="inlineStr">
        <is>
          <t>JÄMTLANDS LÄN</t>
        </is>
      </c>
      <c r="E5016" t="inlineStr">
        <is>
          <t>RAGUNDA</t>
        </is>
      </c>
      <c r="G5016" t="n">
        <v>1.5</v>
      </c>
      <c r="H5016" t="n">
        <v>0</v>
      </c>
      <c r="I5016" t="n">
        <v>0</v>
      </c>
      <c r="J5016" t="n">
        <v>0</v>
      </c>
      <c r="K5016" t="n">
        <v>0</v>
      </c>
      <c r="L5016" t="n">
        <v>0</v>
      </c>
      <c r="M5016" t="n">
        <v>0</v>
      </c>
      <c r="N5016" t="n">
        <v>0</v>
      </c>
      <c r="O5016" t="n">
        <v>0</v>
      </c>
      <c r="P5016" t="n">
        <v>0</v>
      </c>
      <c r="Q5016" t="n">
        <v>0</v>
      </c>
      <c r="R5016" s="2" t="inlineStr"/>
    </row>
    <row r="5017" ht="15" customHeight="1">
      <c r="A5017" t="inlineStr">
        <is>
          <t>A 27924-2022</t>
        </is>
      </c>
      <c r="B5017" s="1" t="n">
        <v>44743</v>
      </c>
      <c r="C5017" s="1" t="n">
        <v>45182</v>
      </c>
      <c r="D5017" t="inlineStr">
        <is>
          <t>JÄMTLANDS LÄN</t>
        </is>
      </c>
      <c r="E5017" t="inlineStr">
        <is>
          <t>KROKOM</t>
        </is>
      </c>
      <c r="F5017" t="inlineStr">
        <is>
          <t>SCA</t>
        </is>
      </c>
      <c r="G5017" t="n">
        <v>5.3</v>
      </c>
      <c r="H5017" t="n">
        <v>0</v>
      </c>
      <c r="I5017" t="n">
        <v>0</v>
      </c>
      <c r="J5017" t="n">
        <v>0</v>
      </c>
      <c r="K5017" t="n">
        <v>0</v>
      </c>
      <c r="L5017" t="n">
        <v>0</v>
      </c>
      <c r="M5017" t="n">
        <v>0</v>
      </c>
      <c r="N5017" t="n">
        <v>0</v>
      </c>
      <c r="O5017" t="n">
        <v>0</v>
      </c>
      <c r="P5017" t="n">
        <v>0</v>
      </c>
      <c r="Q5017" t="n">
        <v>0</v>
      </c>
      <c r="R5017" s="2" t="inlineStr"/>
    </row>
    <row r="5018" ht="15" customHeight="1">
      <c r="A5018" t="inlineStr">
        <is>
          <t>A 28207-2022</t>
        </is>
      </c>
      <c r="B5018" s="1" t="n">
        <v>44746</v>
      </c>
      <c r="C5018" s="1" t="n">
        <v>45182</v>
      </c>
      <c r="D5018" t="inlineStr">
        <is>
          <t>JÄMTLANDS LÄN</t>
        </is>
      </c>
      <c r="E5018" t="inlineStr">
        <is>
          <t>STRÖMSUND</t>
        </is>
      </c>
      <c r="G5018" t="n">
        <v>7.5</v>
      </c>
      <c r="H5018" t="n">
        <v>0</v>
      </c>
      <c r="I5018" t="n">
        <v>0</v>
      </c>
      <c r="J5018" t="n">
        <v>0</v>
      </c>
      <c r="K5018" t="n">
        <v>0</v>
      </c>
      <c r="L5018" t="n">
        <v>0</v>
      </c>
      <c r="M5018" t="n">
        <v>0</v>
      </c>
      <c r="N5018" t="n">
        <v>0</v>
      </c>
      <c r="O5018" t="n">
        <v>0</v>
      </c>
      <c r="P5018" t="n">
        <v>0</v>
      </c>
      <c r="Q5018" t="n">
        <v>0</v>
      </c>
      <c r="R5018" s="2" t="inlineStr"/>
    </row>
    <row r="5019" ht="15" customHeight="1">
      <c r="A5019" t="inlineStr">
        <is>
          <t>A 28286-2022</t>
        </is>
      </c>
      <c r="B5019" s="1" t="n">
        <v>44746</v>
      </c>
      <c r="C5019" s="1" t="n">
        <v>45182</v>
      </c>
      <c r="D5019" t="inlineStr">
        <is>
          <t>JÄMTLANDS LÄN</t>
        </is>
      </c>
      <c r="E5019" t="inlineStr">
        <is>
          <t>STRÖMSUND</t>
        </is>
      </c>
      <c r="F5019" t="inlineStr">
        <is>
          <t>SCA</t>
        </is>
      </c>
      <c r="G5019" t="n">
        <v>4.9</v>
      </c>
      <c r="H5019" t="n">
        <v>0</v>
      </c>
      <c r="I5019" t="n">
        <v>0</v>
      </c>
      <c r="J5019" t="n">
        <v>0</v>
      </c>
      <c r="K5019" t="n">
        <v>0</v>
      </c>
      <c r="L5019" t="n">
        <v>0</v>
      </c>
      <c r="M5019" t="n">
        <v>0</v>
      </c>
      <c r="N5019" t="n">
        <v>0</v>
      </c>
      <c r="O5019" t="n">
        <v>0</v>
      </c>
      <c r="P5019" t="n">
        <v>0</v>
      </c>
      <c r="Q5019" t="n">
        <v>0</v>
      </c>
      <c r="R5019" s="2" t="inlineStr"/>
    </row>
    <row r="5020" ht="15" customHeight="1">
      <c r="A5020" t="inlineStr">
        <is>
          <t>A 28081-2022</t>
        </is>
      </c>
      <c r="B5020" s="1" t="n">
        <v>44746</v>
      </c>
      <c r="C5020" s="1" t="n">
        <v>45182</v>
      </c>
      <c r="D5020" t="inlineStr">
        <is>
          <t>JÄMTLANDS LÄN</t>
        </is>
      </c>
      <c r="E5020" t="inlineStr">
        <is>
          <t>RAGUNDA</t>
        </is>
      </c>
      <c r="G5020" t="n">
        <v>7</v>
      </c>
      <c r="H5020" t="n">
        <v>0</v>
      </c>
      <c r="I5020" t="n">
        <v>0</v>
      </c>
      <c r="J5020" t="n">
        <v>0</v>
      </c>
      <c r="K5020" t="n">
        <v>0</v>
      </c>
      <c r="L5020" t="n">
        <v>0</v>
      </c>
      <c r="M5020" t="n">
        <v>0</v>
      </c>
      <c r="N5020" t="n">
        <v>0</v>
      </c>
      <c r="O5020" t="n">
        <v>0</v>
      </c>
      <c r="P5020" t="n">
        <v>0</v>
      </c>
      <c r="Q5020" t="n">
        <v>0</v>
      </c>
      <c r="R5020" s="2" t="inlineStr"/>
    </row>
    <row r="5021" ht="15" customHeight="1">
      <c r="A5021" t="inlineStr">
        <is>
          <t>A 28283-2022</t>
        </is>
      </c>
      <c r="B5021" s="1" t="n">
        <v>44746</v>
      </c>
      <c r="C5021" s="1" t="n">
        <v>45182</v>
      </c>
      <c r="D5021" t="inlineStr">
        <is>
          <t>JÄMTLANDS LÄN</t>
        </is>
      </c>
      <c r="E5021" t="inlineStr">
        <is>
          <t>RAGUNDA</t>
        </is>
      </c>
      <c r="F5021" t="inlineStr">
        <is>
          <t>SCA</t>
        </is>
      </c>
      <c r="G5021" t="n">
        <v>4.6</v>
      </c>
      <c r="H5021" t="n">
        <v>0</v>
      </c>
      <c r="I5021" t="n">
        <v>0</v>
      </c>
      <c r="J5021" t="n">
        <v>0</v>
      </c>
      <c r="K5021" t="n">
        <v>0</v>
      </c>
      <c r="L5021" t="n">
        <v>0</v>
      </c>
      <c r="M5021" t="n">
        <v>0</v>
      </c>
      <c r="N5021" t="n">
        <v>0</v>
      </c>
      <c r="O5021" t="n">
        <v>0</v>
      </c>
      <c r="P5021" t="n">
        <v>0</v>
      </c>
      <c r="Q5021" t="n">
        <v>0</v>
      </c>
      <c r="R5021" s="2" t="inlineStr"/>
    </row>
    <row r="5022" ht="15" customHeight="1">
      <c r="A5022" t="inlineStr">
        <is>
          <t>A 28285-2022</t>
        </is>
      </c>
      <c r="B5022" s="1" t="n">
        <v>44746</v>
      </c>
      <c r="C5022" s="1" t="n">
        <v>45182</v>
      </c>
      <c r="D5022" t="inlineStr">
        <is>
          <t>JÄMTLANDS LÄN</t>
        </is>
      </c>
      <c r="E5022" t="inlineStr">
        <is>
          <t>BRÄCKE</t>
        </is>
      </c>
      <c r="F5022" t="inlineStr">
        <is>
          <t>SCA</t>
        </is>
      </c>
      <c r="G5022" t="n">
        <v>6.2</v>
      </c>
      <c r="H5022" t="n">
        <v>0</v>
      </c>
      <c r="I5022" t="n">
        <v>0</v>
      </c>
      <c r="J5022" t="n">
        <v>0</v>
      </c>
      <c r="K5022" t="n">
        <v>0</v>
      </c>
      <c r="L5022" t="n">
        <v>0</v>
      </c>
      <c r="M5022" t="n">
        <v>0</v>
      </c>
      <c r="N5022" t="n">
        <v>0</v>
      </c>
      <c r="O5022" t="n">
        <v>0</v>
      </c>
      <c r="P5022" t="n">
        <v>0</v>
      </c>
      <c r="Q5022" t="n">
        <v>0</v>
      </c>
      <c r="R5022" s="2" t="inlineStr"/>
    </row>
    <row r="5023" ht="15" customHeight="1">
      <c r="A5023" t="inlineStr">
        <is>
          <t>A 28493-2022</t>
        </is>
      </c>
      <c r="B5023" s="1" t="n">
        <v>44747</v>
      </c>
      <c r="C5023" s="1" t="n">
        <v>45182</v>
      </c>
      <c r="D5023" t="inlineStr">
        <is>
          <t>JÄMTLANDS LÄN</t>
        </is>
      </c>
      <c r="E5023" t="inlineStr">
        <is>
          <t>STRÖMSUND</t>
        </is>
      </c>
      <c r="F5023" t="inlineStr">
        <is>
          <t>SCA</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28483-2022</t>
        </is>
      </c>
      <c r="B5024" s="1" t="n">
        <v>44747</v>
      </c>
      <c r="C5024" s="1" t="n">
        <v>45182</v>
      </c>
      <c r="D5024" t="inlineStr">
        <is>
          <t>JÄMTLANDS LÄN</t>
        </is>
      </c>
      <c r="E5024" t="inlineStr">
        <is>
          <t>STRÖMSUND</t>
        </is>
      </c>
      <c r="F5024" t="inlineStr">
        <is>
          <t>SCA</t>
        </is>
      </c>
      <c r="G5024" t="n">
        <v>1.7</v>
      </c>
      <c r="H5024" t="n">
        <v>0</v>
      </c>
      <c r="I5024" t="n">
        <v>0</v>
      </c>
      <c r="J5024" t="n">
        <v>0</v>
      </c>
      <c r="K5024" t="n">
        <v>0</v>
      </c>
      <c r="L5024" t="n">
        <v>0</v>
      </c>
      <c r="M5024" t="n">
        <v>0</v>
      </c>
      <c r="N5024" t="n">
        <v>0</v>
      </c>
      <c r="O5024" t="n">
        <v>0</v>
      </c>
      <c r="P5024" t="n">
        <v>0</v>
      </c>
      <c r="Q5024" t="n">
        <v>0</v>
      </c>
      <c r="R5024" s="2" t="inlineStr"/>
    </row>
    <row r="5025" ht="15" customHeight="1">
      <c r="A5025" t="inlineStr">
        <is>
          <t>A 28500-2022</t>
        </is>
      </c>
      <c r="B5025" s="1" t="n">
        <v>44747</v>
      </c>
      <c r="C5025" s="1" t="n">
        <v>45182</v>
      </c>
      <c r="D5025" t="inlineStr">
        <is>
          <t>JÄMTLANDS LÄN</t>
        </is>
      </c>
      <c r="E5025" t="inlineStr">
        <is>
          <t>BERG</t>
        </is>
      </c>
      <c r="F5025" t="inlineStr">
        <is>
          <t>SCA</t>
        </is>
      </c>
      <c r="G5025" t="n">
        <v>2</v>
      </c>
      <c r="H5025" t="n">
        <v>0</v>
      </c>
      <c r="I5025" t="n">
        <v>0</v>
      </c>
      <c r="J5025" t="n">
        <v>0</v>
      </c>
      <c r="K5025" t="n">
        <v>0</v>
      </c>
      <c r="L5025" t="n">
        <v>0</v>
      </c>
      <c r="M5025" t="n">
        <v>0</v>
      </c>
      <c r="N5025" t="n">
        <v>0</v>
      </c>
      <c r="O5025" t="n">
        <v>0</v>
      </c>
      <c r="P5025" t="n">
        <v>0</v>
      </c>
      <c r="Q5025" t="n">
        <v>0</v>
      </c>
      <c r="R5025" s="2" t="inlineStr"/>
    </row>
    <row r="5026" ht="15" customHeight="1">
      <c r="A5026" t="inlineStr">
        <is>
          <t>A 28533-2022</t>
        </is>
      </c>
      <c r="B5026" s="1" t="n">
        <v>44748</v>
      </c>
      <c r="C5026" s="1" t="n">
        <v>45182</v>
      </c>
      <c r="D5026" t="inlineStr">
        <is>
          <t>JÄMTLANDS LÄN</t>
        </is>
      </c>
      <c r="E5026" t="inlineStr">
        <is>
          <t>STRÖMSUND</t>
        </is>
      </c>
      <c r="F5026" t="inlineStr">
        <is>
          <t>SCA</t>
        </is>
      </c>
      <c r="G5026" t="n">
        <v>4.6</v>
      </c>
      <c r="H5026" t="n">
        <v>0</v>
      </c>
      <c r="I5026" t="n">
        <v>0</v>
      </c>
      <c r="J5026" t="n">
        <v>0</v>
      </c>
      <c r="K5026" t="n">
        <v>0</v>
      </c>
      <c r="L5026" t="n">
        <v>0</v>
      </c>
      <c r="M5026" t="n">
        <v>0</v>
      </c>
      <c r="N5026" t="n">
        <v>0</v>
      </c>
      <c r="O5026" t="n">
        <v>0</v>
      </c>
      <c r="P5026" t="n">
        <v>0</v>
      </c>
      <c r="Q5026" t="n">
        <v>0</v>
      </c>
      <c r="R5026" s="2" t="inlineStr"/>
    </row>
    <row r="5027" ht="15" customHeight="1">
      <c r="A5027" t="inlineStr">
        <is>
          <t>A 28669-2022</t>
        </is>
      </c>
      <c r="B5027" s="1" t="n">
        <v>44748</v>
      </c>
      <c r="C5027" s="1" t="n">
        <v>45182</v>
      </c>
      <c r="D5027" t="inlineStr">
        <is>
          <t>JÄMTLANDS LÄN</t>
        </is>
      </c>
      <c r="E5027" t="inlineStr">
        <is>
          <t>KROKOM</t>
        </is>
      </c>
      <c r="G5027" t="n">
        <v>7.4</v>
      </c>
      <c r="H5027" t="n">
        <v>0</v>
      </c>
      <c r="I5027" t="n">
        <v>0</v>
      </c>
      <c r="J5027" t="n">
        <v>0</v>
      </c>
      <c r="K5027" t="n">
        <v>0</v>
      </c>
      <c r="L5027" t="n">
        <v>0</v>
      </c>
      <c r="M5027" t="n">
        <v>0</v>
      </c>
      <c r="N5027" t="n">
        <v>0</v>
      </c>
      <c r="O5027" t="n">
        <v>0</v>
      </c>
      <c r="P5027" t="n">
        <v>0</v>
      </c>
      <c r="Q5027" t="n">
        <v>0</v>
      </c>
      <c r="R5027" s="2" t="inlineStr"/>
    </row>
    <row r="5028" ht="15" customHeight="1">
      <c r="A5028" t="inlineStr">
        <is>
          <t>A 28734-2022</t>
        </is>
      </c>
      <c r="B5028" s="1" t="n">
        <v>44748</v>
      </c>
      <c r="C5028" s="1" t="n">
        <v>45182</v>
      </c>
      <c r="D5028" t="inlineStr">
        <is>
          <t>JÄMTLANDS LÄN</t>
        </is>
      </c>
      <c r="E5028" t="inlineStr">
        <is>
          <t>STRÖMSUND</t>
        </is>
      </c>
      <c r="F5028" t="inlineStr">
        <is>
          <t>SCA</t>
        </is>
      </c>
      <c r="G5028" t="n">
        <v>2.1</v>
      </c>
      <c r="H5028" t="n">
        <v>0</v>
      </c>
      <c r="I5028" t="n">
        <v>0</v>
      </c>
      <c r="J5028" t="n">
        <v>0</v>
      </c>
      <c r="K5028" t="n">
        <v>0</v>
      </c>
      <c r="L5028" t="n">
        <v>0</v>
      </c>
      <c r="M5028" t="n">
        <v>0</v>
      </c>
      <c r="N5028" t="n">
        <v>0</v>
      </c>
      <c r="O5028" t="n">
        <v>0</v>
      </c>
      <c r="P5028" t="n">
        <v>0</v>
      </c>
      <c r="Q5028" t="n">
        <v>0</v>
      </c>
      <c r="R5028" s="2" t="inlineStr"/>
    </row>
    <row r="5029" ht="15" customHeight="1">
      <c r="A5029" t="inlineStr">
        <is>
          <t>A 28520-2022</t>
        </is>
      </c>
      <c r="B5029" s="1" t="n">
        <v>44748</v>
      </c>
      <c r="C5029" s="1" t="n">
        <v>45182</v>
      </c>
      <c r="D5029" t="inlineStr">
        <is>
          <t>JÄMTLANDS LÄN</t>
        </is>
      </c>
      <c r="E5029" t="inlineStr">
        <is>
          <t>STRÖMSUND</t>
        </is>
      </c>
      <c r="F5029" t="inlineStr">
        <is>
          <t>SCA</t>
        </is>
      </c>
      <c r="G5029" t="n">
        <v>4.4</v>
      </c>
      <c r="H5029" t="n">
        <v>0</v>
      </c>
      <c r="I5029" t="n">
        <v>0</v>
      </c>
      <c r="J5029" t="n">
        <v>0</v>
      </c>
      <c r="K5029" t="n">
        <v>0</v>
      </c>
      <c r="L5029" t="n">
        <v>0</v>
      </c>
      <c r="M5029" t="n">
        <v>0</v>
      </c>
      <c r="N5029" t="n">
        <v>0</v>
      </c>
      <c r="O5029" t="n">
        <v>0</v>
      </c>
      <c r="P5029" t="n">
        <v>0</v>
      </c>
      <c r="Q5029" t="n">
        <v>0</v>
      </c>
      <c r="R5029" s="2" t="inlineStr"/>
    </row>
    <row r="5030" ht="15" customHeight="1">
      <c r="A5030" t="inlineStr">
        <is>
          <t>A 28771-2022</t>
        </is>
      </c>
      <c r="B5030" s="1" t="n">
        <v>44749</v>
      </c>
      <c r="C5030" s="1" t="n">
        <v>45182</v>
      </c>
      <c r="D5030" t="inlineStr">
        <is>
          <t>JÄMTLANDS LÄN</t>
        </is>
      </c>
      <c r="E5030" t="inlineStr">
        <is>
          <t>KROKOM</t>
        </is>
      </c>
      <c r="F5030" t="inlineStr">
        <is>
          <t>Övriga Aktiebolag</t>
        </is>
      </c>
      <c r="G5030" t="n">
        <v>1.8</v>
      </c>
      <c r="H5030" t="n">
        <v>0</v>
      </c>
      <c r="I5030" t="n">
        <v>0</v>
      </c>
      <c r="J5030" t="n">
        <v>0</v>
      </c>
      <c r="K5030" t="n">
        <v>0</v>
      </c>
      <c r="L5030" t="n">
        <v>0</v>
      </c>
      <c r="M5030" t="n">
        <v>0</v>
      </c>
      <c r="N5030" t="n">
        <v>0</v>
      </c>
      <c r="O5030" t="n">
        <v>0</v>
      </c>
      <c r="P5030" t="n">
        <v>0</v>
      </c>
      <c r="Q5030" t="n">
        <v>0</v>
      </c>
      <c r="R5030" s="2" t="inlineStr"/>
    </row>
    <row r="5031" ht="15" customHeight="1">
      <c r="A5031" t="inlineStr">
        <is>
          <t>A 28804-2022</t>
        </is>
      </c>
      <c r="B5031" s="1" t="n">
        <v>44749</v>
      </c>
      <c r="C5031" s="1" t="n">
        <v>45182</v>
      </c>
      <c r="D5031" t="inlineStr">
        <is>
          <t>JÄMTLANDS LÄN</t>
        </is>
      </c>
      <c r="E5031" t="inlineStr">
        <is>
          <t>KROKOM</t>
        </is>
      </c>
      <c r="G5031" t="n">
        <v>0.8</v>
      </c>
      <c r="H5031" t="n">
        <v>0</v>
      </c>
      <c r="I5031" t="n">
        <v>0</v>
      </c>
      <c r="J5031" t="n">
        <v>0</v>
      </c>
      <c r="K5031" t="n">
        <v>0</v>
      </c>
      <c r="L5031" t="n">
        <v>0</v>
      </c>
      <c r="M5031" t="n">
        <v>0</v>
      </c>
      <c r="N5031" t="n">
        <v>0</v>
      </c>
      <c r="O5031" t="n">
        <v>0</v>
      </c>
      <c r="P5031" t="n">
        <v>0</v>
      </c>
      <c r="Q5031" t="n">
        <v>0</v>
      </c>
      <c r="R5031" s="2" t="inlineStr"/>
    </row>
    <row r="5032" ht="15" customHeight="1">
      <c r="A5032" t="inlineStr">
        <is>
          <t>A 28856-2022</t>
        </is>
      </c>
      <c r="B5032" s="1" t="n">
        <v>44749</v>
      </c>
      <c r="C5032" s="1" t="n">
        <v>45182</v>
      </c>
      <c r="D5032" t="inlineStr">
        <is>
          <t>JÄMTLANDS LÄN</t>
        </is>
      </c>
      <c r="E5032" t="inlineStr">
        <is>
          <t>KROKOM</t>
        </is>
      </c>
      <c r="F5032" t="inlineStr">
        <is>
          <t>Övriga Aktiebolag</t>
        </is>
      </c>
      <c r="G5032" t="n">
        <v>0.8</v>
      </c>
      <c r="H5032" t="n">
        <v>0</v>
      </c>
      <c r="I5032" t="n">
        <v>0</v>
      </c>
      <c r="J5032" t="n">
        <v>0</v>
      </c>
      <c r="K5032" t="n">
        <v>0</v>
      </c>
      <c r="L5032" t="n">
        <v>0</v>
      </c>
      <c r="M5032" t="n">
        <v>0</v>
      </c>
      <c r="N5032" t="n">
        <v>0</v>
      </c>
      <c r="O5032" t="n">
        <v>0</v>
      </c>
      <c r="P5032" t="n">
        <v>0</v>
      </c>
      <c r="Q5032" t="n">
        <v>0</v>
      </c>
      <c r="R5032" s="2" t="inlineStr"/>
    </row>
    <row r="5033" ht="15" customHeight="1">
      <c r="A5033" t="inlineStr">
        <is>
          <t>A 28948-2022</t>
        </is>
      </c>
      <c r="B5033" s="1" t="n">
        <v>44749</v>
      </c>
      <c r="C5033" s="1" t="n">
        <v>45182</v>
      </c>
      <c r="D5033" t="inlineStr">
        <is>
          <t>JÄMTLANDS LÄN</t>
        </is>
      </c>
      <c r="E5033" t="inlineStr">
        <is>
          <t>STRÖMSUND</t>
        </is>
      </c>
      <c r="G5033" t="n">
        <v>6.8</v>
      </c>
      <c r="H5033" t="n">
        <v>0</v>
      </c>
      <c r="I5033" t="n">
        <v>0</v>
      </c>
      <c r="J5033" t="n">
        <v>0</v>
      </c>
      <c r="K5033" t="n">
        <v>0</v>
      </c>
      <c r="L5033" t="n">
        <v>0</v>
      </c>
      <c r="M5033" t="n">
        <v>0</v>
      </c>
      <c r="N5033" t="n">
        <v>0</v>
      </c>
      <c r="O5033" t="n">
        <v>0</v>
      </c>
      <c r="P5033" t="n">
        <v>0</v>
      </c>
      <c r="Q5033" t="n">
        <v>0</v>
      </c>
      <c r="R5033" s="2" t="inlineStr"/>
    </row>
    <row r="5034" ht="15" customHeight="1">
      <c r="A5034" t="inlineStr">
        <is>
          <t>A 28883-2022</t>
        </is>
      </c>
      <c r="B5034" s="1" t="n">
        <v>44749</v>
      </c>
      <c r="C5034" s="1" t="n">
        <v>45182</v>
      </c>
      <c r="D5034" t="inlineStr">
        <is>
          <t>JÄMTLANDS LÄN</t>
        </is>
      </c>
      <c r="E5034" t="inlineStr">
        <is>
          <t>KROKOM</t>
        </is>
      </c>
      <c r="F5034" t="inlineStr">
        <is>
          <t>Övriga Aktiebolag</t>
        </is>
      </c>
      <c r="G5034" t="n">
        <v>14.1</v>
      </c>
      <c r="H5034" t="n">
        <v>0</v>
      </c>
      <c r="I5034" t="n">
        <v>0</v>
      </c>
      <c r="J5034" t="n">
        <v>0</v>
      </c>
      <c r="K5034" t="n">
        <v>0</v>
      </c>
      <c r="L5034" t="n">
        <v>0</v>
      </c>
      <c r="M5034" t="n">
        <v>0</v>
      </c>
      <c r="N5034" t="n">
        <v>0</v>
      </c>
      <c r="O5034" t="n">
        <v>0</v>
      </c>
      <c r="P5034" t="n">
        <v>0</v>
      </c>
      <c r="Q5034" t="n">
        <v>0</v>
      </c>
      <c r="R5034" s="2" t="inlineStr"/>
    </row>
    <row r="5035" ht="15" customHeight="1">
      <c r="A5035" t="inlineStr">
        <is>
          <t>A 29043-2022</t>
        </is>
      </c>
      <c r="B5035" s="1" t="n">
        <v>44749</v>
      </c>
      <c r="C5035" s="1" t="n">
        <v>45182</v>
      </c>
      <c r="D5035" t="inlineStr">
        <is>
          <t>JÄMTLANDS LÄN</t>
        </is>
      </c>
      <c r="E5035" t="inlineStr">
        <is>
          <t>STRÖMSUND</t>
        </is>
      </c>
      <c r="F5035" t="inlineStr">
        <is>
          <t>SCA</t>
        </is>
      </c>
      <c r="G5035" t="n">
        <v>3.3</v>
      </c>
      <c r="H5035" t="n">
        <v>0</v>
      </c>
      <c r="I5035" t="n">
        <v>0</v>
      </c>
      <c r="J5035" t="n">
        <v>0</v>
      </c>
      <c r="K5035" t="n">
        <v>0</v>
      </c>
      <c r="L5035" t="n">
        <v>0</v>
      </c>
      <c r="M5035" t="n">
        <v>0</v>
      </c>
      <c r="N5035" t="n">
        <v>0</v>
      </c>
      <c r="O5035" t="n">
        <v>0</v>
      </c>
      <c r="P5035" t="n">
        <v>0</v>
      </c>
      <c r="Q5035" t="n">
        <v>0</v>
      </c>
      <c r="R5035" s="2" t="inlineStr"/>
    </row>
    <row r="5036" ht="15" customHeight="1">
      <c r="A5036" t="inlineStr">
        <is>
          <t>A 28869-2022</t>
        </is>
      </c>
      <c r="B5036" s="1" t="n">
        <v>44749</v>
      </c>
      <c r="C5036" s="1" t="n">
        <v>45182</v>
      </c>
      <c r="D5036" t="inlineStr">
        <is>
          <t>JÄMTLANDS LÄN</t>
        </is>
      </c>
      <c r="E5036" t="inlineStr">
        <is>
          <t>STRÖMSUND</t>
        </is>
      </c>
      <c r="G5036" t="n">
        <v>0.9</v>
      </c>
      <c r="H5036" t="n">
        <v>0</v>
      </c>
      <c r="I5036" t="n">
        <v>0</v>
      </c>
      <c r="J5036" t="n">
        <v>0</v>
      </c>
      <c r="K5036" t="n">
        <v>0</v>
      </c>
      <c r="L5036" t="n">
        <v>0</v>
      </c>
      <c r="M5036" t="n">
        <v>0</v>
      </c>
      <c r="N5036" t="n">
        <v>0</v>
      </c>
      <c r="O5036" t="n">
        <v>0</v>
      </c>
      <c r="P5036" t="n">
        <v>0</v>
      </c>
      <c r="Q5036" t="n">
        <v>0</v>
      </c>
      <c r="R5036" s="2" t="inlineStr"/>
    </row>
    <row r="5037" ht="15" customHeight="1">
      <c r="A5037" t="inlineStr">
        <is>
          <t>A 28776-2022</t>
        </is>
      </c>
      <c r="B5037" s="1" t="n">
        <v>44749</v>
      </c>
      <c r="C5037" s="1" t="n">
        <v>45182</v>
      </c>
      <c r="D5037" t="inlineStr">
        <is>
          <t>JÄMTLANDS LÄN</t>
        </is>
      </c>
      <c r="E5037" t="inlineStr">
        <is>
          <t>KROKOM</t>
        </is>
      </c>
      <c r="G5037" t="n">
        <v>1.2</v>
      </c>
      <c r="H5037" t="n">
        <v>0</v>
      </c>
      <c r="I5037" t="n">
        <v>0</v>
      </c>
      <c r="J5037" t="n">
        <v>0</v>
      </c>
      <c r="K5037" t="n">
        <v>0</v>
      </c>
      <c r="L5037" t="n">
        <v>0</v>
      </c>
      <c r="M5037" t="n">
        <v>0</v>
      </c>
      <c r="N5037" t="n">
        <v>0</v>
      </c>
      <c r="O5037" t="n">
        <v>0</v>
      </c>
      <c r="P5037" t="n">
        <v>0</v>
      </c>
      <c r="Q5037" t="n">
        <v>0</v>
      </c>
      <c r="R5037" s="2" t="inlineStr"/>
    </row>
    <row r="5038" ht="15" customHeight="1">
      <c r="A5038" t="inlineStr">
        <is>
          <t>A 29042-2022</t>
        </is>
      </c>
      <c r="B5038" s="1" t="n">
        <v>44749</v>
      </c>
      <c r="C5038" s="1" t="n">
        <v>45182</v>
      </c>
      <c r="D5038" t="inlineStr">
        <is>
          <t>JÄMTLANDS LÄN</t>
        </is>
      </c>
      <c r="E5038" t="inlineStr">
        <is>
          <t>STRÖMSUND</t>
        </is>
      </c>
      <c r="F5038" t="inlineStr">
        <is>
          <t>SCA</t>
        </is>
      </c>
      <c r="G5038" t="n">
        <v>1.4</v>
      </c>
      <c r="H5038" t="n">
        <v>0</v>
      </c>
      <c r="I5038" t="n">
        <v>0</v>
      </c>
      <c r="J5038" t="n">
        <v>0</v>
      </c>
      <c r="K5038" t="n">
        <v>0</v>
      </c>
      <c r="L5038" t="n">
        <v>0</v>
      </c>
      <c r="M5038" t="n">
        <v>0</v>
      </c>
      <c r="N5038" t="n">
        <v>0</v>
      </c>
      <c r="O5038" t="n">
        <v>0</v>
      </c>
      <c r="P5038" t="n">
        <v>0</v>
      </c>
      <c r="Q5038" t="n">
        <v>0</v>
      </c>
      <c r="R5038" s="2" t="inlineStr"/>
    </row>
    <row r="5039" ht="15" customHeight="1">
      <c r="A5039" t="inlineStr">
        <is>
          <t>A 29094-2022</t>
        </is>
      </c>
      <c r="B5039" s="1" t="n">
        <v>44750</v>
      </c>
      <c r="C5039" s="1" t="n">
        <v>45182</v>
      </c>
      <c r="D5039" t="inlineStr">
        <is>
          <t>JÄMTLANDS LÄN</t>
        </is>
      </c>
      <c r="E5039" t="inlineStr">
        <is>
          <t>ÖSTERSUND</t>
        </is>
      </c>
      <c r="G5039" t="n">
        <v>0.7</v>
      </c>
      <c r="H5039" t="n">
        <v>0</v>
      </c>
      <c r="I5039" t="n">
        <v>0</v>
      </c>
      <c r="J5039" t="n">
        <v>0</v>
      </c>
      <c r="K5039" t="n">
        <v>0</v>
      </c>
      <c r="L5039" t="n">
        <v>0</v>
      </c>
      <c r="M5039" t="n">
        <v>0</v>
      </c>
      <c r="N5039" t="n">
        <v>0</v>
      </c>
      <c r="O5039" t="n">
        <v>0</v>
      </c>
      <c r="P5039" t="n">
        <v>0</v>
      </c>
      <c r="Q5039" t="n">
        <v>0</v>
      </c>
      <c r="R5039" s="2" t="inlineStr"/>
    </row>
    <row r="5040" ht="15" customHeight="1">
      <c r="A5040" t="inlineStr">
        <is>
          <t>A 29128-2022</t>
        </is>
      </c>
      <c r="B5040" s="1" t="n">
        <v>44750</v>
      </c>
      <c r="C5040" s="1" t="n">
        <v>45182</v>
      </c>
      <c r="D5040" t="inlineStr">
        <is>
          <t>JÄMTLANDS LÄN</t>
        </is>
      </c>
      <c r="E5040" t="inlineStr">
        <is>
          <t>ÖSTERSUND</t>
        </is>
      </c>
      <c r="G5040" t="n">
        <v>3</v>
      </c>
      <c r="H5040" t="n">
        <v>0</v>
      </c>
      <c r="I5040" t="n">
        <v>0</v>
      </c>
      <c r="J5040" t="n">
        <v>0</v>
      </c>
      <c r="K5040" t="n">
        <v>0</v>
      </c>
      <c r="L5040" t="n">
        <v>0</v>
      </c>
      <c r="M5040" t="n">
        <v>0</v>
      </c>
      <c r="N5040" t="n">
        <v>0</v>
      </c>
      <c r="O5040" t="n">
        <v>0</v>
      </c>
      <c r="P5040" t="n">
        <v>0</v>
      </c>
      <c r="Q5040" t="n">
        <v>0</v>
      </c>
      <c r="R5040" s="2" t="inlineStr"/>
    </row>
    <row r="5041" ht="15" customHeight="1">
      <c r="A5041" t="inlineStr">
        <is>
          <t>A 29245-2022</t>
        </is>
      </c>
      <c r="B5041" s="1" t="n">
        <v>44750</v>
      </c>
      <c r="C5041" s="1" t="n">
        <v>45182</v>
      </c>
      <c r="D5041" t="inlineStr">
        <is>
          <t>JÄMTLANDS LÄN</t>
        </is>
      </c>
      <c r="E5041" t="inlineStr">
        <is>
          <t>KROKOM</t>
        </is>
      </c>
      <c r="G5041" t="n">
        <v>7.6</v>
      </c>
      <c r="H5041" t="n">
        <v>0</v>
      </c>
      <c r="I5041" t="n">
        <v>0</v>
      </c>
      <c r="J5041" t="n">
        <v>0</v>
      </c>
      <c r="K5041" t="n">
        <v>0</v>
      </c>
      <c r="L5041" t="n">
        <v>0</v>
      </c>
      <c r="M5041" t="n">
        <v>0</v>
      </c>
      <c r="N5041" t="n">
        <v>0</v>
      </c>
      <c r="O5041" t="n">
        <v>0</v>
      </c>
      <c r="P5041" t="n">
        <v>0</v>
      </c>
      <c r="Q5041" t="n">
        <v>0</v>
      </c>
      <c r="R5041" s="2" t="inlineStr"/>
    </row>
    <row r="5042" ht="15" customHeight="1">
      <c r="A5042" t="inlineStr">
        <is>
          <t>A 29276-2022</t>
        </is>
      </c>
      <c r="B5042" s="1" t="n">
        <v>44750</v>
      </c>
      <c r="C5042" s="1" t="n">
        <v>45182</v>
      </c>
      <c r="D5042" t="inlineStr">
        <is>
          <t>JÄMTLANDS LÄN</t>
        </is>
      </c>
      <c r="E5042" t="inlineStr">
        <is>
          <t>STRÖMSUND</t>
        </is>
      </c>
      <c r="G5042" t="n">
        <v>18.8</v>
      </c>
      <c r="H5042" t="n">
        <v>0</v>
      </c>
      <c r="I5042" t="n">
        <v>0</v>
      </c>
      <c r="J5042" t="n">
        <v>0</v>
      </c>
      <c r="K5042" t="n">
        <v>0</v>
      </c>
      <c r="L5042" t="n">
        <v>0</v>
      </c>
      <c r="M5042" t="n">
        <v>0</v>
      </c>
      <c r="N5042" t="n">
        <v>0</v>
      </c>
      <c r="O5042" t="n">
        <v>0</v>
      </c>
      <c r="P5042" t="n">
        <v>0</v>
      </c>
      <c r="Q5042" t="n">
        <v>0</v>
      </c>
      <c r="R5042" s="2" t="inlineStr"/>
    </row>
    <row r="5043" ht="15" customHeight="1">
      <c r="A5043" t="inlineStr">
        <is>
          <t>A 29238-2022</t>
        </is>
      </c>
      <c r="B5043" s="1" t="n">
        <v>44750</v>
      </c>
      <c r="C5043" s="1" t="n">
        <v>45182</v>
      </c>
      <c r="D5043" t="inlineStr">
        <is>
          <t>JÄMTLANDS LÄN</t>
        </is>
      </c>
      <c r="E5043" t="inlineStr">
        <is>
          <t>KROKOM</t>
        </is>
      </c>
      <c r="G5043" t="n">
        <v>1.5</v>
      </c>
      <c r="H5043" t="n">
        <v>0</v>
      </c>
      <c r="I5043" t="n">
        <v>0</v>
      </c>
      <c r="J5043" t="n">
        <v>0</v>
      </c>
      <c r="K5043" t="n">
        <v>0</v>
      </c>
      <c r="L5043" t="n">
        <v>0</v>
      </c>
      <c r="M5043" t="n">
        <v>0</v>
      </c>
      <c r="N5043" t="n">
        <v>0</v>
      </c>
      <c r="O5043" t="n">
        <v>0</v>
      </c>
      <c r="P5043" t="n">
        <v>0</v>
      </c>
      <c r="Q5043" t="n">
        <v>0</v>
      </c>
      <c r="R5043" s="2" t="inlineStr"/>
    </row>
    <row r="5044" ht="15" customHeight="1">
      <c r="A5044" t="inlineStr">
        <is>
          <t>A 29353-2022</t>
        </is>
      </c>
      <c r="B5044" s="1" t="n">
        <v>44750</v>
      </c>
      <c r="C5044" s="1" t="n">
        <v>45182</v>
      </c>
      <c r="D5044" t="inlineStr">
        <is>
          <t>JÄMTLANDS LÄN</t>
        </is>
      </c>
      <c r="E5044" t="inlineStr">
        <is>
          <t>STRÖMSUND</t>
        </is>
      </c>
      <c r="G5044" t="n">
        <v>7.4</v>
      </c>
      <c r="H5044" t="n">
        <v>0</v>
      </c>
      <c r="I5044" t="n">
        <v>0</v>
      </c>
      <c r="J5044" t="n">
        <v>0</v>
      </c>
      <c r="K5044" t="n">
        <v>0</v>
      </c>
      <c r="L5044" t="n">
        <v>0</v>
      </c>
      <c r="M5044" t="n">
        <v>0</v>
      </c>
      <c r="N5044" t="n">
        <v>0</v>
      </c>
      <c r="O5044" t="n">
        <v>0</v>
      </c>
      <c r="P5044" t="n">
        <v>0</v>
      </c>
      <c r="Q5044" t="n">
        <v>0</v>
      </c>
      <c r="R5044" s="2" t="inlineStr"/>
    </row>
    <row r="5045" ht="15" customHeight="1">
      <c r="A5045" t="inlineStr">
        <is>
          <t>A 29187-2022</t>
        </is>
      </c>
      <c r="B5045" s="1" t="n">
        <v>44750</v>
      </c>
      <c r="C5045" s="1" t="n">
        <v>45182</v>
      </c>
      <c r="D5045" t="inlineStr">
        <is>
          <t>JÄMTLANDS LÄN</t>
        </is>
      </c>
      <c r="E5045" t="inlineStr">
        <is>
          <t>KROKOM</t>
        </is>
      </c>
      <c r="F5045" t="inlineStr">
        <is>
          <t>Övriga Aktiebolag</t>
        </is>
      </c>
      <c r="G5045" t="n">
        <v>20.4</v>
      </c>
      <c r="H5045" t="n">
        <v>0</v>
      </c>
      <c r="I5045" t="n">
        <v>0</v>
      </c>
      <c r="J5045" t="n">
        <v>0</v>
      </c>
      <c r="K5045" t="n">
        <v>0</v>
      </c>
      <c r="L5045" t="n">
        <v>0</v>
      </c>
      <c r="M5045" t="n">
        <v>0</v>
      </c>
      <c r="N5045" t="n">
        <v>0</v>
      </c>
      <c r="O5045" t="n">
        <v>0</v>
      </c>
      <c r="P5045" t="n">
        <v>0</v>
      </c>
      <c r="Q5045" t="n">
        <v>0</v>
      </c>
      <c r="R5045" s="2" t="inlineStr"/>
    </row>
    <row r="5046" ht="15" customHeight="1">
      <c r="A5046" t="inlineStr">
        <is>
          <t>A 29385-2022</t>
        </is>
      </c>
      <c r="B5046" s="1" t="n">
        <v>44753</v>
      </c>
      <c r="C5046" s="1" t="n">
        <v>45182</v>
      </c>
      <c r="D5046" t="inlineStr">
        <is>
          <t>JÄMTLANDS LÄN</t>
        </is>
      </c>
      <c r="E5046" t="inlineStr">
        <is>
          <t>ÅRE</t>
        </is>
      </c>
      <c r="F5046" t="inlineStr">
        <is>
          <t>Sveaskog</t>
        </is>
      </c>
      <c r="G5046" t="n">
        <v>6.4</v>
      </c>
      <c r="H5046" t="n">
        <v>0</v>
      </c>
      <c r="I5046" t="n">
        <v>0</v>
      </c>
      <c r="J5046" t="n">
        <v>0</v>
      </c>
      <c r="K5046" t="n">
        <v>0</v>
      </c>
      <c r="L5046" t="n">
        <v>0</v>
      </c>
      <c r="M5046" t="n">
        <v>0</v>
      </c>
      <c r="N5046" t="n">
        <v>0</v>
      </c>
      <c r="O5046" t="n">
        <v>0</v>
      </c>
      <c r="P5046" t="n">
        <v>0</v>
      </c>
      <c r="Q5046" t="n">
        <v>0</v>
      </c>
      <c r="R5046" s="2" t="inlineStr"/>
    </row>
    <row r="5047" ht="15" customHeight="1">
      <c r="A5047" t="inlineStr">
        <is>
          <t>A 29455-2022</t>
        </is>
      </c>
      <c r="B5047" s="1" t="n">
        <v>44753</v>
      </c>
      <c r="C5047" s="1" t="n">
        <v>45182</v>
      </c>
      <c r="D5047" t="inlineStr">
        <is>
          <t>JÄMTLANDS LÄN</t>
        </is>
      </c>
      <c r="E5047" t="inlineStr">
        <is>
          <t>HÄRJEDALEN</t>
        </is>
      </c>
      <c r="F5047" t="inlineStr">
        <is>
          <t>Bergvik skog väst AB</t>
        </is>
      </c>
      <c r="G5047" t="n">
        <v>1.7</v>
      </c>
      <c r="H5047" t="n">
        <v>0</v>
      </c>
      <c r="I5047" t="n">
        <v>0</v>
      </c>
      <c r="J5047" t="n">
        <v>0</v>
      </c>
      <c r="K5047" t="n">
        <v>0</v>
      </c>
      <c r="L5047" t="n">
        <v>0</v>
      </c>
      <c r="M5047" t="n">
        <v>0</v>
      </c>
      <c r="N5047" t="n">
        <v>0</v>
      </c>
      <c r="O5047" t="n">
        <v>0</v>
      </c>
      <c r="P5047" t="n">
        <v>0</v>
      </c>
      <c r="Q5047" t="n">
        <v>0</v>
      </c>
      <c r="R5047" s="2" t="inlineStr"/>
    </row>
    <row r="5048" ht="15" customHeight="1">
      <c r="A5048" t="inlineStr">
        <is>
          <t>A 29545-2022</t>
        </is>
      </c>
      <c r="B5048" s="1" t="n">
        <v>44753</v>
      </c>
      <c r="C5048" s="1" t="n">
        <v>45182</v>
      </c>
      <c r="D5048" t="inlineStr">
        <is>
          <t>JÄMTLANDS LÄN</t>
        </is>
      </c>
      <c r="E5048" t="inlineStr">
        <is>
          <t>STRÖMSUND</t>
        </is>
      </c>
      <c r="F5048" t="inlineStr">
        <is>
          <t>SCA</t>
        </is>
      </c>
      <c r="G5048" t="n">
        <v>7.3</v>
      </c>
      <c r="H5048" t="n">
        <v>0</v>
      </c>
      <c r="I5048" t="n">
        <v>0</v>
      </c>
      <c r="J5048" t="n">
        <v>0</v>
      </c>
      <c r="K5048" t="n">
        <v>0</v>
      </c>
      <c r="L5048" t="n">
        <v>0</v>
      </c>
      <c r="M5048" t="n">
        <v>0</v>
      </c>
      <c r="N5048" t="n">
        <v>0</v>
      </c>
      <c r="O5048" t="n">
        <v>0</v>
      </c>
      <c r="P5048" t="n">
        <v>0</v>
      </c>
      <c r="Q5048" t="n">
        <v>0</v>
      </c>
      <c r="R5048" s="2" t="inlineStr"/>
    </row>
    <row r="5049" ht="15" customHeight="1">
      <c r="A5049" t="inlineStr">
        <is>
          <t>A 29498-2022</t>
        </is>
      </c>
      <c r="B5049" s="1" t="n">
        <v>44753</v>
      </c>
      <c r="C5049" s="1" t="n">
        <v>45182</v>
      </c>
      <c r="D5049" t="inlineStr">
        <is>
          <t>JÄMTLANDS LÄN</t>
        </is>
      </c>
      <c r="E5049" t="inlineStr">
        <is>
          <t>BERG</t>
        </is>
      </c>
      <c r="F5049" t="inlineStr">
        <is>
          <t>Sveaskog</t>
        </is>
      </c>
      <c r="G5049" t="n">
        <v>4.8</v>
      </c>
      <c r="H5049" t="n">
        <v>0</v>
      </c>
      <c r="I5049" t="n">
        <v>0</v>
      </c>
      <c r="J5049" t="n">
        <v>0</v>
      </c>
      <c r="K5049" t="n">
        <v>0</v>
      </c>
      <c r="L5049" t="n">
        <v>0</v>
      </c>
      <c r="M5049" t="n">
        <v>0</v>
      </c>
      <c r="N5049" t="n">
        <v>0</v>
      </c>
      <c r="O5049" t="n">
        <v>0</v>
      </c>
      <c r="P5049" t="n">
        <v>0</v>
      </c>
      <c r="Q5049" t="n">
        <v>0</v>
      </c>
      <c r="R5049" s="2" t="inlineStr"/>
    </row>
    <row r="5050" ht="15" customHeight="1">
      <c r="A5050" t="inlineStr">
        <is>
          <t>A 29542-2022</t>
        </is>
      </c>
      <c r="B5050" s="1" t="n">
        <v>44753</v>
      </c>
      <c r="C5050" s="1" t="n">
        <v>45182</v>
      </c>
      <c r="D5050" t="inlineStr">
        <is>
          <t>JÄMTLANDS LÄN</t>
        </is>
      </c>
      <c r="E5050" t="inlineStr">
        <is>
          <t>STRÖMSUND</t>
        </is>
      </c>
      <c r="F5050" t="inlineStr">
        <is>
          <t>SCA</t>
        </is>
      </c>
      <c r="G5050" t="n">
        <v>4</v>
      </c>
      <c r="H5050" t="n">
        <v>0</v>
      </c>
      <c r="I5050" t="n">
        <v>0</v>
      </c>
      <c r="J5050" t="n">
        <v>0</v>
      </c>
      <c r="K5050" t="n">
        <v>0</v>
      </c>
      <c r="L5050" t="n">
        <v>0</v>
      </c>
      <c r="M5050" t="n">
        <v>0</v>
      </c>
      <c r="N5050" t="n">
        <v>0</v>
      </c>
      <c r="O5050" t="n">
        <v>0</v>
      </c>
      <c r="P5050" t="n">
        <v>0</v>
      </c>
      <c r="Q5050" t="n">
        <v>0</v>
      </c>
      <c r="R5050" s="2" t="inlineStr"/>
    </row>
    <row r="5051" ht="15" customHeight="1">
      <c r="A5051" t="inlineStr">
        <is>
          <t>A 29383-2022</t>
        </is>
      </c>
      <c r="B5051" s="1" t="n">
        <v>44753</v>
      </c>
      <c r="C5051" s="1" t="n">
        <v>45182</v>
      </c>
      <c r="D5051" t="inlineStr">
        <is>
          <t>JÄMTLANDS LÄN</t>
        </is>
      </c>
      <c r="E5051" t="inlineStr">
        <is>
          <t>ÅRE</t>
        </is>
      </c>
      <c r="F5051" t="inlineStr">
        <is>
          <t>Sveaskog</t>
        </is>
      </c>
      <c r="G5051" t="n">
        <v>1.5</v>
      </c>
      <c r="H5051" t="n">
        <v>0</v>
      </c>
      <c r="I5051" t="n">
        <v>0</v>
      </c>
      <c r="J5051" t="n">
        <v>0</v>
      </c>
      <c r="K5051" t="n">
        <v>0</v>
      </c>
      <c r="L5051" t="n">
        <v>0</v>
      </c>
      <c r="M5051" t="n">
        <v>0</v>
      </c>
      <c r="N5051" t="n">
        <v>0</v>
      </c>
      <c r="O5051" t="n">
        <v>0</v>
      </c>
      <c r="P5051" t="n">
        <v>0</v>
      </c>
      <c r="Q5051" t="n">
        <v>0</v>
      </c>
      <c r="R5051" s="2" t="inlineStr"/>
    </row>
    <row r="5052" ht="15" customHeight="1">
      <c r="A5052" t="inlineStr">
        <is>
          <t>A 29679-2022</t>
        </is>
      </c>
      <c r="B5052" s="1" t="n">
        <v>44754</v>
      </c>
      <c r="C5052" s="1" t="n">
        <v>45182</v>
      </c>
      <c r="D5052" t="inlineStr">
        <is>
          <t>JÄMTLANDS LÄN</t>
        </is>
      </c>
      <c r="E5052" t="inlineStr">
        <is>
          <t>STRÖMSUND</t>
        </is>
      </c>
      <c r="F5052" t="inlineStr">
        <is>
          <t>SCA</t>
        </is>
      </c>
      <c r="G5052" t="n">
        <v>19.2</v>
      </c>
      <c r="H5052" t="n">
        <v>0</v>
      </c>
      <c r="I5052" t="n">
        <v>0</v>
      </c>
      <c r="J5052" t="n">
        <v>0</v>
      </c>
      <c r="K5052" t="n">
        <v>0</v>
      </c>
      <c r="L5052" t="n">
        <v>0</v>
      </c>
      <c r="M5052" t="n">
        <v>0</v>
      </c>
      <c r="N5052" t="n">
        <v>0</v>
      </c>
      <c r="O5052" t="n">
        <v>0</v>
      </c>
      <c r="P5052" t="n">
        <v>0</v>
      </c>
      <c r="Q5052" t="n">
        <v>0</v>
      </c>
      <c r="R5052" s="2" t="inlineStr"/>
    </row>
    <row r="5053" ht="15" customHeight="1">
      <c r="A5053" t="inlineStr">
        <is>
          <t>A 29550-2022</t>
        </is>
      </c>
      <c r="B5053" s="1" t="n">
        <v>44754</v>
      </c>
      <c r="C5053" s="1" t="n">
        <v>45182</v>
      </c>
      <c r="D5053" t="inlineStr">
        <is>
          <t>JÄMTLANDS LÄN</t>
        </is>
      </c>
      <c r="E5053" t="inlineStr">
        <is>
          <t>STRÖMSUND</t>
        </is>
      </c>
      <c r="F5053" t="inlineStr">
        <is>
          <t>Holmen skog AB</t>
        </is>
      </c>
      <c r="G5053" t="n">
        <v>1.8</v>
      </c>
      <c r="H5053" t="n">
        <v>0</v>
      </c>
      <c r="I5053" t="n">
        <v>0</v>
      </c>
      <c r="J5053" t="n">
        <v>0</v>
      </c>
      <c r="K5053" t="n">
        <v>0</v>
      </c>
      <c r="L5053" t="n">
        <v>0</v>
      </c>
      <c r="M5053" t="n">
        <v>0</v>
      </c>
      <c r="N5053" t="n">
        <v>0</v>
      </c>
      <c r="O5053" t="n">
        <v>0</v>
      </c>
      <c r="P5053" t="n">
        <v>0</v>
      </c>
      <c r="Q5053" t="n">
        <v>0</v>
      </c>
      <c r="R5053" s="2" t="inlineStr"/>
    </row>
    <row r="5054" ht="15" customHeight="1">
      <c r="A5054" t="inlineStr">
        <is>
          <t>A 29819-2022</t>
        </is>
      </c>
      <c r="B5054" s="1" t="n">
        <v>44755</v>
      </c>
      <c r="C5054" s="1" t="n">
        <v>45182</v>
      </c>
      <c r="D5054" t="inlineStr">
        <is>
          <t>JÄMTLANDS LÄN</t>
        </is>
      </c>
      <c r="E5054" t="inlineStr">
        <is>
          <t>BRÄCKE</t>
        </is>
      </c>
      <c r="F5054" t="inlineStr">
        <is>
          <t>SCA</t>
        </is>
      </c>
      <c r="G5054" t="n">
        <v>28.8</v>
      </c>
      <c r="H5054" t="n">
        <v>0</v>
      </c>
      <c r="I5054" t="n">
        <v>0</v>
      </c>
      <c r="J5054" t="n">
        <v>0</v>
      </c>
      <c r="K5054" t="n">
        <v>0</v>
      </c>
      <c r="L5054" t="n">
        <v>0</v>
      </c>
      <c r="M5054" t="n">
        <v>0</v>
      </c>
      <c r="N5054" t="n">
        <v>0</v>
      </c>
      <c r="O5054" t="n">
        <v>0</v>
      </c>
      <c r="P5054" t="n">
        <v>0</v>
      </c>
      <c r="Q5054" t="n">
        <v>0</v>
      </c>
      <c r="R5054" s="2" t="inlineStr"/>
    </row>
    <row r="5055" ht="15" customHeight="1">
      <c r="A5055" t="inlineStr">
        <is>
          <t>A 29829-2022</t>
        </is>
      </c>
      <c r="B5055" s="1" t="n">
        <v>44755</v>
      </c>
      <c r="C5055" s="1" t="n">
        <v>45182</v>
      </c>
      <c r="D5055" t="inlineStr">
        <is>
          <t>JÄMTLANDS LÄN</t>
        </is>
      </c>
      <c r="E5055" t="inlineStr">
        <is>
          <t>ÖSTERSUND</t>
        </is>
      </c>
      <c r="F5055" t="inlineStr">
        <is>
          <t>SCA</t>
        </is>
      </c>
      <c r="G5055" t="n">
        <v>1.4</v>
      </c>
      <c r="H5055" t="n">
        <v>0</v>
      </c>
      <c r="I5055" t="n">
        <v>0</v>
      </c>
      <c r="J5055" t="n">
        <v>0</v>
      </c>
      <c r="K5055" t="n">
        <v>0</v>
      </c>
      <c r="L5055" t="n">
        <v>0</v>
      </c>
      <c r="M5055" t="n">
        <v>0</v>
      </c>
      <c r="N5055" t="n">
        <v>0</v>
      </c>
      <c r="O5055" t="n">
        <v>0</v>
      </c>
      <c r="P5055" t="n">
        <v>0</v>
      </c>
      <c r="Q5055" t="n">
        <v>0</v>
      </c>
      <c r="R5055" s="2" t="inlineStr"/>
    </row>
    <row r="5056" ht="15" customHeight="1">
      <c r="A5056" t="inlineStr">
        <is>
          <t>A 29828-2022</t>
        </is>
      </c>
      <c r="B5056" s="1" t="n">
        <v>44755</v>
      </c>
      <c r="C5056" s="1" t="n">
        <v>45182</v>
      </c>
      <c r="D5056" t="inlineStr">
        <is>
          <t>JÄMTLANDS LÄN</t>
        </is>
      </c>
      <c r="E5056" t="inlineStr">
        <is>
          <t>ÖSTERSUND</t>
        </is>
      </c>
      <c r="F5056" t="inlineStr">
        <is>
          <t>SCA</t>
        </is>
      </c>
      <c r="G5056" t="n">
        <v>0.8</v>
      </c>
      <c r="H5056" t="n">
        <v>0</v>
      </c>
      <c r="I5056" t="n">
        <v>0</v>
      </c>
      <c r="J5056" t="n">
        <v>0</v>
      </c>
      <c r="K5056" t="n">
        <v>0</v>
      </c>
      <c r="L5056" t="n">
        <v>0</v>
      </c>
      <c r="M5056" t="n">
        <v>0</v>
      </c>
      <c r="N5056" t="n">
        <v>0</v>
      </c>
      <c r="O5056" t="n">
        <v>0</v>
      </c>
      <c r="P5056" t="n">
        <v>0</v>
      </c>
      <c r="Q5056" t="n">
        <v>0</v>
      </c>
      <c r="R5056" s="2" t="inlineStr"/>
    </row>
    <row r="5057" ht="15" customHeight="1">
      <c r="A5057" t="inlineStr">
        <is>
          <t>A 29830-2022</t>
        </is>
      </c>
      <c r="B5057" s="1" t="n">
        <v>44755</v>
      </c>
      <c r="C5057" s="1" t="n">
        <v>45182</v>
      </c>
      <c r="D5057" t="inlineStr">
        <is>
          <t>JÄMTLANDS LÄN</t>
        </is>
      </c>
      <c r="E5057" t="inlineStr">
        <is>
          <t>STRÖMSUND</t>
        </is>
      </c>
      <c r="F5057" t="inlineStr">
        <is>
          <t>SCA</t>
        </is>
      </c>
      <c r="G5057" t="n">
        <v>1.9</v>
      </c>
      <c r="H5057" t="n">
        <v>0</v>
      </c>
      <c r="I5057" t="n">
        <v>0</v>
      </c>
      <c r="J5057" t="n">
        <v>0</v>
      </c>
      <c r="K5057" t="n">
        <v>0</v>
      </c>
      <c r="L5057" t="n">
        <v>0</v>
      </c>
      <c r="M5057" t="n">
        <v>0</v>
      </c>
      <c r="N5057" t="n">
        <v>0</v>
      </c>
      <c r="O5057" t="n">
        <v>0</v>
      </c>
      <c r="P5057" t="n">
        <v>0</v>
      </c>
      <c r="Q5057" t="n">
        <v>0</v>
      </c>
      <c r="R5057" s="2" t="inlineStr"/>
    </row>
    <row r="5058" ht="15" customHeight="1">
      <c r="A5058" t="inlineStr">
        <is>
          <t>A 30036-2022</t>
        </is>
      </c>
      <c r="B5058" s="1" t="n">
        <v>44756</v>
      </c>
      <c r="C5058" s="1" t="n">
        <v>45182</v>
      </c>
      <c r="D5058" t="inlineStr">
        <is>
          <t>JÄMTLANDS LÄN</t>
        </is>
      </c>
      <c r="E5058" t="inlineStr">
        <is>
          <t>STRÖMSUND</t>
        </is>
      </c>
      <c r="F5058" t="inlineStr">
        <is>
          <t>SCA</t>
        </is>
      </c>
      <c r="G5058" t="n">
        <v>6.5</v>
      </c>
      <c r="H5058" t="n">
        <v>0</v>
      </c>
      <c r="I5058" t="n">
        <v>0</v>
      </c>
      <c r="J5058" t="n">
        <v>0</v>
      </c>
      <c r="K5058" t="n">
        <v>0</v>
      </c>
      <c r="L5058" t="n">
        <v>0</v>
      </c>
      <c r="M5058" t="n">
        <v>0</v>
      </c>
      <c r="N5058" t="n">
        <v>0</v>
      </c>
      <c r="O5058" t="n">
        <v>0</v>
      </c>
      <c r="P5058" t="n">
        <v>0</v>
      </c>
      <c r="Q5058" t="n">
        <v>0</v>
      </c>
      <c r="R5058" s="2" t="inlineStr"/>
    </row>
    <row r="5059" ht="15" customHeight="1">
      <c r="A5059" t="inlineStr">
        <is>
          <t>A 30022-2022</t>
        </is>
      </c>
      <c r="B5059" s="1" t="n">
        <v>44756</v>
      </c>
      <c r="C5059" s="1" t="n">
        <v>45182</v>
      </c>
      <c r="D5059" t="inlineStr">
        <is>
          <t>JÄMTLANDS LÄN</t>
        </is>
      </c>
      <c r="E5059" t="inlineStr">
        <is>
          <t>STRÖMSUND</t>
        </is>
      </c>
      <c r="F5059" t="inlineStr">
        <is>
          <t>SCA</t>
        </is>
      </c>
      <c r="G5059" t="n">
        <v>2.5</v>
      </c>
      <c r="H5059" t="n">
        <v>0</v>
      </c>
      <c r="I5059" t="n">
        <v>0</v>
      </c>
      <c r="J5059" t="n">
        <v>0</v>
      </c>
      <c r="K5059" t="n">
        <v>0</v>
      </c>
      <c r="L5059" t="n">
        <v>0</v>
      </c>
      <c r="M5059" t="n">
        <v>0</v>
      </c>
      <c r="N5059" t="n">
        <v>0</v>
      </c>
      <c r="O5059" t="n">
        <v>0</v>
      </c>
      <c r="P5059" t="n">
        <v>0</v>
      </c>
      <c r="Q5059" t="n">
        <v>0</v>
      </c>
      <c r="R5059" s="2" t="inlineStr"/>
    </row>
    <row r="5060" ht="15" customHeight="1">
      <c r="A5060" t="inlineStr">
        <is>
          <t>A 30044-2022</t>
        </is>
      </c>
      <c r="B5060" s="1" t="n">
        <v>44756</v>
      </c>
      <c r="C5060" s="1" t="n">
        <v>45182</v>
      </c>
      <c r="D5060" t="inlineStr">
        <is>
          <t>JÄMTLANDS LÄN</t>
        </is>
      </c>
      <c r="E5060" t="inlineStr">
        <is>
          <t>STRÖMSUND</t>
        </is>
      </c>
      <c r="F5060" t="inlineStr">
        <is>
          <t>SCA</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30086-2022</t>
        </is>
      </c>
      <c r="B5061" s="1" t="n">
        <v>44757</v>
      </c>
      <c r="C5061" s="1" t="n">
        <v>45182</v>
      </c>
      <c r="D5061" t="inlineStr">
        <is>
          <t>JÄMTLANDS LÄN</t>
        </is>
      </c>
      <c r="E5061" t="inlineStr">
        <is>
          <t>STRÖMSUND</t>
        </is>
      </c>
      <c r="G5061" t="n">
        <v>2.1</v>
      </c>
      <c r="H5061" t="n">
        <v>0</v>
      </c>
      <c r="I5061" t="n">
        <v>0</v>
      </c>
      <c r="J5061" t="n">
        <v>0</v>
      </c>
      <c r="K5061" t="n">
        <v>0</v>
      </c>
      <c r="L5061" t="n">
        <v>0</v>
      </c>
      <c r="M5061" t="n">
        <v>0</v>
      </c>
      <c r="N5061" t="n">
        <v>0</v>
      </c>
      <c r="O5061" t="n">
        <v>0</v>
      </c>
      <c r="P5061" t="n">
        <v>0</v>
      </c>
      <c r="Q5061" t="n">
        <v>0</v>
      </c>
      <c r="R5061" s="2" t="inlineStr"/>
    </row>
    <row r="5062" ht="15" customHeight="1">
      <c r="A5062" t="inlineStr">
        <is>
          <t>A 30226-2022</t>
        </is>
      </c>
      <c r="B5062" s="1" t="n">
        <v>44757</v>
      </c>
      <c r="C5062" s="1" t="n">
        <v>45182</v>
      </c>
      <c r="D5062" t="inlineStr">
        <is>
          <t>JÄMTLANDS LÄN</t>
        </is>
      </c>
      <c r="E5062" t="inlineStr">
        <is>
          <t>STRÖMSUND</t>
        </is>
      </c>
      <c r="F5062" t="inlineStr">
        <is>
          <t>SCA</t>
        </is>
      </c>
      <c r="G5062" t="n">
        <v>2.2</v>
      </c>
      <c r="H5062" t="n">
        <v>0</v>
      </c>
      <c r="I5062" t="n">
        <v>0</v>
      </c>
      <c r="J5062" t="n">
        <v>0</v>
      </c>
      <c r="K5062" t="n">
        <v>0</v>
      </c>
      <c r="L5062" t="n">
        <v>0</v>
      </c>
      <c r="M5062" t="n">
        <v>0</v>
      </c>
      <c r="N5062" t="n">
        <v>0</v>
      </c>
      <c r="O5062" t="n">
        <v>0</v>
      </c>
      <c r="P5062" t="n">
        <v>0</v>
      </c>
      <c r="Q5062" t="n">
        <v>0</v>
      </c>
      <c r="R5062" s="2" t="inlineStr"/>
    </row>
    <row r="5063" ht="15" customHeight="1">
      <c r="A5063" t="inlineStr">
        <is>
          <t>A 30058-2022</t>
        </is>
      </c>
      <c r="B5063" s="1" t="n">
        <v>44757</v>
      </c>
      <c r="C5063" s="1" t="n">
        <v>45182</v>
      </c>
      <c r="D5063" t="inlineStr">
        <is>
          <t>JÄMTLANDS LÄN</t>
        </is>
      </c>
      <c r="E5063" t="inlineStr">
        <is>
          <t>KROKOM</t>
        </is>
      </c>
      <c r="G5063" t="n">
        <v>5</v>
      </c>
      <c r="H5063" t="n">
        <v>0</v>
      </c>
      <c r="I5063" t="n">
        <v>0</v>
      </c>
      <c r="J5063" t="n">
        <v>0</v>
      </c>
      <c r="K5063" t="n">
        <v>0</v>
      </c>
      <c r="L5063" t="n">
        <v>0</v>
      </c>
      <c r="M5063" t="n">
        <v>0</v>
      </c>
      <c r="N5063" t="n">
        <v>0</v>
      </c>
      <c r="O5063" t="n">
        <v>0</v>
      </c>
      <c r="P5063" t="n">
        <v>0</v>
      </c>
      <c r="Q5063" t="n">
        <v>0</v>
      </c>
      <c r="R5063" s="2" t="inlineStr"/>
    </row>
    <row r="5064" ht="15" customHeight="1">
      <c r="A5064" t="inlineStr">
        <is>
          <t>A 30158-2022</t>
        </is>
      </c>
      <c r="B5064" s="1" t="n">
        <v>44757</v>
      </c>
      <c r="C5064" s="1" t="n">
        <v>45182</v>
      </c>
      <c r="D5064" t="inlineStr">
        <is>
          <t>JÄMTLANDS LÄN</t>
        </is>
      </c>
      <c r="E5064" t="inlineStr">
        <is>
          <t>KROKOM</t>
        </is>
      </c>
      <c r="F5064" t="inlineStr">
        <is>
          <t>SCA</t>
        </is>
      </c>
      <c r="G5064" t="n">
        <v>9.6</v>
      </c>
      <c r="H5064" t="n">
        <v>0</v>
      </c>
      <c r="I5064" t="n">
        <v>0</v>
      </c>
      <c r="J5064" t="n">
        <v>0</v>
      </c>
      <c r="K5064" t="n">
        <v>0</v>
      </c>
      <c r="L5064" t="n">
        <v>0</v>
      </c>
      <c r="M5064" t="n">
        <v>0</v>
      </c>
      <c r="N5064" t="n">
        <v>0</v>
      </c>
      <c r="O5064" t="n">
        <v>0</v>
      </c>
      <c r="P5064" t="n">
        <v>0</v>
      </c>
      <c r="Q5064" t="n">
        <v>0</v>
      </c>
      <c r="R5064" s="2" t="inlineStr"/>
    </row>
    <row r="5065" ht="15" customHeight="1">
      <c r="A5065" t="inlineStr">
        <is>
          <t>A 30187-2022</t>
        </is>
      </c>
      <c r="B5065" s="1" t="n">
        <v>44757</v>
      </c>
      <c r="C5065" s="1" t="n">
        <v>45182</v>
      </c>
      <c r="D5065" t="inlineStr">
        <is>
          <t>JÄMTLANDS LÄN</t>
        </is>
      </c>
      <c r="E5065" t="inlineStr">
        <is>
          <t>BERG</t>
        </is>
      </c>
      <c r="G5065" t="n">
        <v>0.6</v>
      </c>
      <c r="H5065" t="n">
        <v>0</v>
      </c>
      <c r="I5065" t="n">
        <v>0</v>
      </c>
      <c r="J5065" t="n">
        <v>0</v>
      </c>
      <c r="K5065" t="n">
        <v>0</v>
      </c>
      <c r="L5065" t="n">
        <v>0</v>
      </c>
      <c r="M5065" t="n">
        <v>0</v>
      </c>
      <c r="N5065" t="n">
        <v>0</v>
      </c>
      <c r="O5065" t="n">
        <v>0</v>
      </c>
      <c r="P5065" t="n">
        <v>0</v>
      </c>
      <c r="Q5065" t="n">
        <v>0</v>
      </c>
      <c r="R5065" s="2" t="inlineStr"/>
    </row>
    <row r="5066" ht="15" customHeight="1">
      <c r="A5066" t="inlineStr">
        <is>
          <t>A 30160-2022</t>
        </is>
      </c>
      <c r="B5066" s="1" t="n">
        <v>44757</v>
      </c>
      <c r="C5066" s="1" t="n">
        <v>45182</v>
      </c>
      <c r="D5066" t="inlineStr">
        <is>
          <t>JÄMTLANDS LÄN</t>
        </is>
      </c>
      <c r="E5066" t="inlineStr">
        <is>
          <t>KROKOM</t>
        </is>
      </c>
      <c r="F5066" t="inlineStr">
        <is>
          <t>SCA</t>
        </is>
      </c>
      <c r="G5066" t="n">
        <v>1.8</v>
      </c>
      <c r="H5066" t="n">
        <v>0</v>
      </c>
      <c r="I5066" t="n">
        <v>0</v>
      </c>
      <c r="J5066" t="n">
        <v>0</v>
      </c>
      <c r="K5066" t="n">
        <v>0</v>
      </c>
      <c r="L5066" t="n">
        <v>0</v>
      </c>
      <c r="M5066" t="n">
        <v>0</v>
      </c>
      <c r="N5066" t="n">
        <v>0</v>
      </c>
      <c r="O5066" t="n">
        <v>0</v>
      </c>
      <c r="P5066" t="n">
        <v>0</v>
      </c>
      <c r="Q5066" t="n">
        <v>0</v>
      </c>
      <c r="R5066" s="2" t="inlineStr"/>
    </row>
    <row r="5067" ht="15" customHeight="1">
      <c r="A5067" t="inlineStr">
        <is>
          <t>A 30230-2022</t>
        </is>
      </c>
      <c r="B5067" s="1" t="n">
        <v>44757</v>
      </c>
      <c r="C5067" s="1" t="n">
        <v>45182</v>
      </c>
      <c r="D5067" t="inlineStr">
        <is>
          <t>JÄMTLANDS LÄN</t>
        </is>
      </c>
      <c r="E5067" t="inlineStr">
        <is>
          <t>STRÖMSUND</t>
        </is>
      </c>
      <c r="F5067" t="inlineStr">
        <is>
          <t>SCA</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30478-2022</t>
        </is>
      </c>
      <c r="B5068" s="1" t="n">
        <v>44761</v>
      </c>
      <c r="C5068" s="1" t="n">
        <v>45182</v>
      </c>
      <c r="D5068" t="inlineStr">
        <is>
          <t>JÄMTLANDS LÄN</t>
        </is>
      </c>
      <c r="E5068" t="inlineStr">
        <is>
          <t>BRÄCKE</t>
        </is>
      </c>
      <c r="F5068" t="inlineStr">
        <is>
          <t>SCA</t>
        </is>
      </c>
      <c r="G5068" t="n">
        <v>5.3</v>
      </c>
      <c r="H5068" t="n">
        <v>0</v>
      </c>
      <c r="I5068" t="n">
        <v>0</v>
      </c>
      <c r="J5068" t="n">
        <v>0</v>
      </c>
      <c r="K5068" t="n">
        <v>0</v>
      </c>
      <c r="L5068" t="n">
        <v>0</v>
      </c>
      <c r="M5068" t="n">
        <v>0</v>
      </c>
      <c r="N5068" t="n">
        <v>0</v>
      </c>
      <c r="O5068" t="n">
        <v>0</v>
      </c>
      <c r="P5068" t="n">
        <v>0</v>
      </c>
      <c r="Q5068" t="n">
        <v>0</v>
      </c>
      <c r="R5068" s="2" t="inlineStr"/>
    </row>
    <row r="5069" ht="15" customHeight="1">
      <c r="A5069" t="inlineStr">
        <is>
          <t>A 30609-2022</t>
        </is>
      </c>
      <c r="B5069" s="1" t="n">
        <v>44761</v>
      </c>
      <c r="C5069" s="1" t="n">
        <v>45182</v>
      </c>
      <c r="D5069" t="inlineStr">
        <is>
          <t>JÄMTLANDS LÄN</t>
        </is>
      </c>
      <c r="E5069" t="inlineStr">
        <is>
          <t>RAGUNDA</t>
        </is>
      </c>
      <c r="G5069" t="n">
        <v>2.4</v>
      </c>
      <c r="H5069" t="n">
        <v>0</v>
      </c>
      <c r="I5069" t="n">
        <v>0</v>
      </c>
      <c r="J5069" t="n">
        <v>0</v>
      </c>
      <c r="K5069" t="n">
        <v>0</v>
      </c>
      <c r="L5069" t="n">
        <v>0</v>
      </c>
      <c r="M5069" t="n">
        <v>0</v>
      </c>
      <c r="N5069" t="n">
        <v>0</v>
      </c>
      <c r="O5069" t="n">
        <v>0</v>
      </c>
      <c r="P5069" t="n">
        <v>0</v>
      </c>
      <c r="Q5069" t="n">
        <v>0</v>
      </c>
      <c r="R5069" s="2" t="inlineStr"/>
      <c r="U5069">
        <f>HYPERLINK("https://klasma.github.io/Logging_RAGUNDA/knärot/A 30609-2022.png")</f>
        <v/>
      </c>
      <c r="V5069">
        <f>HYPERLINK("https://klasma.github.io/Logging_RAGUNDA/klagomål/A 30609-2022.docx")</f>
        <v/>
      </c>
      <c r="W5069">
        <f>HYPERLINK("https://klasma.github.io/Logging_RAGUNDA/klagomålsmail/A 30609-2022.docx")</f>
        <v/>
      </c>
      <c r="X5069">
        <f>HYPERLINK("https://klasma.github.io/Logging_RAGUNDA/tillsyn/A 30609-2022.docx")</f>
        <v/>
      </c>
      <c r="Y5069">
        <f>HYPERLINK("https://klasma.github.io/Logging_RAGUNDA/tillsynsmail/A 30609-2022.docx")</f>
        <v/>
      </c>
    </row>
    <row r="5070" ht="15" customHeight="1">
      <c r="A5070" t="inlineStr">
        <is>
          <t>A 30490-2022</t>
        </is>
      </c>
      <c r="B5070" s="1" t="n">
        <v>44761</v>
      </c>
      <c r="C5070" s="1" t="n">
        <v>45182</v>
      </c>
      <c r="D5070" t="inlineStr">
        <is>
          <t>JÄMTLANDS LÄN</t>
        </is>
      </c>
      <c r="E5070" t="inlineStr">
        <is>
          <t>BRÄCKE</t>
        </is>
      </c>
      <c r="F5070" t="inlineStr">
        <is>
          <t>SCA</t>
        </is>
      </c>
      <c r="G5070" t="n">
        <v>5.8</v>
      </c>
      <c r="H5070" t="n">
        <v>0</v>
      </c>
      <c r="I5070" t="n">
        <v>0</v>
      </c>
      <c r="J5070" t="n">
        <v>0</v>
      </c>
      <c r="K5070" t="n">
        <v>0</v>
      </c>
      <c r="L5070" t="n">
        <v>0</v>
      </c>
      <c r="M5070" t="n">
        <v>0</v>
      </c>
      <c r="N5070" t="n">
        <v>0</v>
      </c>
      <c r="O5070" t="n">
        <v>0</v>
      </c>
      <c r="P5070" t="n">
        <v>0</v>
      </c>
      <c r="Q5070" t="n">
        <v>0</v>
      </c>
      <c r="R5070" s="2" t="inlineStr"/>
    </row>
    <row r="5071" ht="15" customHeight="1">
      <c r="A5071" t="inlineStr">
        <is>
          <t>A 30643-2022</t>
        </is>
      </c>
      <c r="B5071" s="1" t="n">
        <v>44763</v>
      </c>
      <c r="C5071" s="1" t="n">
        <v>45182</v>
      </c>
      <c r="D5071" t="inlineStr">
        <is>
          <t>JÄMTLANDS LÄN</t>
        </is>
      </c>
      <c r="E5071" t="inlineStr">
        <is>
          <t>HÄRJEDALEN</t>
        </is>
      </c>
      <c r="F5071" t="inlineStr">
        <is>
          <t>Bergvik skog väst AB</t>
        </is>
      </c>
      <c r="G5071" t="n">
        <v>3</v>
      </c>
      <c r="H5071" t="n">
        <v>0</v>
      </c>
      <c r="I5071" t="n">
        <v>0</v>
      </c>
      <c r="J5071" t="n">
        <v>0</v>
      </c>
      <c r="K5071" t="n">
        <v>0</v>
      </c>
      <c r="L5071" t="n">
        <v>0</v>
      </c>
      <c r="M5071" t="n">
        <v>0</v>
      </c>
      <c r="N5071" t="n">
        <v>0</v>
      </c>
      <c r="O5071" t="n">
        <v>0</v>
      </c>
      <c r="P5071" t="n">
        <v>0</v>
      </c>
      <c r="Q5071" t="n">
        <v>0</v>
      </c>
      <c r="R5071" s="2" t="inlineStr"/>
    </row>
    <row r="5072" ht="15" customHeight="1">
      <c r="A5072" t="inlineStr">
        <is>
          <t>A 30728-2022</t>
        </is>
      </c>
      <c r="B5072" s="1" t="n">
        <v>44764</v>
      </c>
      <c r="C5072" s="1" t="n">
        <v>45182</v>
      </c>
      <c r="D5072" t="inlineStr">
        <is>
          <t>JÄMTLANDS LÄN</t>
        </is>
      </c>
      <c r="E5072" t="inlineStr">
        <is>
          <t>KROKOM</t>
        </is>
      </c>
      <c r="G5072" t="n">
        <v>6.4</v>
      </c>
      <c r="H5072" t="n">
        <v>0</v>
      </c>
      <c r="I5072" t="n">
        <v>0</v>
      </c>
      <c r="J5072" t="n">
        <v>0</v>
      </c>
      <c r="K5072" t="n">
        <v>0</v>
      </c>
      <c r="L5072" t="n">
        <v>0</v>
      </c>
      <c r="M5072" t="n">
        <v>0</v>
      </c>
      <c r="N5072" t="n">
        <v>0</v>
      </c>
      <c r="O5072" t="n">
        <v>0</v>
      </c>
      <c r="P5072" t="n">
        <v>0</v>
      </c>
      <c r="Q5072" t="n">
        <v>0</v>
      </c>
      <c r="R5072" s="2" t="inlineStr"/>
    </row>
    <row r="5073" ht="15" customHeight="1">
      <c r="A5073" t="inlineStr">
        <is>
          <t>A 30729-2022</t>
        </is>
      </c>
      <c r="B5073" s="1" t="n">
        <v>44764</v>
      </c>
      <c r="C5073" s="1" t="n">
        <v>45182</v>
      </c>
      <c r="D5073" t="inlineStr">
        <is>
          <t>JÄMTLANDS LÄN</t>
        </is>
      </c>
      <c r="E5073" t="inlineStr">
        <is>
          <t>KROKOM</t>
        </is>
      </c>
      <c r="G5073" t="n">
        <v>2.5</v>
      </c>
      <c r="H5073" t="n">
        <v>0</v>
      </c>
      <c r="I5073" t="n">
        <v>0</v>
      </c>
      <c r="J5073" t="n">
        <v>0</v>
      </c>
      <c r="K5073" t="n">
        <v>0</v>
      </c>
      <c r="L5073" t="n">
        <v>0</v>
      </c>
      <c r="M5073" t="n">
        <v>0</v>
      </c>
      <c r="N5073" t="n">
        <v>0</v>
      </c>
      <c r="O5073" t="n">
        <v>0</v>
      </c>
      <c r="P5073" t="n">
        <v>0</v>
      </c>
      <c r="Q5073" t="n">
        <v>0</v>
      </c>
      <c r="R5073" s="2" t="inlineStr"/>
    </row>
    <row r="5074" ht="15" customHeight="1">
      <c r="A5074" t="inlineStr">
        <is>
          <t>A 30765-2022</t>
        </is>
      </c>
      <c r="B5074" s="1" t="n">
        <v>44764</v>
      </c>
      <c r="C5074" s="1" t="n">
        <v>45182</v>
      </c>
      <c r="D5074" t="inlineStr">
        <is>
          <t>JÄMTLANDS LÄN</t>
        </is>
      </c>
      <c r="E5074" t="inlineStr">
        <is>
          <t>BERG</t>
        </is>
      </c>
      <c r="F5074" t="inlineStr">
        <is>
          <t>Sveaskog</t>
        </is>
      </c>
      <c r="G5074" t="n">
        <v>5.8</v>
      </c>
      <c r="H5074" t="n">
        <v>0</v>
      </c>
      <c r="I5074" t="n">
        <v>0</v>
      </c>
      <c r="J5074" t="n">
        <v>0</v>
      </c>
      <c r="K5074" t="n">
        <v>0</v>
      </c>
      <c r="L5074" t="n">
        <v>0</v>
      </c>
      <c r="M5074" t="n">
        <v>0</v>
      </c>
      <c r="N5074" t="n">
        <v>0</v>
      </c>
      <c r="O5074" t="n">
        <v>0</v>
      </c>
      <c r="P5074" t="n">
        <v>0</v>
      </c>
      <c r="Q5074" t="n">
        <v>0</v>
      </c>
      <c r="R5074" s="2" t="inlineStr"/>
    </row>
    <row r="5075" ht="15" customHeight="1">
      <c r="A5075" t="inlineStr">
        <is>
          <t>A 30811-2022</t>
        </is>
      </c>
      <c r="B5075" s="1" t="n">
        <v>44764</v>
      </c>
      <c r="C5075" s="1" t="n">
        <v>45182</v>
      </c>
      <c r="D5075" t="inlineStr">
        <is>
          <t>JÄMTLANDS LÄN</t>
        </is>
      </c>
      <c r="E5075" t="inlineStr">
        <is>
          <t>BRÄCKE</t>
        </is>
      </c>
      <c r="F5075" t="inlineStr">
        <is>
          <t>SCA</t>
        </is>
      </c>
      <c r="G5075" t="n">
        <v>3.9</v>
      </c>
      <c r="H5075" t="n">
        <v>0</v>
      </c>
      <c r="I5075" t="n">
        <v>0</v>
      </c>
      <c r="J5075" t="n">
        <v>0</v>
      </c>
      <c r="K5075" t="n">
        <v>0</v>
      </c>
      <c r="L5075" t="n">
        <v>0</v>
      </c>
      <c r="M5075" t="n">
        <v>0</v>
      </c>
      <c r="N5075" t="n">
        <v>0</v>
      </c>
      <c r="O5075" t="n">
        <v>0</v>
      </c>
      <c r="P5075" t="n">
        <v>0</v>
      </c>
      <c r="Q5075" t="n">
        <v>0</v>
      </c>
      <c r="R5075" s="2" t="inlineStr"/>
    </row>
    <row r="5076" ht="15" customHeight="1">
      <c r="A5076" t="inlineStr">
        <is>
          <t>A 31371-2022</t>
        </is>
      </c>
      <c r="B5076" s="1" t="n">
        <v>44774</v>
      </c>
      <c r="C5076" s="1" t="n">
        <v>45182</v>
      </c>
      <c r="D5076" t="inlineStr">
        <is>
          <t>JÄMTLANDS LÄN</t>
        </is>
      </c>
      <c r="E5076" t="inlineStr">
        <is>
          <t>BERG</t>
        </is>
      </c>
      <c r="F5076" t="inlineStr">
        <is>
          <t>Sveaskog</t>
        </is>
      </c>
      <c r="G5076" t="n">
        <v>2.3</v>
      </c>
      <c r="H5076" t="n">
        <v>0</v>
      </c>
      <c r="I5076" t="n">
        <v>0</v>
      </c>
      <c r="J5076" t="n">
        <v>0</v>
      </c>
      <c r="K5076" t="n">
        <v>0</v>
      </c>
      <c r="L5076" t="n">
        <v>0</v>
      </c>
      <c r="M5076" t="n">
        <v>0</v>
      </c>
      <c r="N5076" t="n">
        <v>0</v>
      </c>
      <c r="O5076" t="n">
        <v>0</v>
      </c>
      <c r="P5076" t="n">
        <v>0</v>
      </c>
      <c r="Q5076" t="n">
        <v>0</v>
      </c>
      <c r="R5076" s="2" t="inlineStr"/>
    </row>
    <row r="5077" ht="15" customHeight="1">
      <c r="A5077" t="inlineStr">
        <is>
          <t>A 31507-2022</t>
        </is>
      </c>
      <c r="B5077" s="1" t="n">
        <v>44774</v>
      </c>
      <c r="C5077" s="1" t="n">
        <v>45182</v>
      </c>
      <c r="D5077" t="inlineStr">
        <is>
          <t>JÄMTLANDS LÄN</t>
        </is>
      </c>
      <c r="E5077" t="inlineStr">
        <is>
          <t>STRÖMSUND</t>
        </is>
      </c>
      <c r="F5077" t="inlineStr">
        <is>
          <t>SCA</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31442-2022</t>
        </is>
      </c>
      <c r="B5078" s="1" t="n">
        <v>44774</v>
      </c>
      <c r="C5078" s="1" t="n">
        <v>45182</v>
      </c>
      <c r="D5078" t="inlineStr">
        <is>
          <t>JÄMTLANDS LÄN</t>
        </is>
      </c>
      <c r="E5078" t="inlineStr">
        <is>
          <t>STRÖMSUND</t>
        </is>
      </c>
      <c r="F5078" t="inlineStr">
        <is>
          <t>SCA</t>
        </is>
      </c>
      <c r="G5078" t="n">
        <v>1.1</v>
      </c>
      <c r="H5078" t="n">
        <v>0</v>
      </c>
      <c r="I5078" t="n">
        <v>0</v>
      </c>
      <c r="J5078" t="n">
        <v>0</v>
      </c>
      <c r="K5078" t="n">
        <v>0</v>
      </c>
      <c r="L5078" t="n">
        <v>0</v>
      </c>
      <c r="M5078" t="n">
        <v>0</v>
      </c>
      <c r="N5078" t="n">
        <v>0</v>
      </c>
      <c r="O5078" t="n">
        <v>0</v>
      </c>
      <c r="P5078" t="n">
        <v>0</v>
      </c>
      <c r="Q5078" t="n">
        <v>0</v>
      </c>
      <c r="R5078" s="2" t="inlineStr"/>
    </row>
    <row r="5079" ht="15" customHeight="1">
      <c r="A5079" t="inlineStr">
        <is>
          <t>A 31436-2022</t>
        </is>
      </c>
      <c r="B5079" s="1" t="n">
        <v>44774</v>
      </c>
      <c r="C5079" s="1" t="n">
        <v>45182</v>
      </c>
      <c r="D5079" t="inlineStr">
        <is>
          <t>JÄMTLANDS LÄN</t>
        </is>
      </c>
      <c r="E5079" t="inlineStr">
        <is>
          <t>RAGUNDA</t>
        </is>
      </c>
      <c r="G5079" t="n">
        <v>2</v>
      </c>
      <c r="H5079" t="n">
        <v>0</v>
      </c>
      <c r="I5079" t="n">
        <v>0</v>
      </c>
      <c r="J5079" t="n">
        <v>0</v>
      </c>
      <c r="K5079" t="n">
        <v>0</v>
      </c>
      <c r="L5079" t="n">
        <v>0</v>
      </c>
      <c r="M5079" t="n">
        <v>0</v>
      </c>
      <c r="N5079" t="n">
        <v>0</v>
      </c>
      <c r="O5079" t="n">
        <v>0</v>
      </c>
      <c r="P5079" t="n">
        <v>0</v>
      </c>
      <c r="Q5079" t="n">
        <v>0</v>
      </c>
      <c r="R5079" s="2" t="inlineStr"/>
    </row>
    <row r="5080" ht="15" customHeight="1">
      <c r="A5080" t="inlineStr">
        <is>
          <t>A 31467-2022</t>
        </is>
      </c>
      <c r="B5080" s="1" t="n">
        <v>44774</v>
      </c>
      <c r="C5080" s="1" t="n">
        <v>45182</v>
      </c>
      <c r="D5080" t="inlineStr">
        <is>
          <t>JÄMTLANDS LÄN</t>
        </is>
      </c>
      <c r="E5080" t="inlineStr">
        <is>
          <t>BRÄCKE</t>
        </is>
      </c>
      <c r="F5080" t="inlineStr">
        <is>
          <t>SCA</t>
        </is>
      </c>
      <c r="G5080" t="n">
        <v>1.8</v>
      </c>
      <c r="H5080" t="n">
        <v>0</v>
      </c>
      <c r="I5080" t="n">
        <v>0</v>
      </c>
      <c r="J5080" t="n">
        <v>0</v>
      </c>
      <c r="K5080" t="n">
        <v>0</v>
      </c>
      <c r="L5080" t="n">
        <v>0</v>
      </c>
      <c r="M5080" t="n">
        <v>0</v>
      </c>
      <c r="N5080" t="n">
        <v>0</v>
      </c>
      <c r="O5080" t="n">
        <v>0</v>
      </c>
      <c r="P5080" t="n">
        <v>0</v>
      </c>
      <c r="Q5080" t="n">
        <v>0</v>
      </c>
      <c r="R5080" s="2" t="inlineStr"/>
    </row>
    <row r="5081" ht="15" customHeight="1">
      <c r="A5081" t="inlineStr">
        <is>
          <t>A 31506-2022</t>
        </is>
      </c>
      <c r="B5081" s="1" t="n">
        <v>44774</v>
      </c>
      <c r="C5081" s="1" t="n">
        <v>45182</v>
      </c>
      <c r="D5081" t="inlineStr">
        <is>
          <t>JÄMTLANDS LÄN</t>
        </is>
      </c>
      <c r="E5081" t="inlineStr">
        <is>
          <t>STRÖMSUND</t>
        </is>
      </c>
      <c r="F5081" t="inlineStr">
        <is>
          <t>SCA</t>
        </is>
      </c>
      <c r="G5081" t="n">
        <v>0.4</v>
      </c>
      <c r="H5081" t="n">
        <v>0</v>
      </c>
      <c r="I5081" t="n">
        <v>0</v>
      </c>
      <c r="J5081" t="n">
        <v>0</v>
      </c>
      <c r="K5081" t="n">
        <v>0</v>
      </c>
      <c r="L5081" t="n">
        <v>0</v>
      </c>
      <c r="M5081" t="n">
        <v>0</v>
      </c>
      <c r="N5081" t="n">
        <v>0</v>
      </c>
      <c r="O5081" t="n">
        <v>0</v>
      </c>
      <c r="P5081" t="n">
        <v>0</v>
      </c>
      <c r="Q5081" t="n">
        <v>0</v>
      </c>
      <c r="R5081" s="2" t="inlineStr"/>
    </row>
    <row r="5082" ht="15" customHeight="1">
      <c r="A5082" t="inlineStr">
        <is>
          <t>A 31375-2022</t>
        </is>
      </c>
      <c r="B5082" s="1" t="n">
        <v>44774</v>
      </c>
      <c r="C5082" s="1" t="n">
        <v>45182</v>
      </c>
      <c r="D5082" t="inlineStr">
        <is>
          <t>JÄMTLANDS LÄN</t>
        </is>
      </c>
      <c r="E5082" t="inlineStr">
        <is>
          <t>BERG</t>
        </is>
      </c>
      <c r="F5082" t="inlineStr">
        <is>
          <t>Sveaskog</t>
        </is>
      </c>
      <c r="G5082" t="n">
        <v>3.5</v>
      </c>
      <c r="H5082" t="n">
        <v>0</v>
      </c>
      <c r="I5082" t="n">
        <v>0</v>
      </c>
      <c r="J5082" t="n">
        <v>0</v>
      </c>
      <c r="K5082" t="n">
        <v>0</v>
      </c>
      <c r="L5082" t="n">
        <v>0</v>
      </c>
      <c r="M5082" t="n">
        <v>0</v>
      </c>
      <c r="N5082" t="n">
        <v>0</v>
      </c>
      <c r="O5082" t="n">
        <v>0</v>
      </c>
      <c r="P5082" t="n">
        <v>0</v>
      </c>
      <c r="Q5082" t="n">
        <v>0</v>
      </c>
      <c r="R5082" s="2" t="inlineStr"/>
    </row>
    <row r="5083" ht="15" customHeight="1">
      <c r="A5083" t="inlineStr">
        <is>
          <t>A 31435-2022</t>
        </is>
      </c>
      <c r="B5083" s="1" t="n">
        <v>44774</v>
      </c>
      <c r="C5083" s="1" t="n">
        <v>45182</v>
      </c>
      <c r="D5083" t="inlineStr">
        <is>
          <t>JÄMTLANDS LÄN</t>
        </is>
      </c>
      <c r="E5083" t="inlineStr">
        <is>
          <t>RAGUNDA</t>
        </is>
      </c>
      <c r="G5083" t="n">
        <v>1.6</v>
      </c>
      <c r="H5083" t="n">
        <v>0</v>
      </c>
      <c r="I5083" t="n">
        <v>0</v>
      </c>
      <c r="J5083" t="n">
        <v>0</v>
      </c>
      <c r="K5083" t="n">
        <v>0</v>
      </c>
      <c r="L5083" t="n">
        <v>0</v>
      </c>
      <c r="M5083" t="n">
        <v>0</v>
      </c>
      <c r="N5083" t="n">
        <v>0</v>
      </c>
      <c r="O5083" t="n">
        <v>0</v>
      </c>
      <c r="P5083" t="n">
        <v>0</v>
      </c>
      <c r="Q5083" t="n">
        <v>0</v>
      </c>
      <c r="R5083" s="2" t="inlineStr"/>
    </row>
    <row r="5084" ht="15" customHeight="1">
      <c r="A5084" t="inlineStr">
        <is>
          <t>A 31466-2022</t>
        </is>
      </c>
      <c r="B5084" s="1" t="n">
        <v>44774</v>
      </c>
      <c r="C5084" s="1" t="n">
        <v>45182</v>
      </c>
      <c r="D5084" t="inlineStr">
        <is>
          <t>JÄMTLANDS LÄN</t>
        </is>
      </c>
      <c r="E5084" t="inlineStr">
        <is>
          <t>BRÄCKE</t>
        </is>
      </c>
      <c r="F5084" t="inlineStr">
        <is>
          <t>SCA</t>
        </is>
      </c>
      <c r="G5084" t="n">
        <v>3.9</v>
      </c>
      <c r="H5084" t="n">
        <v>0</v>
      </c>
      <c r="I5084" t="n">
        <v>0</v>
      </c>
      <c r="J5084" t="n">
        <v>0</v>
      </c>
      <c r="K5084" t="n">
        <v>0</v>
      </c>
      <c r="L5084" t="n">
        <v>0</v>
      </c>
      <c r="M5084" t="n">
        <v>0</v>
      </c>
      <c r="N5084" t="n">
        <v>0</v>
      </c>
      <c r="O5084" t="n">
        <v>0</v>
      </c>
      <c r="P5084" t="n">
        <v>0</v>
      </c>
      <c r="Q5084" t="n">
        <v>0</v>
      </c>
      <c r="R5084" s="2" t="inlineStr"/>
    </row>
    <row r="5085" ht="15" customHeight="1">
      <c r="A5085" t="inlineStr">
        <is>
          <t>A 31638-2022</t>
        </is>
      </c>
      <c r="B5085" s="1" t="n">
        <v>44775</v>
      </c>
      <c r="C5085" s="1" t="n">
        <v>45182</v>
      </c>
      <c r="D5085" t="inlineStr">
        <is>
          <t>JÄMTLANDS LÄN</t>
        </is>
      </c>
      <c r="E5085" t="inlineStr">
        <is>
          <t>BERG</t>
        </is>
      </c>
      <c r="F5085" t="inlineStr">
        <is>
          <t>SCA</t>
        </is>
      </c>
      <c r="G5085" t="n">
        <v>15.3</v>
      </c>
      <c r="H5085" t="n">
        <v>0</v>
      </c>
      <c r="I5085" t="n">
        <v>0</v>
      </c>
      <c r="J5085" t="n">
        <v>0</v>
      </c>
      <c r="K5085" t="n">
        <v>0</v>
      </c>
      <c r="L5085" t="n">
        <v>0</v>
      </c>
      <c r="M5085" t="n">
        <v>0</v>
      </c>
      <c r="N5085" t="n">
        <v>0</v>
      </c>
      <c r="O5085" t="n">
        <v>0</v>
      </c>
      <c r="P5085" t="n">
        <v>0</v>
      </c>
      <c r="Q5085" t="n">
        <v>0</v>
      </c>
      <c r="R5085" s="2" t="inlineStr"/>
    </row>
    <row r="5086" ht="15" customHeight="1">
      <c r="A5086" t="inlineStr">
        <is>
          <t>A 31564-2022</t>
        </is>
      </c>
      <c r="B5086" s="1" t="n">
        <v>44775</v>
      </c>
      <c r="C5086" s="1" t="n">
        <v>45182</v>
      </c>
      <c r="D5086" t="inlineStr">
        <is>
          <t>JÄMTLANDS LÄN</t>
        </is>
      </c>
      <c r="E5086" t="inlineStr">
        <is>
          <t>BERG</t>
        </is>
      </c>
      <c r="G5086" t="n">
        <v>2.3</v>
      </c>
      <c r="H5086" t="n">
        <v>0</v>
      </c>
      <c r="I5086" t="n">
        <v>0</v>
      </c>
      <c r="J5086" t="n">
        <v>0</v>
      </c>
      <c r="K5086" t="n">
        <v>0</v>
      </c>
      <c r="L5086" t="n">
        <v>0</v>
      </c>
      <c r="M5086" t="n">
        <v>0</v>
      </c>
      <c r="N5086" t="n">
        <v>0</v>
      </c>
      <c r="O5086" t="n">
        <v>0</v>
      </c>
      <c r="P5086" t="n">
        <v>0</v>
      </c>
      <c r="Q5086" t="n">
        <v>0</v>
      </c>
      <c r="R5086" s="2" t="inlineStr"/>
    </row>
    <row r="5087" ht="15" customHeight="1">
      <c r="A5087" t="inlineStr">
        <is>
          <t>A 31841-2022</t>
        </is>
      </c>
      <c r="B5087" s="1" t="n">
        <v>44776</v>
      </c>
      <c r="C5087" s="1" t="n">
        <v>45182</v>
      </c>
      <c r="D5087" t="inlineStr">
        <is>
          <t>JÄMTLANDS LÄN</t>
        </is>
      </c>
      <c r="E5087" t="inlineStr">
        <is>
          <t>RAGUNDA</t>
        </is>
      </c>
      <c r="F5087" t="inlineStr">
        <is>
          <t>SCA</t>
        </is>
      </c>
      <c r="G5087" t="n">
        <v>4</v>
      </c>
      <c r="H5087" t="n">
        <v>0</v>
      </c>
      <c r="I5087" t="n">
        <v>0</v>
      </c>
      <c r="J5087" t="n">
        <v>0</v>
      </c>
      <c r="K5087" t="n">
        <v>0</v>
      </c>
      <c r="L5087" t="n">
        <v>0</v>
      </c>
      <c r="M5087" t="n">
        <v>0</v>
      </c>
      <c r="N5087" t="n">
        <v>0</v>
      </c>
      <c r="O5087" t="n">
        <v>0</v>
      </c>
      <c r="P5087" t="n">
        <v>0</v>
      </c>
      <c r="Q5087" t="n">
        <v>0</v>
      </c>
      <c r="R5087" s="2" t="inlineStr"/>
    </row>
    <row r="5088" ht="15" customHeight="1">
      <c r="A5088" t="inlineStr">
        <is>
          <t>A 31853-2022</t>
        </is>
      </c>
      <c r="B5088" s="1" t="n">
        <v>44776</v>
      </c>
      <c r="C5088" s="1" t="n">
        <v>45182</v>
      </c>
      <c r="D5088" t="inlineStr">
        <is>
          <t>JÄMTLANDS LÄN</t>
        </is>
      </c>
      <c r="E5088" t="inlineStr">
        <is>
          <t>BRÄCKE</t>
        </is>
      </c>
      <c r="F5088" t="inlineStr">
        <is>
          <t>SCA</t>
        </is>
      </c>
      <c r="G5088" t="n">
        <v>3.5</v>
      </c>
      <c r="H5088" t="n">
        <v>0</v>
      </c>
      <c r="I5088" t="n">
        <v>0</v>
      </c>
      <c r="J5088" t="n">
        <v>0</v>
      </c>
      <c r="K5088" t="n">
        <v>0</v>
      </c>
      <c r="L5088" t="n">
        <v>0</v>
      </c>
      <c r="M5088" t="n">
        <v>0</v>
      </c>
      <c r="N5088" t="n">
        <v>0</v>
      </c>
      <c r="O5088" t="n">
        <v>0</v>
      </c>
      <c r="P5088" t="n">
        <v>0</v>
      </c>
      <c r="Q5088" t="n">
        <v>0</v>
      </c>
      <c r="R5088" s="2" t="inlineStr"/>
    </row>
    <row r="5089" ht="15" customHeight="1">
      <c r="A5089" t="inlineStr">
        <is>
          <t>A 32703-2022</t>
        </is>
      </c>
      <c r="B5089" s="1" t="n">
        <v>44776</v>
      </c>
      <c r="C5089" s="1" t="n">
        <v>45182</v>
      </c>
      <c r="D5089" t="inlineStr">
        <is>
          <t>JÄMTLANDS LÄN</t>
        </is>
      </c>
      <c r="E5089" t="inlineStr">
        <is>
          <t>BERG</t>
        </is>
      </c>
      <c r="G5089" t="n">
        <v>1.2</v>
      </c>
      <c r="H5089" t="n">
        <v>0</v>
      </c>
      <c r="I5089" t="n">
        <v>0</v>
      </c>
      <c r="J5089" t="n">
        <v>0</v>
      </c>
      <c r="K5089" t="n">
        <v>0</v>
      </c>
      <c r="L5089" t="n">
        <v>0</v>
      </c>
      <c r="M5089" t="n">
        <v>0</v>
      </c>
      <c r="N5089" t="n">
        <v>0</v>
      </c>
      <c r="O5089" t="n">
        <v>0</v>
      </c>
      <c r="P5089" t="n">
        <v>0</v>
      </c>
      <c r="Q5089" t="n">
        <v>0</v>
      </c>
      <c r="R5089" s="2" t="inlineStr"/>
    </row>
    <row r="5090" ht="15" customHeight="1">
      <c r="A5090" t="inlineStr">
        <is>
          <t>A 31682-2022</t>
        </is>
      </c>
      <c r="B5090" s="1" t="n">
        <v>44776</v>
      </c>
      <c r="C5090" s="1" t="n">
        <v>45182</v>
      </c>
      <c r="D5090" t="inlineStr">
        <is>
          <t>JÄMTLANDS LÄN</t>
        </is>
      </c>
      <c r="E5090" t="inlineStr">
        <is>
          <t>BERG</t>
        </is>
      </c>
      <c r="G5090" t="n">
        <v>8</v>
      </c>
      <c r="H5090" t="n">
        <v>0</v>
      </c>
      <c r="I5090" t="n">
        <v>0</v>
      </c>
      <c r="J5090" t="n">
        <v>0</v>
      </c>
      <c r="K5090" t="n">
        <v>0</v>
      </c>
      <c r="L5090" t="n">
        <v>0</v>
      </c>
      <c r="M5090" t="n">
        <v>0</v>
      </c>
      <c r="N5090" t="n">
        <v>0</v>
      </c>
      <c r="O5090" t="n">
        <v>0</v>
      </c>
      <c r="P5090" t="n">
        <v>0</v>
      </c>
      <c r="Q5090" t="n">
        <v>0</v>
      </c>
      <c r="R5090" s="2" t="inlineStr"/>
    </row>
    <row r="5091" ht="15" customHeight="1">
      <c r="A5091" t="inlineStr">
        <is>
          <t>A 31854-2022</t>
        </is>
      </c>
      <c r="B5091" s="1" t="n">
        <v>44776</v>
      </c>
      <c r="C5091" s="1" t="n">
        <v>45182</v>
      </c>
      <c r="D5091" t="inlineStr">
        <is>
          <t>JÄMTLANDS LÄN</t>
        </is>
      </c>
      <c r="E5091" t="inlineStr">
        <is>
          <t>RAGUNDA</t>
        </is>
      </c>
      <c r="F5091" t="inlineStr">
        <is>
          <t>SCA</t>
        </is>
      </c>
      <c r="G5091" t="n">
        <v>2.7</v>
      </c>
      <c r="H5091" t="n">
        <v>0</v>
      </c>
      <c r="I5091" t="n">
        <v>0</v>
      </c>
      <c r="J5091" t="n">
        <v>0</v>
      </c>
      <c r="K5091" t="n">
        <v>0</v>
      </c>
      <c r="L5091" t="n">
        <v>0</v>
      </c>
      <c r="M5091" t="n">
        <v>0</v>
      </c>
      <c r="N5091" t="n">
        <v>0</v>
      </c>
      <c r="O5091" t="n">
        <v>0</v>
      </c>
      <c r="P5091" t="n">
        <v>0</v>
      </c>
      <c r="Q5091" t="n">
        <v>0</v>
      </c>
      <c r="R5091" s="2" t="inlineStr"/>
    </row>
    <row r="5092" ht="15" customHeight="1">
      <c r="A5092" t="inlineStr">
        <is>
          <t>A 31852-2022</t>
        </is>
      </c>
      <c r="B5092" s="1" t="n">
        <v>44776</v>
      </c>
      <c r="C5092" s="1" t="n">
        <v>45182</v>
      </c>
      <c r="D5092" t="inlineStr">
        <is>
          <t>JÄMTLANDS LÄN</t>
        </is>
      </c>
      <c r="E5092" t="inlineStr">
        <is>
          <t>STRÖMSUND</t>
        </is>
      </c>
      <c r="F5092" t="inlineStr">
        <is>
          <t>SCA</t>
        </is>
      </c>
      <c r="G5092" t="n">
        <v>8.199999999999999</v>
      </c>
      <c r="H5092" t="n">
        <v>0</v>
      </c>
      <c r="I5092" t="n">
        <v>0</v>
      </c>
      <c r="J5092" t="n">
        <v>0</v>
      </c>
      <c r="K5092" t="n">
        <v>0</v>
      </c>
      <c r="L5092" t="n">
        <v>0</v>
      </c>
      <c r="M5092" t="n">
        <v>0</v>
      </c>
      <c r="N5092" t="n">
        <v>0</v>
      </c>
      <c r="O5092" t="n">
        <v>0</v>
      </c>
      <c r="P5092" t="n">
        <v>0</v>
      </c>
      <c r="Q5092" t="n">
        <v>0</v>
      </c>
      <c r="R5092" s="2" t="inlineStr"/>
    </row>
    <row r="5093" ht="15" customHeight="1">
      <c r="A5093" t="inlineStr">
        <is>
          <t>A 31970-2022</t>
        </is>
      </c>
      <c r="B5093" s="1" t="n">
        <v>44777</v>
      </c>
      <c r="C5093" s="1" t="n">
        <v>45182</v>
      </c>
      <c r="D5093" t="inlineStr">
        <is>
          <t>JÄMTLANDS LÄN</t>
        </is>
      </c>
      <c r="E5093" t="inlineStr">
        <is>
          <t>RAGUNDA</t>
        </is>
      </c>
      <c r="F5093" t="inlineStr">
        <is>
          <t>SCA</t>
        </is>
      </c>
      <c r="G5093" t="n">
        <v>3.9</v>
      </c>
      <c r="H5093" t="n">
        <v>0</v>
      </c>
      <c r="I5093" t="n">
        <v>0</v>
      </c>
      <c r="J5093" t="n">
        <v>0</v>
      </c>
      <c r="K5093" t="n">
        <v>0</v>
      </c>
      <c r="L5093" t="n">
        <v>0</v>
      </c>
      <c r="M5093" t="n">
        <v>0</v>
      </c>
      <c r="N5093" t="n">
        <v>0</v>
      </c>
      <c r="O5093" t="n">
        <v>0</v>
      </c>
      <c r="P5093" t="n">
        <v>0</v>
      </c>
      <c r="Q5093" t="n">
        <v>0</v>
      </c>
      <c r="R5093" s="2" t="inlineStr"/>
    </row>
    <row r="5094" ht="15" customHeight="1">
      <c r="A5094" t="inlineStr">
        <is>
          <t>A 31980-2022</t>
        </is>
      </c>
      <c r="B5094" s="1" t="n">
        <v>44777</v>
      </c>
      <c r="C5094" s="1" t="n">
        <v>45182</v>
      </c>
      <c r="D5094" t="inlineStr">
        <is>
          <t>JÄMTLANDS LÄN</t>
        </is>
      </c>
      <c r="E5094" t="inlineStr">
        <is>
          <t>BRÄCKE</t>
        </is>
      </c>
      <c r="F5094" t="inlineStr">
        <is>
          <t>SCA</t>
        </is>
      </c>
      <c r="G5094" t="n">
        <v>3.9</v>
      </c>
      <c r="H5094" t="n">
        <v>0</v>
      </c>
      <c r="I5094" t="n">
        <v>0</v>
      </c>
      <c r="J5094" t="n">
        <v>0</v>
      </c>
      <c r="K5094" t="n">
        <v>0</v>
      </c>
      <c r="L5094" t="n">
        <v>0</v>
      </c>
      <c r="M5094" t="n">
        <v>0</v>
      </c>
      <c r="N5094" t="n">
        <v>0</v>
      </c>
      <c r="O5094" t="n">
        <v>0</v>
      </c>
      <c r="P5094" t="n">
        <v>0</v>
      </c>
      <c r="Q5094" t="n">
        <v>0</v>
      </c>
      <c r="R5094" s="2" t="inlineStr"/>
    </row>
    <row r="5095" ht="15" customHeight="1">
      <c r="A5095" t="inlineStr">
        <is>
          <t>A 32135-2022</t>
        </is>
      </c>
      <c r="B5095" s="1" t="n">
        <v>44778</v>
      </c>
      <c r="C5095" s="1" t="n">
        <v>45182</v>
      </c>
      <c r="D5095" t="inlineStr">
        <is>
          <t>JÄMTLANDS LÄN</t>
        </is>
      </c>
      <c r="E5095" t="inlineStr">
        <is>
          <t>RAGUNDA</t>
        </is>
      </c>
      <c r="F5095" t="inlineStr">
        <is>
          <t>SCA</t>
        </is>
      </c>
      <c r="G5095" t="n">
        <v>3.4</v>
      </c>
      <c r="H5095" t="n">
        <v>0</v>
      </c>
      <c r="I5095" t="n">
        <v>0</v>
      </c>
      <c r="J5095" t="n">
        <v>0</v>
      </c>
      <c r="K5095" t="n">
        <v>0</v>
      </c>
      <c r="L5095" t="n">
        <v>0</v>
      </c>
      <c r="M5095" t="n">
        <v>0</v>
      </c>
      <c r="N5095" t="n">
        <v>0</v>
      </c>
      <c r="O5095" t="n">
        <v>0</v>
      </c>
      <c r="P5095" t="n">
        <v>0</v>
      </c>
      <c r="Q5095" t="n">
        <v>0</v>
      </c>
      <c r="R5095" s="2" t="inlineStr"/>
    </row>
    <row r="5096" ht="15" customHeight="1">
      <c r="A5096" t="inlineStr">
        <is>
          <t>A 32118-2022</t>
        </is>
      </c>
      <c r="B5096" s="1" t="n">
        <v>44778</v>
      </c>
      <c r="C5096" s="1" t="n">
        <v>45182</v>
      </c>
      <c r="D5096" t="inlineStr">
        <is>
          <t>JÄMTLANDS LÄN</t>
        </is>
      </c>
      <c r="E5096" t="inlineStr">
        <is>
          <t>STRÖMSUND</t>
        </is>
      </c>
      <c r="F5096" t="inlineStr">
        <is>
          <t>SCA</t>
        </is>
      </c>
      <c r="G5096" t="n">
        <v>2.9</v>
      </c>
      <c r="H5096" t="n">
        <v>0</v>
      </c>
      <c r="I5096" t="n">
        <v>0</v>
      </c>
      <c r="J5096" t="n">
        <v>0</v>
      </c>
      <c r="K5096" t="n">
        <v>0</v>
      </c>
      <c r="L5096" t="n">
        <v>0</v>
      </c>
      <c r="M5096" t="n">
        <v>0</v>
      </c>
      <c r="N5096" t="n">
        <v>0</v>
      </c>
      <c r="O5096" t="n">
        <v>0</v>
      </c>
      <c r="P5096" t="n">
        <v>0</v>
      </c>
      <c r="Q5096" t="n">
        <v>0</v>
      </c>
      <c r="R5096" s="2" t="inlineStr"/>
    </row>
    <row r="5097" ht="15" customHeight="1">
      <c r="A5097" t="inlineStr">
        <is>
          <t>A 32125-2022</t>
        </is>
      </c>
      <c r="B5097" s="1" t="n">
        <v>44778</v>
      </c>
      <c r="C5097" s="1" t="n">
        <v>45182</v>
      </c>
      <c r="D5097" t="inlineStr">
        <is>
          <t>JÄMTLANDS LÄN</t>
        </is>
      </c>
      <c r="E5097" t="inlineStr">
        <is>
          <t>STRÖMSUND</t>
        </is>
      </c>
      <c r="F5097" t="inlineStr">
        <is>
          <t>SCA</t>
        </is>
      </c>
      <c r="G5097" t="n">
        <v>1.5</v>
      </c>
      <c r="H5097" t="n">
        <v>0</v>
      </c>
      <c r="I5097" t="n">
        <v>0</v>
      </c>
      <c r="J5097" t="n">
        <v>0</v>
      </c>
      <c r="K5097" t="n">
        <v>0</v>
      </c>
      <c r="L5097" t="n">
        <v>0</v>
      </c>
      <c r="M5097" t="n">
        <v>0</v>
      </c>
      <c r="N5097" t="n">
        <v>0</v>
      </c>
      <c r="O5097" t="n">
        <v>0</v>
      </c>
      <c r="P5097" t="n">
        <v>0</v>
      </c>
      <c r="Q5097" t="n">
        <v>0</v>
      </c>
      <c r="R5097" s="2" t="inlineStr"/>
    </row>
    <row r="5098" ht="15" customHeight="1">
      <c r="A5098" t="inlineStr">
        <is>
          <t>A 32141-2022</t>
        </is>
      </c>
      <c r="B5098" s="1" t="n">
        <v>44779</v>
      </c>
      <c r="C5098" s="1" t="n">
        <v>45182</v>
      </c>
      <c r="D5098" t="inlineStr">
        <is>
          <t>JÄMTLANDS LÄN</t>
        </is>
      </c>
      <c r="E5098" t="inlineStr">
        <is>
          <t>BRÄCKE</t>
        </is>
      </c>
      <c r="G5098" t="n">
        <v>0.9</v>
      </c>
      <c r="H5098" t="n">
        <v>0</v>
      </c>
      <c r="I5098" t="n">
        <v>0</v>
      </c>
      <c r="J5098" t="n">
        <v>0</v>
      </c>
      <c r="K5098" t="n">
        <v>0</v>
      </c>
      <c r="L5098" t="n">
        <v>0</v>
      </c>
      <c r="M5098" t="n">
        <v>0</v>
      </c>
      <c r="N5098" t="n">
        <v>0</v>
      </c>
      <c r="O5098" t="n">
        <v>0</v>
      </c>
      <c r="P5098" t="n">
        <v>0</v>
      </c>
      <c r="Q5098" t="n">
        <v>0</v>
      </c>
      <c r="R5098" s="2" t="inlineStr"/>
    </row>
    <row r="5099" ht="15" customHeight="1">
      <c r="A5099" t="inlineStr">
        <is>
          <t>A 32142-2022</t>
        </is>
      </c>
      <c r="B5099" s="1" t="n">
        <v>44780</v>
      </c>
      <c r="C5099" s="1" t="n">
        <v>45182</v>
      </c>
      <c r="D5099" t="inlineStr">
        <is>
          <t>JÄMTLANDS LÄN</t>
        </is>
      </c>
      <c r="E5099" t="inlineStr">
        <is>
          <t>KROKOM</t>
        </is>
      </c>
      <c r="G5099" t="n">
        <v>60.8</v>
      </c>
      <c r="H5099" t="n">
        <v>0</v>
      </c>
      <c r="I5099" t="n">
        <v>0</v>
      </c>
      <c r="J5099" t="n">
        <v>0</v>
      </c>
      <c r="K5099" t="n">
        <v>0</v>
      </c>
      <c r="L5099" t="n">
        <v>0</v>
      </c>
      <c r="M5099" t="n">
        <v>0</v>
      </c>
      <c r="N5099" t="n">
        <v>0</v>
      </c>
      <c r="O5099" t="n">
        <v>0</v>
      </c>
      <c r="P5099" t="n">
        <v>0</v>
      </c>
      <c r="Q5099" t="n">
        <v>0</v>
      </c>
      <c r="R5099" s="2" t="inlineStr"/>
    </row>
    <row r="5100" ht="15" customHeight="1">
      <c r="A5100" t="inlineStr">
        <is>
          <t>A 32210-2022</t>
        </is>
      </c>
      <c r="B5100" s="1" t="n">
        <v>44781</v>
      </c>
      <c r="C5100" s="1" t="n">
        <v>45182</v>
      </c>
      <c r="D5100" t="inlineStr">
        <is>
          <t>JÄMTLANDS LÄN</t>
        </is>
      </c>
      <c r="E5100" t="inlineStr">
        <is>
          <t>ÅRE</t>
        </is>
      </c>
      <c r="G5100" t="n">
        <v>17.3</v>
      </c>
      <c r="H5100" t="n">
        <v>0</v>
      </c>
      <c r="I5100" t="n">
        <v>0</v>
      </c>
      <c r="J5100" t="n">
        <v>0</v>
      </c>
      <c r="K5100" t="n">
        <v>0</v>
      </c>
      <c r="L5100" t="n">
        <v>0</v>
      </c>
      <c r="M5100" t="n">
        <v>0</v>
      </c>
      <c r="N5100" t="n">
        <v>0</v>
      </c>
      <c r="O5100" t="n">
        <v>0</v>
      </c>
      <c r="P5100" t="n">
        <v>0</v>
      </c>
      <c r="Q5100" t="n">
        <v>0</v>
      </c>
      <c r="R5100" s="2" t="inlineStr"/>
    </row>
    <row r="5101" ht="15" customHeight="1">
      <c r="A5101" t="inlineStr">
        <is>
          <t>A 32307-2022</t>
        </is>
      </c>
      <c r="B5101" s="1" t="n">
        <v>44781</v>
      </c>
      <c r="C5101" s="1" t="n">
        <v>45182</v>
      </c>
      <c r="D5101" t="inlineStr">
        <is>
          <t>JÄMTLANDS LÄN</t>
        </is>
      </c>
      <c r="E5101" t="inlineStr">
        <is>
          <t>BERG</t>
        </is>
      </c>
      <c r="G5101" t="n">
        <v>4.8</v>
      </c>
      <c r="H5101" t="n">
        <v>0</v>
      </c>
      <c r="I5101" t="n">
        <v>0</v>
      </c>
      <c r="J5101" t="n">
        <v>0</v>
      </c>
      <c r="K5101" t="n">
        <v>0</v>
      </c>
      <c r="L5101" t="n">
        <v>0</v>
      </c>
      <c r="M5101" t="n">
        <v>0</v>
      </c>
      <c r="N5101" t="n">
        <v>0</v>
      </c>
      <c r="O5101" t="n">
        <v>0</v>
      </c>
      <c r="P5101" t="n">
        <v>0</v>
      </c>
      <c r="Q5101" t="n">
        <v>0</v>
      </c>
      <c r="R5101" s="2" t="inlineStr"/>
    </row>
    <row r="5102" ht="15" customHeight="1">
      <c r="A5102" t="inlineStr">
        <is>
          <t>A 32212-2022</t>
        </is>
      </c>
      <c r="B5102" s="1" t="n">
        <v>44781</v>
      </c>
      <c r="C5102" s="1" t="n">
        <v>45182</v>
      </c>
      <c r="D5102" t="inlineStr">
        <is>
          <t>JÄMTLANDS LÄN</t>
        </is>
      </c>
      <c r="E5102" t="inlineStr">
        <is>
          <t>ÅRE</t>
        </is>
      </c>
      <c r="G5102" t="n">
        <v>7.7</v>
      </c>
      <c r="H5102" t="n">
        <v>0</v>
      </c>
      <c r="I5102" t="n">
        <v>0</v>
      </c>
      <c r="J5102" t="n">
        <v>0</v>
      </c>
      <c r="K5102" t="n">
        <v>0</v>
      </c>
      <c r="L5102" t="n">
        <v>0</v>
      </c>
      <c r="M5102" t="n">
        <v>0</v>
      </c>
      <c r="N5102" t="n">
        <v>0</v>
      </c>
      <c r="O5102" t="n">
        <v>0</v>
      </c>
      <c r="P5102" t="n">
        <v>0</v>
      </c>
      <c r="Q5102" t="n">
        <v>0</v>
      </c>
      <c r="R5102" s="2" t="inlineStr"/>
    </row>
    <row r="5103" ht="15" customHeight="1">
      <c r="A5103" t="inlineStr">
        <is>
          <t>A 32288-2022</t>
        </is>
      </c>
      <c r="B5103" s="1" t="n">
        <v>44781</v>
      </c>
      <c r="C5103" s="1" t="n">
        <v>45182</v>
      </c>
      <c r="D5103" t="inlineStr">
        <is>
          <t>JÄMTLANDS LÄN</t>
        </is>
      </c>
      <c r="E5103" t="inlineStr">
        <is>
          <t>RAGUNDA</t>
        </is>
      </c>
      <c r="G5103" t="n">
        <v>0.8</v>
      </c>
      <c r="H5103" t="n">
        <v>0</v>
      </c>
      <c r="I5103" t="n">
        <v>0</v>
      </c>
      <c r="J5103" t="n">
        <v>0</v>
      </c>
      <c r="K5103" t="n">
        <v>0</v>
      </c>
      <c r="L5103" t="n">
        <v>0</v>
      </c>
      <c r="M5103" t="n">
        <v>0</v>
      </c>
      <c r="N5103" t="n">
        <v>0</v>
      </c>
      <c r="O5103" t="n">
        <v>0</v>
      </c>
      <c r="P5103" t="n">
        <v>0</v>
      </c>
      <c r="Q5103" t="n">
        <v>0</v>
      </c>
      <c r="R5103" s="2" t="inlineStr"/>
    </row>
    <row r="5104" ht="15" customHeight="1">
      <c r="A5104" t="inlineStr">
        <is>
          <t>A 32153-2022</t>
        </is>
      </c>
      <c r="B5104" s="1" t="n">
        <v>44781</v>
      </c>
      <c r="C5104" s="1" t="n">
        <v>45182</v>
      </c>
      <c r="D5104" t="inlineStr">
        <is>
          <t>JÄMTLANDS LÄN</t>
        </is>
      </c>
      <c r="E5104" t="inlineStr">
        <is>
          <t>STRÖMSUND</t>
        </is>
      </c>
      <c r="G5104" t="n">
        <v>27.4</v>
      </c>
      <c r="H5104" t="n">
        <v>0</v>
      </c>
      <c r="I5104" t="n">
        <v>0</v>
      </c>
      <c r="J5104" t="n">
        <v>0</v>
      </c>
      <c r="K5104" t="n">
        <v>0</v>
      </c>
      <c r="L5104" t="n">
        <v>0</v>
      </c>
      <c r="M5104" t="n">
        <v>0</v>
      </c>
      <c r="N5104" t="n">
        <v>0</v>
      </c>
      <c r="O5104" t="n">
        <v>0</v>
      </c>
      <c r="P5104" t="n">
        <v>0</v>
      </c>
      <c r="Q5104" t="n">
        <v>0</v>
      </c>
      <c r="R5104" s="2" t="inlineStr"/>
    </row>
    <row r="5105" ht="15" customHeight="1">
      <c r="A5105" t="inlineStr">
        <is>
          <t>A 32526-2022</t>
        </is>
      </c>
      <c r="B5105" s="1" t="n">
        <v>44782</v>
      </c>
      <c r="C5105" s="1" t="n">
        <v>45182</v>
      </c>
      <c r="D5105" t="inlineStr">
        <is>
          <t>JÄMTLANDS LÄN</t>
        </is>
      </c>
      <c r="E5105" t="inlineStr">
        <is>
          <t>RAGUNDA</t>
        </is>
      </c>
      <c r="F5105" t="inlineStr">
        <is>
          <t>SCA</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32758-2022</t>
        </is>
      </c>
      <c r="B5106" s="1" t="n">
        <v>44783</v>
      </c>
      <c r="C5106" s="1" t="n">
        <v>45182</v>
      </c>
      <c r="D5106" t="inlineStr">
        <is>
          <t>JÄMTLANDS LÄN</t>
        </is>
      </c>
      <c r="E5106" t="inlineStr">
        <is>
          <t>ÅRE</t>
        </is>
      </c>
      <c r="G5106" t="n">
        <v>8.4</v>
      </c>
      <c r="H5106" t="n">
        <v>0</v>
      </c>
      <c r="I5106" t="n">
        <v>0</v>
      </c>
      <c r="J5106" t="n">
        <v>0</v>
      </c>
      <c r="K5106" t="n">
        <v>0</v>
      </c>
      <c r="L5106" t="n">
        <v>0</v>
      </c>
      <c r="M5106" t="n">
        <v>0</v>
      </c>
      <c r="N5106" t="n">
        <v>0</v>
      </c>
      <c r="O5106" t="n">
        <v>0</v>
      </c>
      <c r="P5106" t="n">
        <v>0</v>
      </c>
      <c r="Q5106" t="n">
        <v>0</v>
      </c>
      <c r="R5106" s="2" t="inlineStr"/>
    </row>
    <row r="5107" ht="15" customHeight="1">
      <c r="A5107" t="inlineStr">
        <is>
          <t>A 32780-2022</t>
        </is>
      </c>
      <c r="B5107" s="1" t="n">
        <v>44783</v>
      </c>
      <c r="C5107" s="1" t="n">
        <v>45182</v>
      </c>
      <c r="D5107" t="inlineStr">
        <is>
          <t>JÄMTLANDS LÄN</t>
        </is>
      </c>
      <c r="E5107" t="inlineStr">
        <is>
          <t>RAGUNDA</t>
        </is>
      </c>
      <c r="F5107" t="inlineStr">
        <is>
          <t>SCA</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32974-2022</t>
        </is>
      </c>
      <c r="B5108" s="1" t="n">
        <v>44784</v>
      </c>
      <c r="C5108" s="1" t="n">
        <v>45182</v>
      </c>
      <c r="D5108" t="inlineStr">
        <is>
          <t>JÄMTLANDS LÄN</t>
        </is>
      </c>
      <c r="E5108" t="inlineStr">
        <is>
          <t>HÄRJEDALEN</t>
        </is>
      </c>
      <c r="F5108" t="inlineStr">
        <is>
          <t>SCA</t>
        </is>
      </c>
      <c r="G5108" t="n">
        <v>14</v>
      </c>
      <c r="H5108" t="n">
        <v>0</v>
      </c>
      <c r="I5108" t="n">
        <v>0</v>
      </c>
      <c r="J5108" t="n">
        <v>0</v>
      </c>
      <c r="K5108" t="n">
        <v>0</v>
      </c>
      <c r="L5108" t="n">
        <v>0</v>
      </c>
      <c r="M5108" t="n">
        <v>0</v>
      </c>
      <c r="N5108" t="n">
        <v>0</v>
      </c>
      <c r="O5108" t="n">
        <v>0</v>
      </c>
      <c r="P5108" t="n">
        <v>0</v>
      </c>
      <c r="Q5108" t="n">
        <v>0</v>
      </c>
      <c r="R5108" s="2" t="inlineStr"/>
    </row>
    <row r="5109" ht="15" customHeight="1">
      <c r="A5109" t="inlineStr">
        <is>
          <t>A 32996-2022</t>
        </is>
      </c>
      <c r="B5109" s="1" t="n">
        <v>44784</v>
      </c>
      <c r="C5109" s="1" t="n">
        <v>45182</v>
      </c>
      <c r="D5109" t="inlineStr">
        <is>
          <t>JÄMTLANDS LÄN</t>
        </is>
      </c>
      <c r="E5109" t="inlineStr">
        <is>
          <t>STRÖMSUND</t>
        </is>
      </c>
      <c r="F5109" t="inlineStr">
        <is>
          <t>SCA</t>
        </is>
      </c>
      <c r="G5109" t="n">
        <v>2.9</v>
      </c>
      <c r="H5109" t="n">
        <v>0</v>
      </c>
      <c r="I5109" t="n">
        <v>0</v>
      </c>
      <c r="J5109" t="n">
        <v>0</v>
      </c>
      <c r="K5109" t="n">
        <v>0</v>
      </c>
      <c r="L5109" t="n">
        <v>0</v>
      </c>
      <c r="M5109" t="n">
        <v>0</v>
      </c>
      <c r="N5109" t="n">
        <v>0</v>
      </c>
      <c r="O5109" t="n">
        <v>0</v>
      </c>
      <c r="P5109" t="n">
        <v>0</v>
      </c>
      <c r="Q5109" t="n">
        <v>0</v>
      </c>
      <c r="R5109" s="2" t="inlineStr"/>
    </row>
    <row r="5110" ht="15" customHeight="1">
      <c r="A5110" t="inlineStr">
        <is>
          <t>A 33003-2022</t>
        </is>
      </c>
      <c r="B5110" s="1" t="n">
        <v>44784</v>
      </c>
      <c r="C5110" s="1" t="n">
        <v>45182</v>
      </c>
      <c r="D5110" t="inlineStr">
        <is>
          <t>JÄMTLANDS LÄN</t>
        </is>
      </c>
      <c r="E5110" t="inlineStr">
        <is>
          <t>ÅRE</t>
        </is>
      </c>
      <c r="G5110" t="n">
        <v>6.1</v>
      </c>
      <c r="H5110" t="n">
        <v>0</v>
      </c>
      <c r="I5110" t="n">
        <v>0</v>
      </c>
      <c r="J5110" t="n">
        <v>0</v>
      </c>
      <c r="K5110" t="n">
        <v>0</v>
      </c>
      <c r="L5110" t="n">
        <v>0</v>
      </c>
      <c r="M5110" t="n">
        <v>0</v>
      </c>
      <c r="N5110" t="n">
        <v>0</v>
      </c>
      <c r="O5110" t="n">
        <v>0</v>
      </c>
      <c r="P5110" t="n">
        <v>0</v>
      </c>
      <c r="Q5110" t="n">
        <v>0</v>
      </c>
      <c r="R5110" s="2" t="inlineStr"/>
    </row>
    <row r="5111" ht="15" customHeight="1">
      <c r="A5111" t="inlineStr">
        <is>
          <t>A 33015-2022</t>
        </is>
      </c>
      <c r="B5111" s="1" t="n">
        <v>44784</v>
      </c>
      <c r="C5111" s="1" t="n">
        <v>45182</v>
      </c>
      <c r="D5111" t="inlineStr">
        <is>
          <t>JÄMTLANDS LÄN</t>
        </is>
      </c>
      <c r="E5111" t="inlineStr">
        <is>
          <t>ÅRE</t>
        </is>
      </c>
      <c r="G5111" t="n">
        <v>5.1</v>
      </c>
      <c r="H5111" t="n">
        <v>0</v>
      </c>
      <c r="I5111" t="n">
        <v>0</v>
      </c>
      <c r="J5111" t="n">
        <v>0</v>
      </c>
      <c r="K5111" t="n">
        <v>0</v>
      </c>
      <c r="L5111" t="n">
        <v>0</v>
      </c>
      <c r="M5111" t="n">
        <v>0</v>
      </c>
      <c r="N5111" t="n">
        <v>0</v>
      </c>
      <c r="O5111" t="n">
        <v>0</v>
      </c>
      <c r="P5111" t="n">
        <v>0</v>
      </c>
      <c r="Q5111" t="n">
        <v>0</v>
      </c>
      <c r="R5111" s="2" t="inlineStr"/>
    </row>
    <row r="5112" ht="15" customHeight="1">
      <c r="A5112" t="inlineStr">
        <is>
          <t>A 32865-2022</t>
        </is>
      </c>
      <c r="B5112" s="1" t="n">
        <v>44784</v>
      </c>
      <c r="C5112" s="1" t="n">
        <v>45182</v>
      </c>
      <c r="D5112" t="inlineStr">
        <is>
          <t>JÄMTLANDS LÄN</t>
        </is>
      </c>
      <c r="E5112" t="inlineStr">
        <is>
          <t>STRÖMSUND</t>
        </is>
      </c>
      <c r="G5112" t="n">
        <v>2.1</v>
      </c>
      <c r="H5112" t="n">
        <v>0</v>
      </c>
      <c r="I5112" t="n">
        <v>0</v>
      </c>
      <c r="J5112" t="n">
        <v>0</v>
      </c>
      <c r="K5112" t="n">
        <v>0</v>
      </c>
      <c r="L5112" t="n">
        <v>0</v>
      </c>
      <c r="M5112" t="n">
        <v>0</v>
      </c>
      <c r="N5112" t="n">
        <v>0</v>
      </c>
      <c r="O5112" t="n">
        <v>0</v>
      </c>
      <c r="P5112" t="n">
        <v>0</v>
      </c>
      <c r="Q5112" t="n">
        <v>0</v>
      </c>
      <c r="R5112" s="2" t="inlineStr"/>
    </row>
    <row r="5113" ht="15" customHeight="1">
      <c r="A5113" t="inlineStr">
        <is>
          <t>A 32932-2022</t>
        </is>
      </c>
      <c r="B5113" s="1" t="n">
        <v>44784</v>
      </c>
      <c r="C5113" s="1" t="n">
        <v>45182</v>
      </c>
      <c r="D5113" t="inlineStr">
        <is>
          <t>JÄMTLANDS LÄN</t>
        </is>
      </c>
      <c r="E5113" t="inlineStr">
        <is>
          <t>STRÖMSUND</t>
        </is>
      </c>
      <c r="G5113" t="n">
        <v>1.6</v>
      </c>
      <c r="H5113" t="n">
        <v>0</v>
      </c>
      <c r="I5113" t="n">
        <v>0</v>
      </c>
      <c r="J5113" t="n">
        <v>0</v>
      </c>
      <c r="K5113" t="n">
        <v>0</v>
      </c>
      <c r="L5113" t="n">
        <v>0</v>
      </c>
      <c r="M5113" t="n">
        <v>0</v>
      </c>
      <c r="N5113" t="n">
        <v>0</v>
      </c>
      <c r="O5113" t="n">
        <v>0</v>
      </c>
      <c r="P5113" t="n">
        <v>0</v>
      </c>
      <c r="Q5113" t="n">
        <v>0</v>
      </c>
      <c r="R5113" s="2" t="inlineStr"/>
    </row>
    <row r="5114" ht="15" customHeight="1">
      <c r="A5114" t="inlineStr">
        <is>
          <t>A 33023-2022</t>
        </is>
      </c>
      <c r="B5114" s="1" t="n">
        <v>44784</v>
      </c>
      <c r="C5114" s="1" t="n">
        <v>45182</v>
      </c>
      <c r="D5114" t="inlineStr">
        <is>
          <t>JÄMTLANDS LÄN</t>
        </is>
      </c>
      <c r="E5114" t="inlineStr">
        <is>
          <t>ÅRE</t>
        </is>
      </c>
      <c r="G5114" t="n">
        <v>2.5</v>
      </c>
      <c r="H5114" t="n">
        <v>0</v>
      </c>
      <c r="I5114" t="n">
        <v>0</v>
      </c>
      <c r="J5114" t="n">
        <v>0</v>
      </c>
      <c r="K5114" t="n">
        <v>0</v>
      </c>
      <c r="L5114" t="n">
        <v>0</v>
      </c>
      <c r="M5114" t="n">
        <v>0</v>
      </c>
      <c r="N5114" t="n">
        <v>0</v>
      </c>
      <c r="O5114" t="n">
        <v>0</v>
      </c>
      <c r="P5114" t="n">
        <v>0</v>
      </c>
      <c r="Q5114" t="n">
        <v>0</v>
      </c>
      <c r="R5114" s="2" t="inlineStr"/>
    </row>
    <row r="5115" ht="15" customHeight="1">
      <c r="A5115" t="inlineStr">
        <is>
          <t>A 33123-2022</t>
        </is>
      </c>
      <c r="B5115" s="1" t="n">
        <v>44785</v>
      </c>
      <c r="C5115" s="1" t="n">
        <v>45182</v>
      </c>
      <c r="D5115" t="inlineStr">
        <is>
          <t>JÄMTLANDS LÄN</t>
        </is>
      </c>
      <c r="E5115" t="inlineStr">
        <is>
          <t>BERG</t>
        </is>
      </c>
      <c r="G5115" t="n">
        <v>1</v>
      </c>
      <c r="H5115" t="n">
        <v>0</v>
      </c>
      <c r="I5115" t="n">
        <v>0</v>
      </c>
      <c r="J5115" t="n">
        <v>0</v>
      </c>
      <c r="K5115" t="n">
        <v>0</v>
      </c>
      <c r="L5115" t="n">
        <v>0</v>
      </c>
      <c r="M5115" t="n">
        <v>0</v>
      </c>
      <c r="N5115" t="n">
        <v>0</v>
      </c>
      <c r="O5115" t="n">
        <v>0</v>
      </c>
      <c r="P5115" t="n">
        <v>0</v>
      </c>
      <c r="Q5115" t="n">
        <v>0</v>
      </c>
      <c r="R5115" s="2" t="inlineStr"/>
    </row>
    <row r="5116" ht="15" customHeight="1">
      <c r="A5116" t="inlineStr">
        <is>
          <t>A 33224-2022</t>
        </is>
      </c>
      <c r="B5116" s="1" t="n">
        <v>44785</v>
      </c>
      <c r="C5116" s="1" t="n">
        <v>45182</v>
      </c>
      <c r="D5116" t="inlineStr">
        <is>
          <t>JÄMTLANDS LÄN</t>
        </is>
      </c>
      <c r="E5116" t="inlineStr">
        <is>
          <t>STRÖMSUND</t>
        </is>
      </c>
      <c r="F5116" t="inlineStr">
        <is>
          <t>SCA</t>
        </is>
      </c>
      <c r="G5116" t="n">
        <v>2.7</v>
      </c>
      <c r="H5116" t="n">
        <v>0</v>
      </c>
      <c r="I5116" t="n">
        <v>0</v>
      </c>
      <c r="J5116" t="n">
        <v>0</v>
      </c>
      <c r="K5116" t="n">
        <v>0</v>
      </c>
      <c r="L5116" t="n">
        <v>0</v>
      </c>
      <c r="M5116" t="n">
        <v>0</v>
      </c>
      <c r="N5116" t="n">
        <v>0</v>
      </c>
      <c r="O5116" t="n">
        <v>0</v>
      </c>
      <c r="P5116" t="n">
        <v>0</v>
      </c>
      <c r="Q5116" t="n">
        <v>0</v>
      </c>
      <c r="R5116" s="2" t="inlineStr"/>
    </row>
    <row r="5117" ht="15" customHeight="1">
      <c r="A5117" t="inlineStr">
        <is>
          <t>A 33223-2022</t>
        </is>
      </c>
      <c r="B5117" s="1" t="n">
        <v>44785</v>
      </c>
      <c r="C5117" s="1" t="n">
        <v>45182</v>
      </c>
      <c r="D5117" t="inlineStr">
        <is>
          <t>JÄMTLANDS LÄN</t>
        </is>
      </c>
      <c r="E5117" t="inlineStr">
        <is>
          <t>STRÖMSUND</t>
        </is>
      </c>
      <c r="F5117" t="inlineStr">
        <is>
          <t>SCA</t>
        </is>
      </c>
      <c r="G5117" t="n">
        <v>4.4</v>
      </c>
      <c r="H5117" t="n">
        <v>0</v>
      </c>
      <c r="I5117" t="n">
        <v>0</v>
      </c>
      <c r="J5117" t="n">
        <v>0</v>
      </c>
      <c r="K5117" t="n">
        <v>0</v>
      </c>
      <c r="L5117" t="n">
        <v>0</v>
      </c>
      <c r="M5117" t="n">
        <v>0</v>
      </c>
      <c r="N5117" t="n">
        <v>0</v>
      </c>
      <c r="O5117" t="n">
        <v>0</v>
      </c>
      <c r="P5117" t="n">
        <v>0</v>
      </c>
      <c r="Q5117" t="n">
        <v>0</v>
      </c>
      <c r="R5117" s="2" t="inlineStr"/>
    </row>
    <row r="5118" ht="15" customHeight="1">
      <c r="A5118" t="inlineStr">
        <is>
          <t>A 33054-2022</t>
        </is>
      </c>
      <c r="B5118" s="1" t="n">
        <v>44785</v>
      </c>
      <c r="C5118" s="1" t="n">
        <v>45182</v>
      </c>
      <c r="D5118" t="inlineStr">
        <is>
          <t>JÄMTLANDS LÄN</t>
        </is>
      </c>
      <c r="E5118" t="inlineStr">
        <is>
          <t>STRÖMSUND</t>
        </is>
      </c>
      <c r="G5118" t="n">
        <v>5</v>
      </c>
      <c r="H5118" t="n">
        <v>0</v>
      </c>
      <c r="I5118" t="n">
        <v>0</v>
      </c>
      <c r="J5118" t="n">
        <v>0</v>
      </c>
      <c r="K5118" t="n">
        <v>0</v>
      </c>
      <c r="L5118" t="n">
        <v>0</v>
      </c>
      <c r="M5118" t="n">
        <v>0</v>
      </c>
      <c r="N5118" t="n">
        <v>0</v>
      </c>
      <c r="O5118" t="n">
        <v>0</v>
      </c>
      <c r="P5118" t="n">
        <v>0</v>
      </c>
      <c r="Q5118" t="n">
        <v>0</v>
      </c>
      <c r="R5118" s="2" t="inlineStr"/>
    </row>
    <row r="5119" ht="15" customHeight="1">
      <c r="A5119" t="inlineStr">
        <is>
          <t>A 33068-2022</t>
        </is>
      </c>
      <c r="B5119" s="1" t="n">
        <v>44785</v>
      </c>
      <c r="C5119" s="1" t="n">
        <v>45182</v>
      </c>
      <c r="D5119" t="inlineStr">
        <is>
          <t>JÄMTLANDS LÄN</t>
        </is>
      </c>
      <c r="E5119" t="inlineStr">
        <is>
          <t>BERG</t>
        </is>
      </c>
      <c r="G5119" t="n">
        <v>6</v>
      </c>
      <c r="H5119" t="n">
        <v>0</v>
      </c>
      <c r="I5119" t="n">
        <v>0</v>
      </c>
      <c r="J5119" t="n">
        <v>0</v>
      </c>
      <c r="K5119" t="n">
        <v>0</v>
      </c>
      <c r="L5119" t="n">
        <v>0</v>
      </c>
      <c r="M5119" t="n">
        <v>0</v>
      </c>
      <c r="N5119" t="n">
        <v>0</v>
      </c>
      <c r="O5119" t="n">
        <v>0</v>
      </c>
      <c r="P5119" t="n">
        <v>0</v>
      </c>
      <c r="Q5119" t="n">
        <v>0</v>
      </c>
      <c r="R5119" s="2" t="inlineStr"/>
    </row>
    <row r="5120" ht="15" customHeight="1">
      <c r="A5120" t="inlineStr">
        <is>
          <t>A 33362-2022</t>
        </is>
      </c>
      <c r="B5120" s="1" t="n">
        <v>44788</v>
      </c>
      <c r="C5120" s="1" t="n">
        <v>45182</v>
      </c>
      <c r="D5120" t="inlineStr">
        <is>
          <t>JÄMTLANDS LÄN</t>
        </is>
      </c>
      <c r="E5120" t="inlineStr">
        <is>
          <t>KROKOM</t>
        </is>
      </c>
      <c r="F5120" t="inlineStr">
        <is>
          <t>Övriga Aktiebolag</t>
        </is>
      </c>
      <c r="G5120" t="n">
        <v>6.8</v>
      </c>
      <c r="H5120" t="n">
        <v>0</v>
      </c>
      <c r="I5120" t="n">
        <v>0</v>
      </c>
      <c r="J5120" t="n">
        <v>0</v>
      </c>
      <c r="K5120" t="n">
        <v>0</v>
      </c>
      <c r="L5120" t="n">
        <v>0</v>
      </c>
      <c r="M5120" t="n">
        <v>0</v>
      </c>
      <c r="N5120" t="n">
        <v>0</v>
      </c>
      <c r="O5120" t="n">
        <v>0</v>
      </c>
      <c r="P5120" t="n">
        <v>0</v>
      </c>
      <c r="Q5120" t="n">
        <v>0</v>
      </c>
      <c r="R5120" s="2" t="inlineStr"/>
    </row>
    <row r="5121" ht="15" customHeight="1">
      <c r="A5121" t="inlineStr">
        <is>
          <t>A 33481-2022</t>
        </is>
      </c>
      <c r="B5121" s="1" t="n">
        <v>44788</v>
      </c>
      <c r="C5121" s="1" t="n">
        <v>45182</v>
      </c>
      <c r="D5121" t="inlineStr">
        <is>
          <t>JÄMTLANDS LÄN</t>
        </is>
      </c>
      <c r="E5121" t="inlineStr">
        <is>
          <t>BRÄCKE</t>
        </is>
      </c>
      <c r="F5121" t="inlineStr">
        <is>
          <t>Sveaskog</t>
        </is>
      </c>
      <c r="G5121" t="n">
        <v>3.4</v>
      </c>
      <c r="H5121" t="n">
        <v>0</v>
      </c>
      <c r="I5121" t="n">
        <v>0</v>
      </c>
      <c r="J5121" t="n">
        <v>0</v>
      </c>
      <c r="K5121" t="n">
        <v>0</v>
      </c>
      <c r="L5121" t="n">
        <v>0</v>
      </c>
      <c r="M5121" t="n">
        <v>0</v>
      </c>
      <c r="N5121" t="n">
        <v>0</v>
      </c>
      <c r="O5121" t="n">
        <v>0</v>
      </c>
      <c r="P5121" t="n">
        <v>0</v>
      </c>
      <c r="Q5121" t="n">
        <v>0</v>
      </c>
      <c r="R5121" s="2" t="inlineStr"/>
    </row>
    <row r="5122" ht="15" customHeight="1">
      <c r="A5122" t="inlineStr">
        <is>
          <t>A 33314-2022</t>
        </is>
      </c>
      <c r="B5122" s="1" t="n">
        <v>44788</v>
      </c>
      <c r="C5122" s="1" t="n">
        <v>45182</v>
      </c>
      <c r="D5122" t="inlineStr">
        <is>
          <t>JÄMTLANDS LÄN</t>
        </is>
      </c>
      <c r="E5122" t="inlineStr">
        <is>
          <t>KROKOM</t>
        </is>
      </c>
      <c r="G5122" t="n">
        <v>7.4</v>
      </c>
      <c r="H5122" t="n">
        <v>0</v>
      </c>
      <c r="I5122" t="n">
        <v>0</v>
      </c>
      <c r="J5122" t="n">
        <v>0</v>
      </c>
      <c r="K5122" t="n">
        <v>0</v>
      </c>
      <c r="L5122" t="n">
        <v>0</v>
      </c>
      <c r="M5122" t="n">
        <v>0</v>
      </c>
      <c r="N5122" t="n">
        <v>0</v>
      </c>
      <c r="O5122" t="n">
        <v>0</v>
      </c>
      <c r="P5122" t="n">
        <v>0</v>
      </c>
      <c r="Q5122" t="n">
        <v>0</v>
      </c>
      <c r="R5122" s="2" t="inlineStr"/>
    </row>
    <row r="5123" ht="15" customHeight="1">
      <c r="A5123" t="inlineStr">
        <is>
          <t>A 33327-2022</t>
        </is>
      </c>
      <c r="B5123" s="1" t="n">
        <v>44788</v>
      </c>
      <c r="C5123" s="1" t="n">
        <v>45182</v>
      </c>
      <c r="D5123" t="inlineStr">
        <is>
          <t>JÄMTLANDS LÄN</t>
        </is>
      </c>
      <c r="E5123" t="inlineStr">
        <is>
          <t>KROKOM</t>
        </is>
      </c>
      <c r="G5123" t="n">
        <v>0.8</v>
      </c>
      <c r="H5123" t="n">
        <v>0</v>
      </c>
      <c r="I5123" t="n">
        <v>0</v>
      </c>
      <c r="J5123" t="n">
        <v>0</v>
      </c>
      <c r="K5123" t="n">
        <v>0</v>
      </c>
      <c r="L5123" t="n">
        <v>0</v>
      </c>
      <c r="M5123" t="n">
        <v>0</v>
      </c>
      <c r="N5123" t="n">
        <v>0</v>
      </c>
      <c r="O5123" t="n">
        <v>0</v>
      </c>
      <c r="P5123" t="n">
        <v>0</v>
      </c>
      <c r="Q5123" t="n">
        <v>0</v>
      </c>
      <c r="R5123" s="2" t="inlineStr"/>
    </row>
    <row r="5124" ht="15" customHeight="1">
      <c r="A5124" t="inlineStr">
        <is>
          <t>A 33359-2022</t>
        </is>
      </c>
      <c r="B5124" s="1" t="n">
        <v>44788</v>
      </c>
      <c r="C5124" s="1" t="n">
        <v>45182</v>
      </c>
      <c r="D5124" t="inlineStr">
        <is>
          <t>JÄMTLANDS LÄN</t>
        </is>
      </c>
      <c r="E5124" t="inlineStr">
        <is>
          <t>KROKOM</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33480-2022</t>
        </is>
      </c>
      <c r="B5125" s="1" t="n">
        <v>44788</v>
      </c>
      <c r="C5125" s="1" t="n">
        <v>45182</v>
      </c>
      <c r="D5125" t="inlineStr">
        <is>
          <t>JÄMTLANDS LÄN</t>
        </is>
      </c>
      <c r="E5125" t="inlineStr">
        <is>
          <t>ÅRE</t>
        </is>
      </c>
      <c r="F5125" t="inlineStr">
        <is>
          <t>Sveaskog</t>
        </is>
      </c>
      <c r="G5125" t="n">
        <v>4</v>
      </c>
      <c r="H5125" t="n">
        <v>0</v>
      </c>
      <c r="I5125" t="n">
        <v>0</v>
      </c>
      <c r="J5125" t="n">
        <v>0</v>
      </c>
      <c r="K5125" t="n">
        <v>0</v>
      </c>
      <c r="L5125" t="n">
        <v>0</v>
      </c>
      <c r="M5125" t="n">
        <v>0</v>
      </c>
      <c r="N5125" t="n">
        <v>0</v>
      </c>
      <c r="O5125" t="n">
        <v>0</v>
      </c>
      <c r="P5125" t="n">
        <v>0</v>
      </c>
      <c r="Q5125" t="n">
        <v>0</v>
      </c>
      <c r="R5125" s="2" t="inlineStr"/>
    </row>
    <row r="5126" ht="15" customHeight="1">
      <c r="A5126" t="inlineStr">
        <is>
          <t>A 33501-2022</t>
        </is>
      </c>
      <c r="B5126" s="1" t="n">
        <v>44788</v>
      </c>
      <c r="C5126" s="1" t="n">
        <v>45182</v>
      </c>
      <c r="D5126" t="inlineStr">
        <is>
          <t>JÄMTLANDS LÄN</t>
        </is>
      </c>
      <c r="E5126" t="inlineStr">
        <is>
          <t>STRÖMSUND</t>
        </is>
      </c>
      <c r="G5126" t="n">
        <v>2.1</v>
      </c>
      <c r="H5126" t="n">
        <v>0</v>
      </c>
      <c r="I5126" t="n">
        <v>0</v>
      </c>
      <c r="J5126" t="n">
        <v>0</v>
      </c>
      <c r="K5126" t="n">
        <v>0</v>
      </c>
      <c r="L5126" t="n">
        <v>0</v>
      </c>
      <c r="M5126" t="n">
        <v>0</v>
      </c>
      <c r="N5126" t="n">
        <v>0</v>
      </c>
      <c r="O5126" t="n">
        <v>0</v>
      </c>
      <c r="P5126" t="n">
        <v>0</v>
      </c>
      <c r="Q5126" t="n">
        <v>0</v>
      </c>
      <c r="R5126" s="2" t="inlineStr"/>
    </row>
    <row r="5127" ht="15" customHeight="1">
      <c r="A5127" t="inlineStr">
        <is>
          <t>A 33278-2022</t>
        </is>
      </c>
      <c r="B5127" s="1" t="n">
        <v>44788</v>
      </c>
      <c r="C5127" s="1" t="n">
        <v>45182</v>
      </c>
      <c r="D5127" t="inlineStr">
        <is>
          <t>JÄMTLANDS LÄN</t>
        </is>
      </c>
      <c r="E5127" t="inlineStr">
        <is>
          <t>RAGUNDA</t>
        </is>
      </c>
      <c r="G5127" t="n">
        <v>3.2</v>
      </c>
      <c r="H5127" t="n">
        <v>0</v>
      </c>
      <c r="I5127" t="n">
        <v>0</v>
      </c>
      <c r="J5127" t="n">
        <v>0</v>
      </c>
      <c r="K5127" t="n">
        <v>0</v>
      </c>
      <c r="L5127" t="n">
        <v>0</v>
      </c>
      <c r="M5127" t="n">
        <v>0</v>
      </c>
      <c r="N5127" t="n">
        <v>0</v>
      </c>
      <c r="O5127" t="n">
        <v>0</v>
      </c>
      <c r="P5127" t="n">
        <v>0</v>
      </c>
      <c r="Q5127" t="n">
        <v>0</v>
      </c>
      <c r="R5127" s="2" t="inlineStr"/>
    </row>
    <row r="5128" ht="15" customHeight="1">
      <c r="A5128" t="inlineStr">
        <is>
          <t>A 33395-2022</t>
        </is>
      </c>
      <c r="B5128" s="1" t="n">
        <v>44788</v>
      </c>
      <c r="C5128" s="1" t="n">
        <v>45182</v>
      </c>
      <c r="D5128" t="inlineStr">
        <is>
          <t>JÄMTLANDS LÄN</t>
        </is>
      </c>
      <c r="E5128" t="inlineStr">
        <is>
          <t>KROKOM</t>
        </is>
      </c>
      <c r="F5128" t="inlineStr">
        <is>
          <t>Övriga Aktiebolag</t>
        </is>
      </c>
      <c r="G5128" t="n">
        <v>6.2</v>
      </c>
      <c r="H5128" t="n">
        <v>0</v>
      </c>
      <c r="I5128" t="n">
        <v>0</v>
      </c>
      <c r="J5128" t="n">
        <v>0</v>
      </c>
      <c r="K5128" t="n">
        <v>0</v>
      </c>
      <c r="L5128" t="n">
        <v>0</v>
      </c>
      <c r="M5128" t="n">
        <v>0</v>
      </c>
      <c r="N5128" t="n">
        <v>0</v>
      </c>
      <c r="O5128" t="n">
        <v>0</v>
      </c>
      <c r="P5128" t="n">
        <v>0</v>
      </c>
      <c r="Q5128" t="n">
        <v>0</v>
      </c>
      <c r="R5128" s="2" t="inlineStr"/>
    </row>
    <row r="5129" ht="15" customHeight="1">
      <c r="A5129" t="inlineStr">
        <is>
          <t>A 33482-2022</t>
        </is>
      </c>
      <c r="B5129" s="1" t="n">
        <v>44788</v>
      </c>
      <c r="C5129" s="1" t="n">
        <v>45182</v>
      </c>
      <c r="D5129" t="inlineStr">
        <is>
          <t>JÄMTLANDS LÄN</t>
        </is>
      </c>
      <c r="E5129" t="inlineStr">
        <is>
          <t>BRÄCKE</t>
        </is>
      </c>
      <c r="F5129" t="inlineStr">
        <is>
          <t>Sveaskog</t>
        </is>
      </c>
      <c r="G5129" t="n">
        <v>1.4</v>
      </c>
      <c r="H5129" t="n">
        <v>0</v>
      </c>
      <c r="I5129" t="n">
        <v>0</v>
      </c>
      <c r="J5129" t="n">
        <v>0</v>
      </c>
      <c r="K5129" t="n">
        <v>0</v>
      </c>
      <c r="L5129" t="n">
        <v>0</v>
      </c>
      <c r="M5129" t="n">
        <v>0</v>
      </c>
      <c r="N5129" t="n">
        <v>0</v>
      </c>
      <c r="O5129" t="n">
        <v>0</v>
      </c>
      <c r="P5129" t="n">
        <v>0</v>
      </c>
      <c r="Q5129" t="n">
        <v>0</v>
      </c>
      <c r="R5129" s="2" t="inlineStr"/>
    </row>
    <row r="5130" ht="15" customHeight="1">
      <c r="A5130" t="inlineStr">
        <is>
          <t>A 33507-2022</t>
        </is>
      </c>
      <c r="B5130" s="1" t="n">
        <v>44788</v>
      </c>
      <c r="C5130" s="1" t="n">
        <v>45182</v>
      </c>
      <c r="D5130" t="inlineStr">
        <is>
          <t>JÄMTLANDS LÄN</t>
        </is>
      </c>
      <c r="E5130" t="inlineStr">
        <is>
          <t>KROKOM</t>
        </is>
      </c>
      <c r="F5130" t="inlineStr">
        <is>
          <t>SCA</t>
        </is>
      </c>
      <c r="G5130" t="n">
        <v>4.2</v>
      </c>
      <c r="H5130" t="n">
        <v>0</v>
      </c>
      <c r="I5130" t="n">
        <v>0</v>
      </c>
      <c r="J5130" t="n">
        <v>0</v>
      </c>
      <c r="K5130" t="n">
        <v>0</v>
      </c>
      <c r="L5130" t="n">
        <v>0</v>
      </c>
      <c r="M5130" t="n">
        <v>0</v>
      </c>
      <c r="N5130" t="n">
        <v>0</v>
      </c>
      <c r="O5130" t="n">
        <v>0</v>
      </c>
      <c r="P5130" t="n">
        <v>0</v>
      </c>
      <c r="Q5130" t="n">
        <v>0</v>
      </c>
      <c r="R5130" s="2" t="inlineStr"/>
    </row>
    <row r="5131" ht="15" customHeight="1">
      <c r="A5131" t="inlineStr">
        <is>
          <t>A 33279-2022</t>
        </is>
      </c>
      <c r="B5131" s="1" t="n">
        <v>44788</v>
      </c>
      <c r="C5131" s="1" t="n">
        <v>45182</v>
      </c>
      <c r="D5131" t="inlineStr">
        <is>
          <t>JÄMTLANDS LÄN</t>
        </is>
      </c>
      <c r="E5131" t="inlineStr">
        <is>
          <t>RAGUNDA</t>
        </is>
      </c>
      <c r="G5131" t="n">
        <v>17</v>
      </c>
      <c r="H5131" t="n">
        <v>0</v>
      </c>
      <c r="I5131" t="n">
        <v>0</v>
      </c>
      <c r="J5131" t="n">
        <v>0</v>
      </c>
      <c r="K5131" t="n">
        <v>0</v>
      </c>
      <c r="L5131" t="n">
        <v>0</v>
      </c>
      <c r="M5131" t="n">
        <v>0</v>
      </c>
      <c r="N5131" t="n">
        <v>0</v>
      </c>
      <c r="O5131" t="n">
        <v>0</v>
      </c>
      <c r="P5131" t="n">
        <v>0</v>
      </c>
      <c r="Q5131" t="n">
        <v>0</v>
      </c>
      <c r="R5131" s="2" t="inlineStr"/>
    </row>
    <row r="5132" ht="15" customHeight="1">
      <c r="A5132" t="inlineStr">
        <is>
          <t>A 33479-2022</t>
        </is>
      </c>
      <c r="B5132" s="1" t="n">
        <v>44788</v>
      </c>
      <c r="C5132" s="1" t="n">
        <v>45182</v>
      </c>
      <c r="D5132" t="inlineStr">
        <is>
          <t>JÄMTLANDS LÄN</t>
        </is>
      </c>
      <c r="E5132" t="inlineStr">
        <is>
          <t>ÅRE</t>
        </is>
      </c>
      <c r="F5132" t="inlineStr">
        <is>
          <t>Sveaskog</t>
        </is>
      </c>
      <c r="G5132" t="n">
        <v>5.3</v>
      </c>
      <c r="H5132" t="n">
        <v>0</v>
      </c>
      <c r="I5132" t="n">
        <v>0</v>
      </c>
      <c r="J5132" t="n">
        <v>0</v>
      </c>
      <c r="K5132" t="n">
        <v>0</v>
      </c>
      <c r="L5132" t="n">
        <v>0</v>
      </c>
      <c r="M5132" t="n">
        <v>0</v>
      </c>
      <c r="N5132" t="n">
        <v>0</v>
      </c>
      <c r="O5132" t="n">
        <v>0</v>
      </c>
      <c r="P5132" t="n">
        <v>0</v>
      </c>
      <c r="Q5132" t="n">
        <v>0</v>
      </c>
      <c r="R5132" s="2" t="inlineStr"/>
    </row>
    <row r="5133" ht="15" customHeight="1">
      <c r="A5133" t="inlineStr">
        <is>
          <t>A 33483-2022</t>
        </is>
      </c>
      <c r="B5133" s="1" t="n">
        <v>44788</v>
      </c>
      <c r="C5133" s="1" t="n">
        <v>45182</v>
      </c>
      <c r="D5133" t="inlineStr">
        <is>
          <t>JÄMTLANDS LÄN</t>
        </is>
      </c>
      <c r="E5133" t="inlineStr">
        <is>
          <t>BRÄCKE</t>
        </is>
      </c>
      <c r="F5133" t="inlineStr">
        <is>
          <t>Sveaskog</t>
        </is>
      </c>
      <c r="G5133" t="n">
        <v>2.7</v>
      </c>
      <c r="H5133" t="n">
        <v>0</v>
      </c>
      <c r="I5133" t="n">
        <v>0</v>
      </c>
      <c r="J5133" t="n">
        <v>0</v>
      </c>
      <c r="K5133" t="n">
        <v>0</v>
      </c>
      <c r="L5133" t="n">
        <v>0</v>
      </c>
      <c r="M5133" t="n">
        <v>0</v>
      </c>
      <c r="N5133" t="n">
        <v>0</v>
      </c>
      <c r="O5133" t="n">
        <v>0</v>
      </c>
      <c r="P5133" t="n">
        <v>0</v>
      </c>
      <c r="Q5133" t="n">
        <v>0</v>
      </c>
      <c r="R5133" s="2" t="inlineStr"/>
    </row>
    <row r="5134" ht="15" customHeight="1">
      <c r="A5134" t="inlineStr">
        <is>
          <t>A 33499-2022</t>
        </is>
      </c>
      <c r="B5134" s="1" t="n">
        <v>44788</v>
      </c>
      <c r="C5134" s="1" t="n">
        <v>45182</v>
      </c>
      <c r="D5134" t="inlineStr">
        <is>
          <t>JÄMTLANDS LÄN</t>
        </is>
      </c>
      <c r="E5134" t="inlineStr">
        <is>
          <t>STRÖMSUND</t>
        </is>
      </c>
      <c r="G5134" t="n">
        <v>1.1</v>
      </c>
      <c r="H5134" t="n">
        <v>0</v>
      </c>
      <c r="I5134" t="n">
        <v>0</v>
      </c>
      <c r="J5134" t="n">
        <v>0</v>
      </c>
      <c r="K5134" t="n">
        <v>0</v>
      </c>
      <c r="L5134" t="n">
        <v>0</v>
      </c>
      <c r="M5134" t="n">
        <v>0</v>
      </c>
      <c r="N5134" t="n">
        <v>0</v>
      </c>
      <c r="O5134" t="n">
        <v>0</v>
      </c>
      <c r="P5134" t="n">
        <v>0</v>
      </c>
      <c r="Q5134" t="n">
        <v>0</v>
      </c>
      <c r="R5134" s="2" t="inlineStr"/>
    </row>
    <row r="5135" ht="15" customHeight="1">
      <c r="A5135" t="inlineStr">
        <is>
          <t>A 33565-2022</t>
        </is>
      </c>
      <c r="B5135" s="1" t="n">
        <v>44789</v>
      </c>
      <c r="C5135" s="1" t="n">
        <v>45182</v>
      </c>
      <c r="D5135" t="inlineStr">
        <is>
          <t>JÄMTLANDS LÄN</t>
        </is>
      </c>
      <c r="E5135" t="inlineStr">
        <is>
          <t>ÅRE</t>
        </is>
      </c>
      <c r="G5135" t="n">
        <v>0.6</v>
      </c>
      <c r="H5135" t="n">
        <v>0</v>
      </c>
      <c r="I5135" t="n">
        <v>0</v>
      </c>
      <c r="J5135" t="n">
        <v>0</v>
      </c>
      <c r="K5135" t="n">
        <v>0</v>
      </c>
      <c r="L5135" t="n">
        <v>0</v>
      </c>
      <c r="M5135" t="n">
        <v>0</v>
      </c>
      <c r="N5135" t="n">
        <v>0</v>
      </c>
      <c r="O5135" t="n">
        <v>0</v>
      </c>
      <c r="P5135" t="n">
        <v>0</v>
      </c>
      <c r="Q5135" t="n">
        <v>0</v>
      </c>
      <c r="R5135" s="2" t="inlineStr"/>
    </row>
    <row r="5136" ht="15" customHeight="1">
      <c r="A5136" t="inlineStr">
        <is>
          <t>A 33625-2022</t>
        </is>
      </c>
      <c r="B5136" s="1" t="n">
        <v>44789</v>
      </c>
      <c r="C5136" s="1" t="n">
        <v>45182</v>
      </c>
      <c r="D5136" t="inlineStr">
        <is>
          <t>JÄMTLANDS LÄN</t>
        </is>
      </c>
      <c r="E5136" t="inlineStr">
        <is>
          <t>ÅRE</t>
        </is>
      </c>
      <c r="G5136" t="n">
        <v>20.7</v>
      </c>
      <c r="H5136" t="n">
        <v>0</v>
      </c>
      <c r="I5136" t="n">
        <v>0</v>
      </c>
      <c r="J5136" t="n">
        <v>0</v>
      </c>
      <c r="K5136" t="n">
        <v>0</v>
      </c>
      <c r="L5136" t="n">
        <v>0</v>
      </c>
      <c r="M5136" t="n">
        <v>0</v>
      </c>
      <c r="N5136" t="n">
        <v>0</v>
      </c>
      <c r="O5136" t="n">
        <v>0</v>
      </c>
      <c r="P5136" t="n">
        <v>0</v>
      </c>
      <c r="Q5136" t="n">
        <v>0</v>
      </c>
      <c r="R5136" s="2" t="inlineStr"/>
    </row>
    <row r="5137" ht="15" customHeight="1">
      <c r="A5137" t="inlineStr">
        <is>
          <t>A 36714-2022</t>
        </is>
      </c>
      <c r="B5137" s="1" t="n">
        <v>44789</v>
      </c>
      <c r="C5137" s="1" t="n">
        <v>45182</v>
      </c>
      <c r="D5137" t="inlineStr">
        <is>
          <t>JÄMTLANDS LÄN</t>
        </is>
      </c>
      <c r="E5137" t="inlineStr">
        <is>
          <t>BRÄCKE</t>
        </is>
      </c>
      <c r="G5137" t="n">
        <v>1</v>
      </c>
      <c r="H5137" t="n">
        <v>0</v>
      </c>
      <c r="I5137" t="n">
        <v>0</v>
      </c>
      <c r="J5137" t="n">
        <v>0</v>
      </c>
      <c r="K5137" t="n">
        <v>0</v>
      </c>
      <c r="L5137" t="n">
        <v>0</v>
      </c>
      <c r="M5137" t="n">
        <v>0</v>
      </c>
      <c r="N5137" t="n">
        <v>0</v>
      </c>
      <c r="O5137" t="n">
        <v>0</v>
      </c>
      <c r="P5137" t="n">
        <v>0</v>
      </c>
      <c r="Q5137" t="n">
        <v>0</v>
      </c>
      <c r="R5137" s="2" t="inlineStr"/>
    </row>
    <row r="5138" ht="15" customHeight="1">
      <c r="A5138" t="inlineStr">
        <is>
          <t>A 33808-2022</t>
        </is>
      </c>
      <c r="B5138" s="1" t="n">
        <v>44790</v>
      </c>
      <c r="C5138" s="1" t="n">
        <v>45182</v>
      </c>
      <c r="D5138" t="inlineStr">
        <is>
          <t>JÄMTLANDS LÄN</t>
        </is>
      </c>
      <c r="E5138" t="inlineStr">
        <is>
          <t>ÖSTERSUND</t>
        </is>
      </c>
      <c r="G5138" t="n">
        <v>4.1</v>
      </c>
      <c r="H5138" t="n">
        <v>0</v>
      </c>
      <c r="I5138" t="n">
        <v>0</v>
      </c>
      <c r="J5138" t="n">
        <v>0</v>
      </c>
      <c r="K5138" t="n">
        <v>0</v>
      </c>
      <c r="L5138" t="n">
        <v>0</v>
      </c>
      <c r="M5138" t="n">
        <v>0</v>
      </c>
      <c r="N5138" t="n">
        <v>0</v>
      </c>
      <c r="O5138" t="n">
        <v>0</v>
      </c>
      <c r="P5138" t="n">
        <v>0</v>
      </c>
      <c r="Q5138" t="n">
        <v>0</v>
      </c>
      <c r="R5138" s="2" t="inlineStr"/>
    </row>
    <row r="5139" ht="15" customHeight="1">
      <c r="A5139" t="inlineStr">
        <is>
          <t>A 33813-2022</t>
        </is>
      </c>
      <c r="B5139" s="1" t="n">
        <v>44790</v>
      </c>
      <c r="C5139" s="1" t="n">
        <v>45182</v>
      </c>
      <c r="D5139" t="inlineStr">
        <is>
          <t>JÄMTLANDS LÄN</t>
        </is>
      </c>
      <c r="E5139" t="inlineStr">
        <is>
          <t>ÖSTERSUND</t>
        </is>
      </c>
      <c r="G5139" t="n">
        <v>7.9</v>
      </c>
      <c r="H5139" t="n">
        <v>0</v>
      </c>
      <c r="I5139" t="n">
        <v>0</v>
      </c>
      <c r="J5139" t="n">
        <v>0</v>
      </c>
      <c r="K5139" t="n">
        <v>0</v>
      </c>
      <c r="L5139" t="n">
        <v>0</v>
      </c>
      <c r="M5139" t="n">
        <v>0</v>
      </c>
      <c r="N5139" t="n">
        <v>0</v>
      </c>
      <c r="O5139" t="n">
        <v>0</v>
      </c>
      <c r="P5139" t="n">
        <v>0</v>
      </c>
      <c r="Q5139" t="n">
        <v>0</v>
      </c>
      <c r="R5139" s="2" t="inlineStr"/>
    </row>
    <row r="5140" ht="15" customHeight="1">
      <c r="A5140" t="inlineStr">
        <is>
          <t>A 33987-2022</t>
        </is>
      </c>
      <c r="B5140" s="1" t="n">
        <v>44790</v>
      </c>
      <c r="C5140" s="1" t="n">
        <v>45182</v>
      </c>
      <c r="D5140" t="inlineStr">
        <is>
          <t>JÄMTLANDS LÄN</t>
        </is>
      </c>
      <c r="E5140" t="inlineStr">
        <is>
          <t>STRÖMSUND</t>
        </is>
      </c>
      <c r="F5140" t="inlineStr">
        <is>
          <t>SCA</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33993-2022</t>
        </is>
      </c>
      <c r="B5141" s="1" t="n">
        <v>44790</v>
      </c>
      <c r="C5141" s="1" t="n">
        <v>45182</v>
      </c>
      <c r="D5141" t="inlineStr">
        <is>
          <t>JÄMTLANDS LÄN</t>
        </is>
      </c>
      <c r="E5141" t="inlineStr">
        <is>
          <t>BRÄCKE</t>
        </is>
      </c>
      <c r="F5141" t="inlineStr">
        <is>
          <t>SCA</t>
        </is>
      </c>
      <c r="G5141" t="n">
        <v>1.4</v>
      </c>
      <c r="H5141" t="n">
        <v>0</v>
      </c>
      <c r="I5141" t="n">
        <v>0</v>
      </c>
      <c r="J5141" t="n">
        <v>0</v>
      </c>
      <c r="K5141" t="n">
        <v>0</v>
      </c>
      <c r="L5141" t="n">
        <v>0</v>
      </c>
      <c r="M5141" t="n">
        <v>0</v>
      </c>
      <c r="N5141" t="n">
        <v>0</v>
      </c>
      <c r="O5141" t="n">
        <v>0</v>
      </c>
      <c r="P5141" t="n">
        <v>0</v>
      </c>
      <c r="Q5141" t="n">
        <v>0</v>
      </c>
      <c r="R5141" s="2" t="inlineStr"/>
    </row>
    <row r="5142" ht="15" customHeight="1">
      <c r="A5142" t="inlineStr">
        <is>
          <t>A 34023-2022</t>
        </is>
      </c>
      <c r="B5142" s="1" t="n">
        <v>44790</v>
      </c>
      <c r="C5142" s="1" t="n">
        <v>45182</v>
      </c>
      <c r="D5142" t="inlineStr">
        <is>
          <t>JÄMTLANDS LÄN</t>
        </is>
      </c>
      <c r="E5142" t="inlineStr">
        <is>
          <t>STRÖMSUND</t>
        </is>
      </c>
      <c r="G5142" t="n">
        <v>34.5</v>
      </c>
      <c r="H5142" t="n">
        <v>0</v>
      </c>
      <c r="I5142" t="n">
        <v>0</v>
      </c>
      <c r="J5142" t="n">
        <v>0</v>
      </c>
      <c r="K5142" t="n">
        <v>0</v>
      </c>
      <c r="L5142" t="n">
        <v>0</v>
      </c>
      <c r="M5142" t="n">
        <v>0</v>
      </c>
      <c r="N5142" t="n">
        <v>0</v>
      </c>
      <c r="O5142" t="n">
        <v>0</v>
      </c>
      <c r="P5142" t="n">
        <v>0</v>
      </c>
      <c r="Q5142" t="n">
        <v>0</v>
      </c>
      <c r="R5142" s="2" t="inlineStr"/>
    </row>
    <row r="5143" ht="15" customHeight="1">
      <c r="A5143" t="inlineStr">
        <is>
          <t>A 33786-2022</t>
        </is>
      </c>
      <c r="B5143" s="1" t="n">
        <v>44790</v>
      </c>
      <c r="C5143" s="1" t="n">
        <v>45182</v>
      </c>
      <c r="D5143" t="inlineStr">
        <is>
          <t>JÄMTLANDS LÄN</t>
        </is>
      </c>
      <c r="E5143" t="inlineStr">
        <is>
          <t>ÖSTERSUND</t>
        </is>
      </c>
      <c r="G5143" t="n">
        <v>0.9</v>
      </c>
      <c r="H5143" t="n">
        <v>0</v>
      </c>
      <c r="I5143" t="n">
        <v>0</v>
      </c>
      <c r="J5143" t="n">
        <v>0</v>
      </c>
      <c r="K5143" t="n">
        <v>0</v>
      </c>
      <c r="L5143" t="n">
        <v>0</v>
      </c>
      <c r="M5143" t="n">
        <v>0</v>
      </c>
      <c r="N5143" t="n">
        <v>0</v>
      </c>
      <c r="O5143" t="n">
        <v>0</v>
      </c>
      <c r="P5143" t="n">
        <v>0</v>
      </c>
      <c r="Q5143" t="n">
        <v>0</v>
      </c>
      <c r="R5143" s="2" t="inlineStr"/>
    </row>
    <row r="5144" ht="15" customHeight="1">
      <c r="A5144" t="inlineStr">
        <is>
          <t>A 33900-2022</t>
        </is>
      </c>
      <c r="B5144" s="1" t="n">
        <v>44790</v>
      </c>
      <c r="C5144" s="1" t="n">
        <v>45182</v>
      </c>
      <c r="D5144" t="inlineStr">
        <is>
          <t>JÄMTLANDS LÄN</t>
        </is>
      </c>
      <c r="E5144" t="inlineStr">
        <is>
          <t>HÄRJEDALEN</t>
        </is>
      </c>
      <c r="F5144" t="inlineStr">
        <is>
          <t>Bergvik skog väst AB</t>
        </is>
      </c>
      <c r="G5144" t="n">
        <v>15.2</v>
      </c>
      <c r="H5144" t="n">
        <v>0</v>
      </c>
      <c r="I5144" t="n">
        <v>0</v>
      </c>
      <c r="J5144" t="n">
        <v>0</v>
      </c>
      <c r="K5144" t="n">
        <v>0</v>
      </c>
      <c r="L5144" t="n">
        <v>0</v>
      </c>
      <c r="M5144" t="n">
        <v>0</v>
      </c>
      <c r="N5144" t="n">
        <v>0</v>
      </c>
      <c r="O5144" t="n">
        <v>0</v>
      </c>
      <c r="P5144" t="n">
        <v>0</v>
      </c>
      <c r="Q5144" t="n">
        <v>0</v>
      </c>
      <c r="R5144" s="2" t="inlineStr"/>
    </row>
    <row r="5145" ht="15" customHeight="1">
      <c r="A5145" t="inlineStr">
        <is>
          <t>A 34011-2022</t>
        </is>
      </c>
      <c r="B5145" s="1" t="n">
        <v>44790</v>
      </c>
      <c r="C5145" s="1" t="n">
        <v>45182</v>
      </c>
      <c r="D5145" t="inlineStr">
        <is>
          <t>JÄMTLANDS LÄN</t>
        </is>
      </c>
      <c r="E5145" t="inlineStr">
        <is>
          <t>STRÖMSUND</t>
        </is>
      </c>
      <c r="F5145" t="inlineStr">
        <is>
          <t>SCA</t>
        </is>
      </c>
      <c r="G5145" t="n">
        <v>1.5</v>
      </c>
      <c r="H5145" t="n">
        <v>0</v>
      </c>
      <c r="I5145" t="n">
        <v>0</v>
      </c>
      <c r="J5145" t="n">
        <v>0</v>
      </c>
      <c r="K5145" t="n">
        <v>0</v>
      </c>
      <c r="L5145" t="n">
        <v>0</v>
      </c>
      <c r="M5145" t="n">
        <v>0</v>
      </c>
      <c r="N5145" t="n">
        <v>0</v>
      </c>
      <c r="O5145" t="n">
        <v>0</v>
      </c>
      <c r="P5145" t="n">
        <v>0</v>
      </c>
      <c r="Q5145" t="n">
        <v>0</v>
      </c>
      <c r="R5145" s="2" t="inlineStr"/>
    </row>
    <row r="5146" ht="15" customHeight="1">
      <c r="A5146" t="inlineStr">
        <is>
          <t>A 33804-2022</t>
        </is>
      </c>
      <c r="B5146" s="1" t="n">
        <v>44790</v>
      </c>
      <c r="C5146" s="1" t="n">
        <v>45182</v>
      </c>
      <c r="D5146" t="inlineStr">
        <is>
          <t>JÄMTLANDS LÄN</t>
        </is>
      </c>
      <c r="E5146" t="inlineStr">
        <is>
          <t>ÖSTERSUND</t>
        </is>
      </c>
      <c r="G5146" t="n">
        <v>1.8</v>
      </c>
      <c r="H5146" t="n">
        <v>0</v>
      </c>
      <c r="I5146" t="n">
        <v>0</v>
      </c>
      <c r="J5146" t="n">
        <v>0</v>
      </c>
      <c r="K5146" t="n">
        <v>0</v>
      </c>
      <c r="L5146" t="n">
        <v>0</v>
      </c>
      <c r="M5146" t="n">
        <v>0</v>
      </c>
      <c r="N5146" t="n">
        <v>0</v>
      </c>
      <c r="O5146" t="n">
        <v>0</v>
      </c>
      <c r="P5146" t="n">
        <v>0</v>
      </c>
      <c r="Q5146" t="n">
        <v>0</v>
      </c>
      <c r="R5146" s="2" t="inlineStr"/>
    </row>
    <row r="5147" ht="15" customHeight="1">
      <c r="A5147" t="inlineStr">
        <is>
          <t>A 33914-2022</t>
        </is>
      </c>
      <c r="B5147" s="1" t="n">
        <v>44790</v>
      </c>
      <c r="C5147" s="1" t="n">
        <v>45182</v>
      </c>
      <c r="D5147" t="inlineStr">
        <is>
          <t>JÄMTLANDS LÄN</t>
        </is>
      </c>
      <c r="E5147" t="inlineStr">
        <is>
          <t>HÄRJEDALEN</t>
        </is>
      </c>
      <c r="F5147" t="inlineStr">
        <is>
          <t>Bergvik skog väst AB</t>
        </is>
      </c>
      <c r="G5147" t="n">
        <v>38.1</v>
      </c>
      <c r="H5147" t="n">
        <v>0</v>
      </c>
      <c r="I5147" t="n">
        <v>0</v>
      </c>
      <c r="J5147" t="n">
        <v>0</v>
      </c>
      <c r="K5147" t="n">
        <v>0</v>
      </c>
      <c r="L5147" t="n">
        <v>0</v>
      </c>
      <c r="M5147" t="n">
        <v>0</v>
      </c>
      <c r="N5147" t="n">
        <v>0</v>
      </c>
      <c r="O5147" t="n">
        <v>0</v>
      </c>
      <c r="P5147" t="n">
        <v>0</v>
      </c>
      <c r="Q5147" t="n">
        <v>0</v>
      </c>
      <c r="R5147" s="2" t="inlineStr"/>
    </row>
    <row r="5148" ht="15" customHeight="1">
      <c r="A5148" t="inlineStr">
        <is>
          <t>A 33985-2022</t>
        </is>
      </c>
      <c r="B5148" s="1" t="n">
        <v>44790</v>
      </c>
      <c r="C5148" s="1" t="n">
        <v>45182</v>
      </c>
      <c r="D5148" t="inlineStr">
        <is>
          <t>JÄMTLANDS LÄN</t>
        </is>
      </c>
      <c r="E5148" t="inlineStr">
        <is>
          <t>STRÖMSUND</t>
        </is>
      </c>
      <c r="F5148" t="inlineStr">
        <is>
          <t>SCA</t>
        </is>
      </c>
      <c r="G5148" t="n">
        <v>2.8</v>
      </c>
      <c r="H5148" t="n">
        <v>0</v>
      </c>
      <c r="I5148" t="n">
        <v>0</v>
      </c>
      <c r="J5148" t="n">
        <v>0</v>
      </c>
      <c r="K5148" t="n">
        <v>0</v>
      </c>
      <c r="L5148" t="n">
        <v>0</v>
      </c>
      <c r="M5148" t="n">
        <v>0</v>
      </c>
      <c r="N5148" t="n">
        <v>0</v>
      </c>
      <c r="O5148" t="n">
        <v>0</v>
      </c>
      <c r="P5148" t="n">
        <v>0</v>
      </c>
      <c r="Q5148" t="n">
        <v>0</v>
      </c>
      <c r="R5148" s="2" t="inlineStr"/>
    </row>
    <row r="5149" ht="15" customHeight="1">
      <c r="A5149" t="inlineStr">
        <is>
          <t>A 33801-2022</t>
        </is>
      </c>
      <c r="B5149" s="1" t="n">
        <v>44790</v>
      </c>
      <c r="C5149" s="1" t="n">
        <v>45182</v>
      </c>
      <c r="D5149" t="inlineStr">
        <is>
          <t>JÄMTLANDS LÄN</t>
        </is>
      </c>
      <c r="E5149" t="inlineStr">
        <is>
          <t>ÖSTERSUND</t>
        </is>
      </c>
      <c r="G5149" t="n">
        <v>7.6</v>
      </c>
      <c r="H5149" t="n">
        <v>0</v>
      </c>
      <c r="I5149" t="n">
        <v>0</v>
      </c>
      <c r="J5149" t="n">
        <v>0</v>
      </c>
      <c r="K5149" t="n">
        <v>0</v>
      </c>
      <c r="L5149" t="n">
        <v>0</v>
      </c>
      <c r="M5149" t="n">
        <v>0</v>
      </c>
      <c r="N5149" t="n">
        <v>0</v>
      </c>
      <c r="O5149" t="n">
        <v>0</v>
      </c>
      <c r="P5149" t="n">
        <v>0</v>
      </c>
      <c r="Q5149" t="n">
        <v>0</v>
      </c>
      <c r="R5149" s="2" t="inlineStr"/>
    </row>
    <row r="5150" ht="15" customHeight="1">
      <c r="A5150" t="inlineStr">
        <is>
          <t>A 33889-2022</t>
        </is>
      </c>
      <c r="B5150" s="1" t="n">
        <v>44790</v>
      </c>
      <c r="C5150" s="1" t="n">
        <v>45182</v>
      </c>
      <c r="D5150" t="inlineStr">
        <is>
          <t>JÄMTLANDS LÄN</t>
        </is>
      </c>
      <c r="E5150" t="inlineStr">
        <is>
          <t>HÄRJEDALEN</t>
        </is>
      </c>
      <c r="F5150" t="inlineStr">
        <is>
          <t>Bergvik skog väst AB</t>
        </is>
      </c>
      <c r="G5150" t="n">
        <v>6.6</v>
      </c>
      <c r="H5150" t="n">
        <v>0</v>
      </c>
      <c r="I5150" t="n">
        <v>0</v>
      </c>
      <c r="J5150" t="n">
        <v>0</v>
      </c>
      <c r="K5150" t="n">
        <v>0</v>
      </c>
      <c r="L5150" t="n">
        <v>0</v>
      </c>
      <c r="M5150" t="n">
        <v>0</v>
      </c>
      <c r="N5150" t="n">
        <v>0</v>
      </c>
      <c r="O5150" t="n">
        <v>0</v>
      </c>
      <c r="P5150" t="n">
        <v>0</v>
      </c>
      <c r="Q5150" t="n">
        <v>0</v>
      </c>
      <c r="R5150" s="2" t="inlineStr"/>
    </row>
    <row r="5151" ht="15" customHeight="1">
      <c r="A5151" t="inlineStr">
        <is>
          <t>A 33988-2022</t>
        </is>
      </c>
      <c r="B5151" s="1" t="n">
        <v>44790</v>
      </c>
      <c r="C5151" s="1" t="n">
        <v>45182</v>
      </c>
      <c r="D5151" t="inlineStr">
        <is>
          <t>JÄMTLANDS LÄN</t>
        </is>
      </c>
      <c r="E5151" t="inlineStr">
        <is>
          <t>STRÖMSUND</t>
        </is>
      </c>
      <c r="F5151" t="inlineStr">
        <is>
          <t>SCA</t>
        </is>
      </c>
      <c r="G5151" t="n">
        <v>1.9</v>
      </c>
      <c r="H5151" t="n">
        <v>0</v>
      </c>
      <c r="I5151" t="n">
        <v>0</v>
      </c>
      <c r="J5151" t="n">
        <v>0</v>
      </c>
      <c r="K5151" t="n">
        <v>0</v>
      </c>
      <c r="L5151" t="n">
        <v>0</v>
      </c>
      <c r="M5151" t="n">
        <v>0</v>
      </c>
      <c r="N5151" t="n">
        <v>0</v>
      </c>
      <c r="O5151" t="n">
        <v>0</v>
      </c>
      <c r="P5151" t="n">
        <v>0</v>
      </c>
      <c r="Q5151" t="n">
        <v>0</v>
      </c>
      <c r="R5151" s="2" t="inlineStr"/>
    </row>
    <row r="5152" ht="15" customHeight="1">
      <c r="A5152" t="inlineStr">
        <is>
          <t>A 34033-2022</t>
        </is>
      </c>
      <c r="B5152" s="1" t="n">
        <v>44790</v>
      </c>
      <c r="C5152" s="1" t="n">
        <v>45182</v>
      </c>
      <c r="D5152" t="inlineStr">
        <is>
          <t>JÄMTLANDS LÄN</t>
        </is>
      </c>
      <c r="E5152" t="inlineStr">
        <is>
          <t>ÅRE</t>
        </is>
      </c>
      <c r="G5152" t="n">
        <v>3.5</v>
      </c>
      <c r="H5152" t="n">
        <v>0</v>
      </c>
      <c r="I5152" t="n">
        <v>0</v>
      </c>
      <c r="J5152" t="n">
        <v>0</v>
      </c>
      <c r="K5152" t="n">
        <v>0</v>
      </c>
      <c r="L5152" t="n">
        <v>0</v>
      </c>
      <c r="M5152" t="n">
        <v>0</v>
      </c>
      <c r="N5152" t="n">
        <v>0</v>
      </c>
      <c r="O5152" t="n">
        <v>0</v>
      </c>
      <c r="P5152" t="n">
        <v>0</v>
      </c>
      <c r="Q5152" t="n">
        <v>0</v>
      </c>
      <c r="R5152" s="2" t="inlineStr"/>
    </row>
    <row r="5153" ht="15" customHeight="1">
      <c r="A5153" t="inlineStr">
        <is>
          <t>A 34244-2022</t>
        </is>
      </c>
      <c r="B5153" s="1" t="n">
        <v>44791</v>
      </c>
      <c r="C5153" s="1" t="n">
        <v>45182</v>
      </c>
      <c r="D5153" t="inlineStr">
        <is>
          <t>JÄMTLANDS LÄN</t>
        </is>
      </c>
      <c r="E5153" t="inlineStr">
        <is>
          <t>STRÖMSUND</t>
        </is>
      </c>
      <c r="G5153" t="n">
        <v>0.8</v>
      </c>
      <c r="H5153" t="n">
        <v>0</v>
      </c>
      <c r="I5153" t="n">
        <v>0</v>
      </c>
      <c r="J5153" t="n">
        <v>0</v>
      </c>
      <c r="K5153" t="n">
        <v>0</v>
      </c>
      <c r="L5153" t="n">
        <v>0</v>
      </c>
      <c r="M5153" t="n">
        <v>0</v>
      </c>
      <c r="N5153" t="n">
        <v>0</v>
      </c>
      <c r="O5153" t="n">
        <v>0</v>
      </c>
      <c r="P5153" t="n">
        <v>0</v>
      </c>
      <c r="Q5153" t="n">
        <v>0</v>
      </c>
      <c r="R5153" s="2" t="inlineStr"/>
    </row>
    <row r="5154" ht="15" customHeight="1">
      <c r="A5154" t="inlineStr">
        <is>
          <t>A 34260-2022</t>
        </is>
      </c>
      <c r="B5154" s="1" t="n">
        <v>44791</v>
      </c>
      <c r="C5154" s="1" t="n">
        <v>45182</v>
      </c>
      <c r="D5154" t="inlineStr">
        <is>
          <t>JÄMTLANDS LÄN</t>
        </is>
      </c>
      <c r="E5154" t="inlineStr">
        <is>
          <t>BERG</t>
        </is>
      </c>
      <c r="F5154" t="inlineStr">
        <is>
          <t>Övriga Aktiebolag</t>
        </is>
      </c>
      <c r="G5154" t="n">
        <v>32.2</v>
      </c>
      <c r="H5154" t="n">
        <v>0</v>
      </c>
      <c r="I5154" t="n">
        <v>0</v>
      </c>
      <c r="J5154" t="n">
        <v>0</v>
      </c>
      <c r="K5154" t="n">
        <v>0</v>
      </c>
      <c r="L5154" t="n">
        <v>0</v>
      </c>
      <c r="M5154" t="n">
        <v>0</v>
      </c>
      <c r="N5154" t="n">
        <v>0</v>
      </c>
      <c r="O5154" t="n">
        <v>0</v>
      </c>
      <c r="P5154" t="n">
        <v>0</v>
      </c>
      <c r="Q5154" t="n">
        <v>0</v>
      </c>
      <c r="R5154" s="2" t="inlineStr"/>
    </row>
    <row r="5155" ht="15" customHeight="1">
      <c r="A5155" t="inlineStr">
        <is>
          <t>A 34264-2022</t>
        </is>
      </c>
      <c r="B5155" s="1" t="n">
        <v>44791</v>
      </c>
      <c r="C5155" s="1" t="n">
        <v>45182</v>
      </c>
      <c r="D5155" t="inlineStr">
        <is>
          <t>JÄMTLANDS LÄN</t>
        </is>
      </c>
      <c r="E5155" t="inlineStr">
        <is>
          <t>STRÖMSUND</t>
        </is>
      </c>
      <c r="F5155" t="inlineStr">
        <is>
          <t>SCA</t>
        </is>
      </c>
      <c r="G5155" t="n">
        <v>2.4</v>
      </c>
      <c r="H5155" t="n">
        <v>0</v>
      </c>
      <c r="I5155" t="n">
        <v>0</v>
      </c>
      <c r="J5155" t="n">
        <v>0</v>
      </c>
      <c r="K5155" t="n">
        <v>0</v>
      </c>
      <c r="L5155" t="n">
        <v>0</v>
      </c>
      <c r="M5155" t="n">
        <v>0</v>
      </c>
      <c r="N5155" t="n">
        <v>0</v>
      </c>
      <c r="O5155" t="n">
        <v>0</v>
      </c>
      <c r="P5155" t="n">
        <v>0</v>
      </c>
      <c r="Q5155" t="n">
        <v>0</v>
      </c>
      <c r="R5155" s="2" t="inlineStr"/>
    </row>
    <row r="5156" ht="15" customHeight="1">
      <c r="A5156" t="inlineStr">
        <is>
          <t>A 34256-2022</t>
        </is>
      </c>
      <c r="B5156" s="1" t="n">
        <v>44791</v>
      </c>
      <c r="C5156" s="1" t="n">
        <v>45182</v>
      </c>
      <c r="D5156" t="inlineStr">
        <is>
          <t>JÄMTLANDS LÄN</t>
        </is>
      </c>
      <c r="E5156" t="inlineStr">
        <is>
          <t>RAGUNDA</t>
        </is>
      </c>
      <c r="F5156" t="inlineStr">
        <is>
          <t>SCA</t>
        </is>
      </c>
      <c r="G5156" t="n">
        <v>1.8</v>
      </c>
      <c r="H5156" t="n">
        <v>0</v>
      </c>
      <c r="I5156" t="n">
        <v>0</v>
      </c>
      <c r="J5156" t="n">
        <v>0</v>
      </c>
      <c r="K5156" t="n">
        <v>0</v>
      </c>
      <c r="L5156" t="n">
        <v>0</v>
      </c>
      <c r="M5156" t="n">
        <v>0</v>
      </c>
      <c r="N5156" t="n">
        <v>0</v>
      </c>
      <c r="O5156" t="n">
        <v>0</v>
      </c>
      <c r="P5156" t="n">
        <v>0</v>
      </c>
      <c r="Q5156" t="n">
        <v>0</v>
      </c>
      <c r="R5156" s="2" t="inlineStr"/>
    </row>
    <row r="5157" ht="15" customHeight="1">
      <c r="A5157" t="inlineStr">
        <is>
          <t>A 34272-2022</t>
        </is>
      </c>
      <c r="B5157" s="1" t="n">
        <v>44791</v>
      </c>
      <c r="C5157" s="1" t="n">
        <v>45182</v>
      </c>
      <c r="D5157" t="inlineStr">
        <is>
          <t>JÄMTLANDS LÄN</t>
        </is>
      </c>
      <c r="E5157" t="inlineStr">
        <is>
          <t>BERG</t>
        </is>
      </c>
      <c r="F5157" t="inlineStr">
        <is>
          <t>SCA</t>
        </is>
      </c>
      <c r="G5157" t="n">
        <v>6.5</v>
      </c>
      <c r="H5157" t="n">
        <v>0</v>
      </c>
      <c r="I5157" t="n">
        <v>0</v>
      </c>
      <c r="J5157" t="n">
        <v>0</v>
      </c>
      <c r="K5157" t="n">
        <v>0</v>
      </c>
      <c r="L5157" t="n">
        <v>0</v>
      </c>
      <c r="M5157" t="n">
        <v>0</v>
      </c>
      <c r="N5157" t="n">
        <v>0</v>
      </c>
      <c r="O5157" t="n">
        <v>0</v>
      </c>
      <c r="P5157" t="n">
        <v>0</v>
      </c>
      <c r="Q5157" t="n">
        <v>0</v>
      </c>
      <c r="R5157" s="2" t="inlineStr"/>
    </row>
    <row r="5158" ht="15" customHeight="1">
      <c r="A5158" t="inlineStr">
        <is>
          <t>A 34361-2022</t>
        </is>
      </c>
      <c r="B5158" s="1" t="n">
        <v>44792</v>
      </c>
      <c r="C5158" s="1" t="n">
        <v>45182</v>
      </c>
      <c r="D5158" t="inlineStr">
        <is>
          <t>JÄMTLANDS LÄN</t>
        </is>
      </c>
      <c r="E5158" t="inlineStr">
        <is>
          <t>HÄRJEDALEN</t>
        </is>
      </c>
      <c r="F5158" t="inlineStr">
        <is>
          <t>Bergvik skog väst AB</t>
        </is>
      </c>
      <c r="G5158" t="n">
        <v>2.9</v>
      </c>
      <c r="H5158" t="n">
        <v>0</v>
      </c>
      <c r="I5158" t="n">
        <v>0</v>
      </c>
      <c r="J5158" t="n">
        <v>0</v>
      </c>
      <c r="K5158" t="n">
        <v>0</v>
      </c>
      <c r="L5158" t="n">
        <v>0</v>
      </c>
      <c r="M5158" t="n">
        <v>0</v>
      </c>
      <c r="N5158" t="n">
        <v>0</v>
      </c>
      <c r="O5158" t="n">
        <v>0</v>
      </c>
      <c r="P5158" t="n">
        <v>0</v>
      </c>
      <c r="Q5158" t="n">
        <v>0</v>
      </c>
      <c r="R5158" s="2" t="inlineStr"/>
    </row>
    <row r="5159" ht="15" customHeight="1">
      <c r="A5159" t="inlineStr">
        <is>
          <t>A 34339-2022</t>
        </is>
      </c>
      <c r="B5159" s="1" t="n">
        <v>44792</v>
      </c>
      <c r="C5159" s="1" t="n">
        <v>45182</v>
      </c>
      <c r="D5159" t="inlineStr">
        <is>
          <t>JÄMTLANDS LÄN</t>
        </is>
      </c>
      <c r="E5159" t="inlineStr">
        <is>
          <t>STRÖMSUND</t>
        </is>
      </c>
      <c r="G5159" t="n">
        <v>1.6</v>
      </c>
      <c r="H5159" t="n">
        <v>0</v>
      </c>
      <c r="I5159" t="n">
        <v>0</v>
      </c>
      <c r="J5159" t="n">
        <v>0</v>
      </c>
      <c r="K5159" t="n">
        <v>0</v>
      </c>
      <c r="L5159" t="n">
        <v>0</v>
      </c>
      <c r="M5159" t="n">
        <v>0</v>
      </c>
      <c r="N5159" t="n">
        <v>0</v>
      </c>
      <c r="O5159" t="n">
        <v>0</v>
      </c>
      <c r="P5159" t="n">
        <v>0</v>
      </c>
      <c r="Q5159" t="n">
        <v>0</v>
      </c>
      <c r="R5159" s="2" t="inlineStr"/>
    </row>
    <row r="5160" ht="15" customHeight="1">
      <c r="A5160" t="inlineStr">
        <is>
          <t>A 34359-2022</t>
        </is>
      </c>
      <c r="B5160" s="1" t="n">
        <v>44792</v>
      </c>
      <c r="C5160" s="1" t="n">
        <v>45182</v>
      </c>
      <c r="D5160" t="inlineStr">
        <is>
          <t>JÄMTLANDS LÄN</t>
        </is>
      </c>
      <c r="E5160" t="inlineStr">
        <is>
          <t>HÄRJEDALEN</t>
        </is>
      </c>
      <c r="F5160" t="inlineStr">
        <is>
          <t>Bergvik skog väst AB</t>
        </is>
      </c>
      <c r="G5160" t="n">
        <v>23.1</v>
      </c>
      <c r="H5160" t="n">
        <v>0</v>
      </c>
      <c r="I5160" t="n">
        <v>0</v>
      </c>
      <c r="J5160" t="n">
        <v>0</v>
      </c>
      <c r="K5160" t="n">
        <v>0</v>
      </c>
      <c r="L5160" t="n">
        <v>0</v>
      </c>
      <c r="M5160" t="n">
        <v>0</v>
      </c>
      <c r="N5160" t="n">
        <v>0</v>
      </c>
      <c r="O5160" t="n">
        <v>0</v>
      </c>
      <c r="P5160" t="n">
        <v>0</v>
      </c>
      <c r="Q5160" t="n">
        <v>0</v>
      </c>
      <c r="R5160" s="2" t="inlineStr"/>
    </row>
    <row r="5161" ht="15" customHeight="1">
      <c r="A5161" t="inlineStr">
        <is>
          <t>A 34315-2022</t>
        </is>
      </c>
      <c r="B5161" s="1" t="n">
        <v>44792</v>
      </c>
      <c r="C5161" s="1" t="n">
        <v>45182</v>
      </c>
      <c r="D5161" t="inlineStr">
        <is>
          <t>JÄMTLANDS LÄN</t>
        </is>
      </c>
      <c r="E5161" t="inlineStr">
        <is>
          <t>BRÄCKE</t>
        </is>
      </c>
      <c r="G5161" t="n">
        <v>4.9</v>
      </c>
      <c r="H5161" t="n">
        <v>0</v>
      </c>
      <c r="I5161" t="n">
        <v>0</v>
      </c>
      <c r="J5161" t="n">
        <v>0</v>
      </c>
      <c r="K5161" t="n">
        <v>0</v>
      </c>
      <c r="L5161" t="n">
        <v>0</v>
      </c>
      <c r="M5161" t="n">
        <v>0</v>
      </c>
      <c r="N5161" t="n">
        <v>0</v>
      </c>
      <c r="O5161" t="n">
        <v>0</v>
      </c>
      <c r="P5161" t="n">
        <v>0</v>
      </c>
      <c r="Q5161" t="n">
        <v>0</v>
      </c>
      <c r="R5161" s="2" t="inlineStr"/>
    </row>
    <row r="5162" ht="15" customHeight="1">
      <c r="A5162" t="inlineStr">
        <is>
          <t>A 34550-2022</t>
        </is>
      </c>
      <c r="B5162" s="1" t="n">
        <v>44793</v>
      </c>
      <c r="C5162" s="1" t="n">
        <v>45182</v>
      </c>
      <c r="D5162" t="inlineStr">
        <is>
          <t>JÄMTLANDS LÄN</t>
        </is>
      </c>
      <c r="E5162" t="inlineStr">
        <is>
          <t>STRÖMSUND</t>
        </is>
      </c>
      <c r="F5162" t="inlineStr">
        <is>
          <t>SCA</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34627-2022</t>
        </is>
      </c>
      <c r="B5163" s="1" t="n">
        <v>44795</v>
      </c>
      <c r="C5163" s="1" t="n">
        <v>45182</v>
      </c>
      <c r="D5163" t="inlineStr">
        <is>
          <t>JÄMTLANDS LÄN</t>
        </is>
      </c>
      <c r="E5163" t="inlineStr">
        <is>
          <t>HÄRJEDALEN</t>
        </is>
      </c>
      <c r="G5163" t="n">
        <v>2.4</v>
      </c>
      <c r="H5163" t="n">
        <v>0</v>
      </c>
      <c r="I5163" t="n">
        <v>0</v>
      </c>
      <c r="J5163" t="n">
        <v>0</v>
      </c>
      <c r="K5163" t="n">
        <v>0</v>
      </c>
      <c r="L5163" t="n">
        <v>0</v>
      </c>
      <c r="M5163" t="n">
        <v>0</v>
      </c>
      <c r="N5163" t="n">
        <v>0</v>
      </c>
      <c r="O5163" t="n">
        <v>0</v>
      </c>
      <c r="P5163" t="n">
        <v>0</v>
      </c>
      <c r="Q5163" t="n">
        <v>0</v>
      </c>
      <c r="R5163" s="2" t="inlineStr"/>
    </row>
    <row r="5164" ht="15" customHeight="1">
      <c r="A5164" t="inlineStr">
        <is>
          <t>A 34794-2022</t>
        </is>
      </c>
      <c r="B5164" s="1" t="n">
        <v>44795</v>
      </c>
      <c r="C5164" s="1" t="n">
        <v>45182</v>
      </c>
      <c r="D5164" t="inlineStr">
        <is>
          <t>JÄMTLANDS LÄN</t>
        </is>
      </c>
      <c r="E5164" t="inlineStr">
        <is>
          <t>KROKOM</t>
        </is>
      </c>
      <c r="F5164" t="inlineStr">
        <is>
          <t>SCA</t>
        </is>
      </c>
      <c r="G5164" t="n">
        <v>2.6</v>
      </c>
      <c r="H5164" t="n">
        <v>0</v>
      </c>
      <c r="I5164" t="n">
        <v>0</v>
      </c>
      <c r="J5164" t="n">
        <v>0</v>
      </c>
      <c r="K5164" t="n">
        <v>0</v>
      </c>
      <c r="L5164" t="n">
        <v>0</v>
      </c>
      <c r="M5164" t="n">
        <v>0</v>
      </c>
      <c r="N5164" t="n">
        <v>0</v>
      </c>
      <c r="O5164" t="n">
        <v>0</v>
      </c>
      <c r="P5164" t="n">
        <v>0</v>
      </c>
      <c r="Q5164" t="n">
        <v>0</v>
      </c>
      <c r="R5164" s="2" t="inlineStr"/>
    </row>
    <row r="5165" ht="15" customHeight="1">
      <c r="A5165" t="inlineStr">
        <is>
          <t>A 34793-2022</t>
        </is>
      </c>
      <c r="B5165" s="1" t="n">
        <v>44795</v>
      </c>
      <c r="C5165" s="1" t="n">
        <v>45182</v>
      </c>
      <c r="D5165" t="inlineStr">
        <is>
          <t>JÄMTLANDS LÄN</t>
        </is>
      </c>
      <c r="E5165" t="inlineStr">
        <is>
          <t>KROKOM</t>
        </is>
      </c>
      <c r="F5165" t="inlineStr">
        <is>
          <t>SCA</t>
        </is>
      </c>
      <c r="G5165" t="n">
        <v>1.8</v>
      </c>
      <c r="H5165" t="n">
        <v>0</v>
      </c>
      <c r="I5165" t="n">
        <v>0</v>
      </c>
      <c r="J5165" t="n">
        <v>0</v>
      </c>
      <c r="K5165" t="n">
        <v>0</v>
      </c>
      <c r="L5165" t="n">
        <v>0</v>
      </c>
      <c r="M5165" t="n">
        <v>0</v>
      </c>
      <c r="N5165" t="n">
        <v>0</v>
      </c>
      <c r="O5165" t="n">
        <v>0</v>
      </c>
      <c r="P5165" t="n">
        <v>0</v>
      </c>
      <c r="Q5165" t="n">
        <v>0</v>
      </c>
      <c r="R5165" s="2" t="inlineStr"/>
    </row>
    <row r="5166" ht="15" customHeight="1">
      <c r="A5166" t="inlineStr">
        <is>
          <t>A 34920-2022</t>
        </is>
      </c>
      <c r="B5166" s="1" t="n">
        <v>44796</v>
      </c>
      <c r="C5166" s="1" t="n">
        <v>45182</v>
      </c>
      <c r="D5166" t="inlineStr">
        <is>
          <t>JÄMTLANDS LÄN</t>
        </is>
      </c>
      <c r="E5166" t="inlineStr">
        <is>
          <t>STRÖMSUND</t>
        </is>
      </c>
      <c r="G5166" t="n">
        <v>1.8</v>
      </c>
      <c r="H5166" t="n">
        <v>0</v>
      </c>
      <c r="I5166" t="n">
        <v>0</v>
      </c>
      <c r="J5166" t="n">
        <v>0</v>
      </c>
      <c r="K5166" t="n">
        <v>0</v>
      </c>
      <c r="L5166" t="n">
        <v>0</v>
      </c>
      <c r="M5166" t="n">
        <v>0</v>
      </c>
      <c r="N5166" t="n">
        <v>0</v>
      </c>
      <c r="O5166" t="n">
        <v>0</v>
      </c>
      <c r="P5166" t="n">
        <v>0</v>
      </c>
      <c r="Q5166" t="n">
        <v>0</v>
      </c>
      <c r="R5166" s="2" t="inlineStr"/>
    </row>
    <row r="5167" ht="15" customHeight="1">
      <c r="A5167" t="inlineStr">
        <is>
          <t>A 35058-2022</t>
        </is>
      </c>
      <c r="B5167" s="1" t="n">
        <v>44796</v>
      </c>
      <c r="C5167" s="1" t="n">
        <v>45182</v>
      </c>
      <c r="D5167" t="inlineStr">
        <is>
          <t>JÄMTLANDS LÄN</t>
        </is>
      </c>
      <c r="E5167" t="inlineStr">
        <is>
          <t>KROKOM</t>
        </is>
      </c>
      <c r="F5167" t="inlineStr">
        <is>
          <t>SCA</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34916-2022</t>
        </is>
      </c>
      <c r="B5168" s="1" t="n">
        <v>44796</v>
      </c>
      <c r="C5168" s="1" t="n">
        <v>45182</v>
      </c>
      <c r="D5168" t="inlineStr">
        <is>
          <t>JÄMTLANDS LÄN</t>
        </is>
      </c>
      <c r="E5168" t="inlineStr">
        <is>
          <t>ÅRE</t>
        </is>
      </c>
      <c r="G5168" t="n">
        <v>3.5</v>
      </c>
      <c r="H5168" t="n">
        <v>0</v>
      </c>
      <c r="I5168" t="n">
        <v>0</v>
      </c>
      <c r="J5168" t="n">
        <v>0</v>
      </c>
      <c r="K5168" t="n">
        <v>0</v>
      </c>
      <c r="L5168" t="n">
        <v>0</v>
      </c>
      <c r="M5168" t="n">
        <v>0</v>
      </c>
      <c r="N5168" t="n">
        <v>0</v>
      </c>
      <c r="O5168" t="n">
        <v>0</v>
      </c>
      <c r="P5168" t="n">
        <v>0</v>
      </c>
      <c r="Q5168" t="n">
        <v>0</v>
      </c>
      <c r="R5168" s="2" t="inlineStr"/>
    </row>
    <row r="5169" ht="15" customHeight="1">
      <c r="A5169" t="inlineStr">
        <is>
          <t>A 35226-2022</t>
        </is>
      </c>
      <c r="B5169" s="1" t="n">
        <v>44797</v>
      </c>
      <c r="C5169" s="1" t="n">
        <v>45182</v>
      </c>
      <c r="D5169" t="inlineStr">
        <is>
          <t>JÄMTLANDS LÄN</t>
        </is>
      </c>
      <c r="E5169" t="inlineStr">
        <is>
          <t>KROKOM</t>
        </is>
      </c>
      <c r="F5169" t="inlineStr">
        <is>
          <t>SCA</t>
        </is>
      </c>
      <c r="G5169" t="n">
        <v>3.4</v>
      </c>
      <c r="H5169" t="n">
        <v>0</v>
      </c>
      <c r="I5169" t="n">
        <v>0</v>
      </c>
      <c r="J5169" t="n">
        <v>0</v>
      </c>
      <c r="K5169" t="n">
        <v>0</v>
      </c>
      <c r="L5169" t="n">
        <v>0</v>
      </c>
      <c r="M5169" t="n">
        <v>0</v>
      </c>
      <c r="N5169" t="n">
        <v>0</v>
      </c>
      <c r="O5169" t="n">
        <v>0</v>
      </c>
      <c r="P5169" t="n">
        <v>0</v>
      </c>
      <c r="Q5169" t="n">
        <v>0</v>
      </c>
      <c r="R5169" s="2" t="inlineStr"/>
    </row>
    <row r="5170" ht="15" customHeight="1">
      <c r="A5170" t="inlineStr">
        <is>
          <t>A 35235-2022</t>
        </is>
      </c>
      <c r="B5170" s="1" t="n">
        <v>44797</v>
      </c>
      <c r="C5170" s="1" t="n">
        <v>45182</v>
      </c>
      <c r="D5170" t="inlineStr">
        <is>
          <t>JÄMTLANDS LÄN</t>
        </is>
      </c>
      <c r="E5170" t="inlineStr">
        <is>
          <t>RAGUNDA</t>
        </is>
      </c>
      <c r="F5170" t="inlineStr">
        <is>
          <t>SCA</t>
        </is>
      </c>
      <c r="G5170" t="n">
        <v>1.3</v>
      </c>
      <c r="H5170" t="n">
        <v>0</v>
      </c>
      <c r="I5170" t="n">
        <v>0</v>
      </c>
      <c r="J5170" t="n">
        <v>0</v>
      </c>
      <c r="K5170" t="n">
        <v>0</v>
      </c>
      <c r="L5170" t="n">
        <v>0</v>
      </c>
      <c r="M5170" t="n">
        <v>0</v>
      </c>
      <c r="N5170" t="n">
        <v>0</v>
      </c>
      <c r="O5170" t="n">
        <v>0</v>
      </c>
      <c r="P5170" t="n">
        <v>0</v>
      </c>
      <c r="Q5170" t="n">
        <v>0</v>
      </c>
      <c r="R5170" s="2" t="inlineStr"/>
    </row>
    <row r="5171" ht="15" customHeight="1">
      <c r="A5171" t="inlineStr">
        <is>
          <t>A 35182-2022</t>
        </is>
      </c>
      <c r="B5171" s="1" t="n">
        <v>44797</v>
      </c>
      <c r="C5171" s="1" t="n">
        <v>45182</v>
      </c>
      <c r="D5171" t="inlineStr">
        <is>
          <t>JÄMTLANDS LÄN</t>
        </is>
      </c>
      <c r="E5171" t="inlineStr">
        <is>
          <t>BRÄCKE</t>
        </is>
      </c>
      <c r="G5171" t="n">
        <v>0.5</v>
      </c>
      <c r="H5171" t="n">
        <v>0</v>
      </c>
      <c r="I5171" t="n">
        <v>0</v>
      </c>
      <c r="J5171" t="n">
        <v>0</v>
      </c>
      <c r="K5171" t="n">
        <v>0</v>
      </c>
      <c r="L5171" t="n">
        <v>0</v>
      </c>
      <c r="M5171" t="n">
        <v>0</v>
      </c>
      <c r="N5171" t="n">
        <v>0</v>
      </c>
      <c r="O5171" t="n">
        <v>0</v>
      </c>
      <c r="P5171" t="n">
        <v>0</v>
      </c>
      <c r="Q5171" t="n">
        <v>0</v>
      </c>
      <c r="R5171" s="2" t="inlineStr"/>
    </row>
    <row r="5172" ht="15" customHeight="1">
      <c r="A5172" t="inlineStr">
        <is>
          <t>A 35233-2022</t>
        </is>
      </c>
      <c r="B5172" s="1" t="n">
        <v>44797</v>
      </c>
      <c r="C5172" s="1" t="n">
        <v>45182</v>
      </c>
      <c r="D5172" t="inlineStr">
        <is>
          <t>JÄMTLANDS LÄN</t>
        </is>
      </c>
      <c r="E5172" t="inlineStr">
        <is>
          <t>STRÖMSUND</t>
        </is>
      </c>
      <c r="F5172" t="inlineStr">
        <is>
          <t>SCA</t>
        </is>
      </c>
      <c r="G5172" t="n">
        <v>2.7</v>
      </c>
      <c r="H5172" t="n">
        <v>0</v>
      </c>
      <c r="I5172" t="n">
        <v>0</v>
      </c>
      <c r="J5172" t="n">
        <v>0</v>
      </c>
      <c r="K5172" t="n">
        <v>0</v>
      </c>
      <c r="L5172" t="n">
        <v>0</v>
      </c>
      <c r="M5172" t="n">
        <v>0</v>
      </c>
      <c r="N5172" t="n">
        <v>0</v>
      </c>
      <c r="O5172" t="n">
        <v>0</v>
      </c>
      <c r="P5172" t="n">
        <v>0</v>
      </c>
      <c r="Q5172" t="n">
        <v>0</v>
      </c>
      <c r="R5172" s="2" t="inlineStr"/>
    </row>
    <row r="5173" ht="15" customHeight="1">
      <c r="A5173" t="inlineStr">
        <is>
          <t>A 35240-2022</t>
        </is>
      </c>
      <c r="B5173" s="1" t="n">
        <v>44797</v>
      </c>
      <c r="C5173" s="1" t="n">
        <v>45182</v>
      </c>
      <c r="D5173" t="inlineStr">
        <is>
          <t>JÄMTLANDS LÄN</t>
        </is>
      </c>
      <c r="E5173" t="inlineStr">
        <is>
          <t>STRÖMSUND</t>
        </is>
      </c>
      <c r="F5173" t="inlineStr">
        <is>
          <t>SCA</t>
        </is>
      </c>
      <c r="G5173" t="n">
        <v>3.9</v>
      </c>
      <c r="H5173" t="n">
        <v>0</v>
      </c>
      <c r="I5173" t="n">
        <v>0</v>
      </c>
      <c r="J5173" t="n">
        <v>0</v>
      </c>
      <c r="K5173" t="n">
        <v>0</v>
      </c>
      <c r="L5173" t="n">
        <v>0</v>
      </c>
      <c r="M5173" t="n">
        <v>0</v>
      </c>
      <c r="N5173" t="n">
        <v>0</v>
      </c>
      <c r="O5173" t="n">
        <v>0</v>
      </c>
      <c r="P5173" t="n">
        <v>0</v>
      </c>
      <c r="Q5173" t="n">
        <v>0</v>
      </c>
      <c r="R5173" s="2" t="inlineStr"/>
    </row>
    <row r="5174" ht="15" customHeight="1">
      <c r="A5174" t="inlineStr">
        <is>
          <t>A 35126-2022</t>
        </is>
      </c>
      <c r="B5174" s="1" t="n">
        <v>44797</v>
      </c>
      <c r="C5174" s="1" t="n">
        <v>45182</v>
      </c>
      <c r="D5174" t="inlineStr">
        <is>
          <t>JÄMTLANDS LÄN</t>
        </is>
      </c>
      <c r="E5174" t="inlineStr">
        <is>
          <t>BERG</t>
        </is>
      </c>
      <c r="G5174" t="n">
        <v>3.6</v>
      </c>
      <c r="H5174" t="n">
        <v>0</v>
      </c>
      <c r="I5174" t="n">
        <v>0</v>
      </c>
      <c r="J5174" t="n">
        <v>0</v>
      </c>
      <c r="K5174" t="n">
        <v>0</v>
      </c>
      <c r="L5174" t="n">
        <v>0</v>
      </c>
      <c r="M5174" t="n">
        <v>0</v>
      </c>
      <c r="N5174" t="n">
        <v>0</v>
      </c>
      <c r="O5174" t="n">
        <v>0</v>
      </c>
      <c r="P5174" t="n">
        <v>0</v>
      </c>
      <c r="Q5174" t="n">
        <v>0</v>
      </c>
      <c r="R5174" s="2" t="inlineStr"/>
    </row>
    <row r="5175" ht="15" customHeight="1">
      <c r="A5175" t="inlineStr">
        <is>
          <t>A 35234-2022</t>
        </is>
      </c>
      <c r="B5175" s="1" t="n">
        <v>44797</v>
      </c>
      <c r="C5175" s="1" t="n">
        <v>45182</v>
      </c>
      <c r="D5175" t="inlineStr">
        <is>
          <t>JÄMTLANDS LÄN</t>
        </is>
      </c>
      <c r="E5175" t="inlineStr">
        <is>
          <t>STRÖMSUND</t>
        </is>
      </c>
      <c r="F5175" t="inlineStr">
        <is>
          <t>SCA</t>
        </is>
      </c>
      <c r="G5175" t="n">
        <v>19.1</v>
      </c>
      <c r="H5175" t="n">
        <v>0</v>
      </c>
      <c r="I5175" t="n">
        <v>0</v>
      </c>
      <c r="J5175" t="n">
        <v>0</v>
      </c>
      <c r="K5175" t="n">
        <v>0</v>
      </c>
      <c r="L5175" t="n">
        <v>0</v>
      </c>
      <c r="M5175" t="n">
        <v>0</v>
      </c>
      <c r="N5175" t="n">
        <v>0</v>
      </c>
      <c r="O5175" t="n">
        <v>0</v>
      </c>
      <c r="P5175" t="n">
        <v>0</v>
      </c>
      <c r="Q5175" t="n">
        <v>0</v>
      </c>
      <c r="R5175" s="2" t="inlineStr"/>
    </row>
    <row r="5176" ht="15" customHeight="1">
      <c r="A5176" t="inlineStr">
        <is>
          <t>A 35241-2022</t>
        </is>
      </c>
      <c r="B5176" s="1" t="n">
        <v>44797</v>
      </c>
      <c r="C5176" s="1" t="n">
        <v>45182</v>
      </c>
      <c r="D5176" t="inlineStr">
        <is>
          <t>JÄMTLANDS LÄN</t>
        </is>
      </c>
      <c r="E5176" t="inlineStr">
        <is>
          <t>STRÖMSUND</t>
        </is>
      </c>
      <c r="F5176" t="inlineStr">
        <is>
          <t>SCA</t>
        </is>
      </c>
      <c r="G5176" t="n">
        <v>1.5</v>
      </c>
      <c r="H5176" t="n">
        <v>0</v>
      </c>
      <c r="I5176" t="n">
        <v>0</v>
      </c>
      <c r="J5176" t="n">
        <v>0</v>
      </c>
      <c r="K5176" t="n">
        <v>0</v>
      </c>
      <c r="L5176" t="n">
        <v>0</v>
      </c>
      <c r="M5176" t="n">
        <v>0</v>
      </c>
      <c r="N5176" t="n">
        <v>0</v>
      </c>
      <c r="O5176" t="n">
        <v>0</v>
      </c>
      <c r="P5176" t="n">
        <v>0</v>
      </c>
      <c r="Q5176" t="n">
        <v>0</v>
      </c>
      <c r="R5176" s="2" t="inlineStr"/>
    </row>
    <row r="5177" ht="15" customHeight="1">
      <c r="A5177" t="inlineStr">
        <is>
          <t>A 35232-2022</t>
        </is>
      </c>
      <c r="B5177" s="1" t="n">
        <v>44797</v>
      </c>
      <c r="C5177" s="1" t="n">
        <v>45182</v>
      </c>
      <c r="D5177" t="inlineStr">
        <is>
          <t>JÄMTLANDS LÄN</t>
        </is>
      </c>
      <c r="E5177" t="inlineStr">
        <is>
          <t>BRÄCKE</t>
        </is>
      </c>
      <c r="F5177" t="inlineStr">
        <is>
          <t>SCA</t>
        </is>
      </c>
      <c r="G5177" t="n">
        <v>2.4</v>
      </c>
      <c r="H5177" t="n">
        <v>0</v>
      </c>
      <c r="I5177" t="n">
        <v>0</v>
      </c>
      <c r="J5177" t="n">
        <v>0</v>
      </c>
      <c r="K5177" t="n">
        <v>0</v>
      </c>
      <c r="L5177" t="n">
        <v>0</v>
      </c>
      <c r="M5177" t="n">
        <v>0</v>
      </c>
      <c r="N5177" t="n">
        <v>0</v>
      </c>
      <c r="O5177" t="n">
        <v>0</v>
      </c>
      <c r="P5177" t="n">
        <v>0</v>
      </c>
      <c r="Q5177" t="n">
        <v>0</v>
      </c>
      <c r="R5177" s="2" t="inlineStr"/>
    </row>
    <row r="5178" ht="15" customHeight="1">
      <c r="A5178" t="inlineStr">
        <is>
          <t>A 35275-2022</t>
        </is>
      </c>
      <c r="B5178" s="1" t="n">
        <v>44797</v>
      </c>
      <c r="C5178" s="1" t="n">
        <v>45182</v>
      </c>
      <c r="D5178" t="inlineStr">
        <is>
          <t>JÄMTLANDS LÄN</t>
        </is>
      </c>
      <c r="E5178" t="inlineStr">
        <is>
          <t>KROKOM</t>
        </is>
      </c>
      <c r="F5178" t="inlineStr">
        <is>
          <t>SCA</t>
        </is>
      </c>
      <c r="G5178" t="n">
        <v>1.3</v>
      </c>
      <c r="H5178" t="n">
        <v>0</v>
      </c>
      <c r="I5178" t="n">
        <v>0</v>
      </c>
      <c r="J5178" t="n">
        <v>0</v>
      </c>
      <c r="K5178" t="n">
        <v>0</v>
      </c>
      <c r="L5178" t="n">
        <v>0</v>
      </c>
      <c r="M5178" t="n">
        <v>0</v>
      </c>
      <c r="N5178" t="n">
        <v>0</v>
      </c>
      <c r="O5178" t="n">
        <v>0</v>
      </c>
      <c r="P5178" t="n">
        <v>0</v>
      </c>
      <c r="Q5178" t="n">
        <v>0</v>
      </c>
      <c r="R5178" s="2" t="inlineStr"/>
    </row>
    <row r="5179" ht="15" customHeight="1">
      <c r="A5179" t="inlineStr">
        <is>
          <t>A 35295-2022</t>
        </is>
      </c>
      <c r="B5179" s="1" t="n">
        <v>44798</v>
      </c>
      <c r="C5179" s="1" t="n">
        <v>45182</v>
      </c>
      <c r="D5179" t="inlineStr">
        <is>
          <t>JÄMTLANDS LÄN</t>
        </is>
      </c>
      <c r="E5179" t="inlineStr">
        <is>
          <t>STRÖMSUND</t>
        </is>
      </c>
      <c r="F5179" t="inlineStr">
        <is>
          <t>Kommuner</t>
        </is>
      </c>
      <c r="G5179" t="n">
        <v>1.4</v>
      </c>
      <c r="H5179" t="n">
        <v>0</v>
      </c>
      <c r="I5179" t="n">
        <v>0</v>
      </c>
      <c r="J5179" t="n">
        <v>0</v>
      </c>
      <c r="K5179" t="n">
        <v>0</v>
      </c>
      <c r="L5179" t="n">
        <v>0</v>
      </c>
      <c r="M5179" t="n">
        <v>0</v>
      </c>
      <c r="N5179" t="n">
        <v>0</v>
      </c>
      <c r="O5179" t="n">
        <v>0</v>
      </c>
      <c r="P5179" t="n">
        <v>0</v>
      </c>
      <c r="Q5179" t="n">
        <v>0</v>
      </c>
      <c r="R5179" s="2" t="inlineStr"/>
    </row>
    <row r="5180" ht="15" customHeight="1">
      <c r="A5180" t="inlineStr">
        <is>
          <t>A 35321-2022</t>
        </is>
      </c>
      <c r="B5180" s="1" t="n">
        <v>44798</v>
      </c>
      <c r="C5180" s="1" t="n">
        <v>45182</v>
      </c>
      <c r="D5180" t="inlineStr">
        <is>
          <t>JÄMTLANDS LÄN</t>
        </is>
      </c>
      <c r="E5180" t="inlineStr">
        <is>
          <t>STRÖMSUND</t>
        </is>
      </c>
      <c r="F5180" t="inlineStr">
        <is>
          <t>Kommuner</t>
        </is>
      </c>
      <c r="G5180" t="n">
        <v>1.2</v>
      </c>
      <c r="H5180" t="n">
        <v>0</v>
      </c>
      <c r="I5180" t="n">
        <v>0</v>
      </c>
      <c r="J5180" t="n">
        <v>0</v>
      </c>
      <c r="K5180" t="n">
        <v>0</v>
      </c>
      <c r="L5180" t="n">
        <v>0</v>
      </c>
      <c r="M5180" t="n">
        <v>0</v>
      </c>
      <c r="N5180" t="n">
        <v>0</v>
      </c>
      <c r="O5180" t="n">
        <v>0</v>
      </c>
      <c r="P5180" t="n">
        <v>0</v>
      </c>
      <c r="Q5180" t="n">
        <v>0</v>
      </c>
      <c r="R5180" s="2" t="inlineStr"/>
    </row>
    <row r="5181" ht="15" customHeight="1">
      <c r="A5181" t="inlineStr">
        <is>
          <t>A 35375-2022</t>
        </is>
      </c>
      <c r="B5181" s="1" t="n">
        <v>44798</v>
      </c>
      <c r="C5181" s="1" t="n">
        <v>45182</v>
      </c>
      <c r="D5181" t="inlineStr">
        <is>
          <t>JÄMTLANDS LÄN</t>
        </is>
      </c>
      <c r="E5181" t="inlineStr">
        <is>
          <t>STRÖMSUND</t>
        </is>
      </c>
      <c r="F5181" t="inlineStr">
        <is>
          <t>Kommuner</t>
        </is>
      </c>
      <c r="G5181" t="n">
        <v>3.9</v>
      </c>
      <c r="H5181" t="n">
        <v>0</v>
      </c>
      <c r="I5181" t="n">
        <v>0</v>
      </c>
      <c r="J5181" t="n">
        <v>0</v>
      </c>
      <c r="K5181" t="n">
        <v>0</v>
      </c>
      <c r="L5181" t="n">
        <v>0</v>
      </c>
      <c r="M5181" t="n">
        <v>0</v>
      </c>
      <c r="N5181" t="n">
        <v>0</v>
      </c>
      <c r="O5181" t="n">
        <v>0</v>
      </c>
      <c r="P5181" t="n">
        <v>0</v>
      </c>
      <c r="Q5181" t="n">
        <v>0</v>
      </c>
      <c r="R5181" s="2" t="inlineStr"/>
    </row>
    <row r="5182" ht="15" customHeight="1">
      <c r="A5182" t="inlineStr">
        <is>
          <t>A 35308-2022</t>
        </is>
      </c>
      <c r="B5182" s="1" t="n">
        <v>44798</v>
      </c>
      <c r="C5182" s="1" t="n">
        <v>45182</v>
      </c>
      <c r="D5182" t="inlineStr">
        <is>
          <t>JÄMTLANDS LÄN</t>
        </is>
      </c>
      <c r="E5182" t="inlineStr">
        <is>
          <t>STRÖMSUND</t>
        </is>
      </c>
      <c r="F5182" t="inlineStr">
        <is>
          <t>Kommuner</t>
        </is>
      </c>
      <c r="G5182" t="n">
        <v>8.4</v>
      </c>
      <c r="H5182" t="n">
        <v>0</v>
      </c>
      <c r="I5182" t="n">
        <v>0</v>
      </c>
      <c r="J5182" t="n">
        <v>0</v>
      </c>
      <c r="K5182" t="n">
        <v>0</v>
      </c>
      <c r="L5182" t="n">
        <v>0</v>
      </c>
      <c r="M5182" t="n">
        <v>0</v>
      </c>
      <c r="N5182" t="n">
        <v>0</v>
      </c>
      <c r="O5182" t="n">
        <v>0</v>
      </c>
      <c r="P5182" t="n">
        <v>0</v>
      </c>
      <c r="Q5182" t="n">
        <v>0</v>
      </c>
      <c r="R5182" s="2" t="inlineStr"/>
    </row>
    <row r="5183" ht="15" customHeight="1">
      <c r="A5183" t="inlineStr">
        <is>
          <t>A 35329-2022</t>
        </is>
      </c>
      <c r="B5183" s="1" t="n">
        <v>44798</v>
      </c>
      <c r="C5183" s="1" t="n">
        <v>45182</v>
      </c>
      <c r="D5183" t="inlineStr">
        <is>
          <t>JÄMTLANDS LÄN</t>
        </is>
      </c>
      <c r="E5183" t="inlineStr">
        <is>
          <t>STRÖMSUND</t>
        </is>
      </c>
      <c r="F5183" t="inlineStr">
        <is>
          <t>Kommuner</t>
        </is>
      </c>
      <c r="G5183" t="n">
        <v>3.3</v>
      </c>
      <c r="H5183" t="n">
        <v>0</v>
      </c>
      <c r="I5183" t="n">
        <v>0</v>
      </c>
      <c r="J5183" t="n">
        <v>0</v>
      </c>
      <c r="K5183" t="n">
        <v>0</v>
      </c>
      <c r="L5183" t="n">
        <v>0</v>
      </c>
      <c r="M5183" t="n">
        <v>0</v>
      </c>
      <c r="N5183" t="n">
        <v>0</v>
      </c>
      <c r="O5183" t="n">
        <v>0</v>
      </c>
      <c r="P5183" t="n">
        <v>0</v>
      </c>
      <c r="Q5183" t="n">
        <v>0</v>
      </c>
      <c r="R5183" s="2" t="inlineStr"/>
    </row>
    <row r="5184" ht="15" customHeight="1">
      <c r="A5184" t="inlineStr">
        <is>
          <t>A 35377-2022</t>
        </is>
      </c>
      <c r="B5184" s="1" t="n">
        <v>44798</v>
      </c>
      <c r="C5184" s="1" t="n">
        <v>45182</v>
      </c>
      <c r="D5184" t="inlineStr">
        <is>
          <t>JÄMTLANDS LÄN</t>
        </is>
      </c>
      <c r="E5184" t="inlineStr">
        <is>
          <t>STRÖMSUND</t>
        </is>
      </c>
      <c r="F5184" t="inlineStr">
        <is>
          <t>Kommuner</t>
        </is>
      </c>
      <c r="G5184" t="n">
        <v>3.4</v>
      </c>
      <c r="H5184" t="n">
        <v>0</v>
      </c>
      <c r="I5184" t="n">
        <v>0</v>
      </c>
      <c r="J5184" t="n">
        <v>0</v>
      </c>
      <c r="K5184" t="n">
        <v>0</v>
      </c>
      <c r="L5184" t="n">
        <v>0</v>
      </c>
      <c r="M5184" t="n">
        <v>0</v>
      </c>
      <c r="N5184" t="n">
        <v>0</v>
      </c>
      <c r="O5184" t="n">
        <v>0</v>
      </c>
      <c r="P5184" t="n">
        <v>0</v>
      </c>
      <c r="Q5184" t="n">
        <v>0</v>
      </c>
      <c r="R5184" s="2" t="inlineStr"/>
    </row>
    <row r="5185" ht="15" customHeight="1">
      <c r="A5185" t="inlineStr">
        <is>
          <t>A 35511-2022</t>
        </is>
      </c>
      <c r="B5185" s="1" t="n">
        <v>44798</v>
      </c>
      <c r="C5185" s="1" t="n">
        <v>45182</v>
      </c>
      <c r="D5185" t="inlineStr">
        <is>
          <t>JÄMTLANDS LÄN</t>
        </is>
      </c>
      <c r="E5185" t="inlineStr">
        <is>
          <t>BRÄCKE</t>
        </is>
      </c>
      <c r="F5185" t="inlineStr">
        <is>
          <t>SCA</t>
        </is>
      </c>
      <c r="G5185" t="n">
        <v>1.4</v>
      </c>
      <c r="H5185" t="n">
        <v>0</v>
      </c>
      <c r="I5185" t="n">
        <v>0</v>
      </c>
      <c r="J5185" t="n">
        <v>0</v>
      </c>
      <c r="K5185" t="n">
        <v>0</v>
      </c>
      <c r="L5185" t="n">
        <v>0</v>
      </c>
      <c r="M5185" t="n">
        <v>0</v>
      </c>
      <c r="N5185" t="n">
        <v>0</v>
      </c>
      <c r="O5185" t="n">
        <v>0</v>
      </c>
      <c r="P5185" t="n">
        <v>0</v>
      </c>
      <c r="Q5185" t="n">
        <v>0</v>
      </c>
      <c r="R5185" s="2" t="inlineStr"/>
    </row>
    <row r="5186" ht="15" customHeight="1">
      <c r="A5186" t="inlineStr">
        <is>
          <t>A 35495-2022</t>
        </is>
      </c>
      <c r="B5186" s="1" t="n">
        <v>44798</v>
      </c>
      <c r="C5186" s="1" t="n">
        <v>45182</v>
      </c>
      <c r="D5186" t="inlineStr">
        <is>
          <t>JÄMTLANDS LÄN</t>
        </is>
      </c>
      <c r="E5186" t="inlineStr">
        <is>
          <t>RAGUNDA</t>
        </is>
      </c>
      <c r="F5186" t="inlineStr">
        <is>
          <t>SCA</t>
        </is>
      </c>
      <c r="G5186" t="n">
        <v>2.6</v>
      </c>
      <c r="H5186" t="n">
        <v>0</v>
      </c>
      <c r="I5186" t="n">
        <v>0</v>
      </c>
      <c r="J5186" t="n">
        <v>0</v>
      </c>
      <c r="K5186" t="n">
        <v>0</v>
      </c>
      <c r="L5186" t="n">
        <v>0</v>
      </c>
      <c r="M5186" t="n">
        <v>0</v>
      </c>
      <c r="N5186" t="n">
        <v>0</v>
      </c>
      <c r="O5186" t="n">
        <v>0</v>
      </c>
      <c r="P5186" t="n">
        <v>0</v>
      </c>
      <c r="Q5186" t="n">
        <v>0</v>
      </c>
      <c r="R5186" s="2" t="inlineStr"/>
    </row>
    <row r="5187" ht="15" customHeight="1">
      <c r="A5187" t="inlineStr">
        <is>
          <t>A 35694-2022</t>
        </is>
      </c>
      <c r="B5187" s="1" t="n">
        <v>44799</v>
      </c>
      <c r="C5187" s="1" t="n">
        <v>45182</v>
      </c>
      <c r="D5187" t="inlineStr">
        <is>
          <t>JÄMTLANDS LÄN</t>
        </is>
      </c>
      <c r="E5187" t="inlineStr">
        <is>
          <t>STRÖMSUND</t>
        </is>
      </c>
      <c r="G5187" t="n">
        <v>1.9</v>
      </c>
      <c r="H5187" t="n">
        <v>0</v>
      </c>
      <c r="I5187" t="n">
        <v>0</v>
      </c>
      <c r="J5187" t="n">
        <v>0</v>
      </c>
      <c r="K5187" t="n">
        <v>0</v>
      </c>
      <c r="L5187" t="n">
        <v>0</v>
      </c>
      <c r="M5187" t="n">
        <v>0</v>
      </c>
      <c r="N5187" t="n">
        <v>0</v>
      </c>
      <c r="O5187" t="n">
        <v>0</v>
      </c>
      <c r="P5187" t="n">
        <v>0</v>
      </c>
      <c r="Q5187" t="n">
        <v>0</v>
      </c>
      <c r="R5187" s="2" t="inlineStr"/>
    </row>
    <row r="5188" ht="15" customHeight="1">
      <c r="A5188" t="inlineStr">
        <is>
          <t>A 35757-2022</t>
        </is>
      </c>
      <c r="B5188" s="1" t="n">
        <v>44799</v>
      </c>
      <c r="C5188" s="1" t="n">
        <v>45182</v>
      </c>
      <c r="D5188" t="inlineStr">
        <is>
          <t>JÄMTLANDS LÄN</t>
        </is>
      </c>
      <c r="E5188" t="inlineStr">
        <is>
          <t>RAGUNDA</t>
        </is>
      </c>
      <c r="F5188" t="inlineStr">
        <is>
          <t>SCA</t>
        </is>
      </c>
      <c r="G5188" t="n">
        <v>2.5</v>
      </c>
      <c r="H5188" t="n">
        <v>0</v>
      </c>
      <c r="I5188" t="n">
        <v>0</v>
      </c>
      <c r="J5188" t="n">
        <v>0</v>
      </c>
      <c r="K5188" t="n">
        <v>0</v>
      </c>
      <c r="L5188" t="n">
        <v>0</v>
      </c>
      <c r="M5188" t="n">
        <v>0</v>
      </c>
      <c r="N5188" t="n">
        <v>0</v>
      </c>
      <c r="O5188" t="n">
        <v>0</v>
      </c>
      <c r="P5188" t="n">
        <v>0</v>
      </c>
      <c r="Q5188" t="n">
        <v>0</v>
      </c>
      <c r="R5188" s="2" t="inlineStr"/>
    </row>
    <row r="5189" ht="15" customHeight="1">
      <c r="A5189" t="inlineStr">
        <is>
          <t>A 35556-2022</t>
        </is>
      </c>
      <c r="B5189" s="1" t="n">
        <v>44799</v>
      </c>
      <c r="C5189" s="1" t="n">
        <v>45182</v>
      </c>
      <c r="D5189" t="inlineStr">
        <is>
          <t>JÄMTLANDS LÄN</t>
        </is>
      </c>
      <c r="E5189" t="inlineStr">
        <is>
          <t>ÖSTERSUND</t>
        </is>
      </c>
      <c r="G5189" t="n">
        <v>3.6</v>
      </c>
      <c r="H5189" t="n">
        <v>0</v>
      </c>
      <c r="I5189" t="n">
        <v>0</v>
      </c>
      <c r="J5189" t="n">
        <v>0</v>
      </c>
      <c r="K5189" t="n">
        <v>0</v>
      </c>
      <c r="L5189" t="n">
        <v>0</v>
      </c>
      <c r="M5189" t="n">
        <v>0</v>
      </c>
      <c r="N5189" t="n">
        <v>0</v>
      </c>
      <c r="O5189" t="n">
        <v>0</v>
      </c>
      <c r="P5189" t="n">
        <v>0</v>
      </c>
      <c r="Q5189" t="n">
        <v>0</v>
      </c>
      <c r="R5189" s="2" t="inlineStr"/>
    </row>
    <row r="5190" ht="15" customHeight="1">
      <c r="A5190" t="inlineStr">
        <is>
          <t>A 36070-2022</t>
        </is>
      </c>
      <c r="B5190" s="1" t="n">
        <v>44802</v>
      </c>
      <c r="C5190" s="1" t="n">
        <v>45182</v>
      </c>
      <c r="D5190" t="inlineStr">
        <is>
          <t>JÄMTLANDS LÄN</t>
        </is>
      </c>
      <c r="E5190" t="inlineStr">
        <is>
          <t>BERG</t>
        </is>
      </c>
      <c r="G5190" t="n">
        <v>1.6</v>
      </c>
      <c r="H5190" t="n">
        <v>0</v>
      </c>
      <c r="I5190" t="n">
        <v>0</v>
      </c>
      <c r="J5190" t="n">
        <v>0</v>
      </c>
      <c r="K5190" t="n">
        <v>0</v>
      </c>
      <c r="L5190" t="n">
        <v>0</v>
      </c>
      <c r="M5190" t="n">
        <v>0</v>
      </c>
      <c r="N5190" t="n">
        <v>0</v>
      </c>
      <c r="O5190" t="n">
        <v>0</v>
      </c>
      <c r="P5190" t="n">
        <v>0</v>
      </c>
      <c r="Q5190" t="n">
        <v>0</v>
      </c>
      <c r="R5190" s="2" t="inlineStr"/>
    </row>
    <row r="5191" ht="15" customHeight="1">
      <c r="A5191" t="inlineStr">
        <is>
          <t>A 35998-2022</t>
        </is>
      </c>
      <c r="B5191" s="1" t="n">
        <v>44802</v>
      </c>
      <c r="C5191" s="1" t="n">
        <v>45182</v>
      </c>
      <c r="D5191" t="inlineStr">
        <is>
          <t>JÄMTLANDS LÄN</t>
        </is>
      </c>
      <c r="E5191" t="inlineStr">
        <is>
          <t>RAGUNDA</t>
        </is>
      </c>
      <c r="G5191" t="n">
        <v>25.4</v>
      </c>
      <c r="H5191" t="n">
        <v>0</v>
      </c>
      <c r="I5191" t="n">
        <v>0</v>
      </c>
      <c r="J5191" t="n">
        <v>0</v>
      </c>
      <c r="K5191" t="n">
        <v>0</v>
      </c>
      <c r="L5191" t="n">
        <v>0</v>
      </c>
      <c r="M5191" t="n">
        <v>0</v>
      </c>
      <c r="N5191" t="n">
        <v>0</v>
      </c>
      <c r="O5191" t="n">
        <v>0</v>
      </c>
      <c r="P5191" t="n">
        <v>0</v>
      </c>
      <c r="Q5191" t="n">
        <v>0</v>
      </c>
      <c r="R5191" s="2" t="inlineStr"/>
    </row>
    <row r="5192" ht="15" customHeight="1">
      <c r="A5192" t="inlineStr">
        <is>
          <t>A 35971-2022</t>
        </is>
      </c>
      <c r="B5192" s="1" t="n">
        <v>44802</v>
      </c>
      <c r="C5192" s="1" t="n">
        <v>45182</v>
      </c>
      <c r="D5192" t="inlineStr">
        <is>
          <t>JÄMTLANDS LÄN</t>
        </is>
      </c>
      <c r="E5192" t="inlineStr">
        <is>
          <t>STRÖMSUND</t>
        </is>
      </c>
      <c r="F5192" t="inlineStr">
        <is>
          <t>Sveaskog</t>
        </is>
      </c>
      <c r="G5192" t="n">
        <v>17.2</v>
      </c>
      <c r="H5192" t="n">
        <v>0</v>
      </c>
      <c r="I5192" t="n">
        <v>0</v>
      </c>
      <c r="J5192" t="n">
        <v>0</v>
      </c>
      <c r="K5192" t="n">
        <v>0</v>
      </c>
      <c r="L5192" t="n">
        <v>0</v>
      </c>
      <c r="M5192" t="n">
        <v>0</v>
      </c>
      <c r="N5192" t="n">
        <v>0</v>
      </c>
      <c r="O5192" t="n">
        <v>0</v>
      </c>
      <c r="P5192" t="n">
        <v>0</v>
      </c>
      <c r="Q5192" t="n">
        <v>0</v>
      </c>
      <c r="R5192" s="2" t="inlineStr"/>
    </row>
    <row r="5193" ht="15" customHeight="1">
      <c r="A5193" t="inlineStr">
        <is>
          <t>A 36071-2022</t>
        </is>
      </c>
      <c r="B5193" s="1" t="n">
        <v>44802</v>
      </c>
      <c r="C5193" s="1" t="n">
        <v>45182</v>
      </c>
      <c r="D5193" t="inlineStr">
        <is>
          <t>JÄMTLANDS LÄN</t>
        </is>
      </c>
      <c r="E5193" t="inlineStr">
        <is>
          <t>BERG</t>
        </is>
      </c>
      <c r="G5193" t="n">
        <v>1.6</v>
      </c>
      <c r="H5193" t="n">
        <v>0</v>
      </c>
      <c r="I5193" t="n">
        <v>0</v>
      </c>
      <c r="J5193" t="n">
        <v>0</v>
      </c>
      <c r="K5193" t="n">
        <v>0</v>
      </c>
      <c r="L5193" t="n">
        <v>0</v>
      </c>
      <c r="M5193" t="n">
        <v>0</v>
      </c>
      <c r="N5193" t="n">
        <v>0</v>
      </c>
      <c r="O5193" t="n">
        <v>0</v>
      </c>
      <c r="P5193" t="n">
        <v>0</v>
      </c>
      <c r="Q5193" t="n">
        <v>0</v>
      </c>
      <c r="R5193" s="2" t="inlineStr"/>
    </row>
    <row r="5194" ht="15" customHeight="1">
      <c r="A5194" t="inlineStr">
        <is>
          <t>A 36084-2022</t>
        </is>
      </c>
      <c r="B5194" s="1" t="n">
        <v>44802</v>
      </c>
      <c r="C5194" s="1" t="n">
        <v>45182</v>
      </c>
      <c r="D5194" t="inlineStr">
        <is>
          <t>JÄMTLANDS LÄN</t>
        </is>
      </c>
      <c r="E5194" t="inlineStr">
        <is>
          <t>RAGUNDA</t>
        </is>
      </c>
      <c r="F5194" t="inlineStr">
        <is>
          <t>SCA</t>
        </is>
      </c>
      <c r="G5194" t="n">
        <v>5.7</v>
      </c>
      <c r="H5194" t="n">
        <v>0</v>
      </c>
      <c r="I5194" t="n">
        <v>0</v>
      </c>
      <c r="J5194" t="n">
        <v>0</v>
      </c>
      <c r="K5194" t="n">
        <v>0</v>
      </c>
      <c r="L5194" t="n">
        <v>0</v>
      </c>
      <c r="M5194" t="n">
        <v>0</v>
      </c>
      <c r="N5194" t="n">
        <v>0</v>
      </c>
      <c r="O5194" t="n">
        <v>0</v>
      </c>
      <c r="P5194" t="n">
        <v>0</v>
      </c>
      <c r="Q5194" t="n">
        <v>0</v>
      </c>
      <c r="R5194" s="2" t="inlineStr"/>
    </row>
    <row r="5195" ht="15" customHeight="1">
      <c r="A5195" t="inlineStr">
        <is>
          <t>A 36129-2022</t>
        </is>
      </c>
      <c r="B5195" s="1" t="n">
        <v>44803</v>
      </c>
      <c r="C5195" s="1" t="n">
        <v>45182</v>
      </c>
      <c r="D5195" t="inlineStr">
        <is>
          <t>JÄMTLANDS LÄN</t>
        </is>
      </c>
      <c r="E5195" t="inlineStr">
        <is>
          <t>BRÄCKE</t>
        </is>
      </c>
      <c r="G5195" t="n">
        <v>1.2</v>
      </c>
      <c r="H5195" t="n">
        <v>0</v>
      </c>
      <c r="I5195" t="n">
        <v>0</v>
      </c>
      <c r="J5195" t="n">
        <v>0</v>
      </c>
      <c r="K5195" t="n">
        <v>0</v>
      </c>
      <c r="L5195" t="n">
        <v>0</v>
      </c>
      <c r="M5195" t="n">
        <v>0</v>
      </c>
      <c r="N5195" t="n">
        <v>0</v>
      </c>
      <c r="O5195" t="n">
        <v>0</v>
      </c>
      <c r="P5195" t="n">
        <v>0</v>
      </c>
      <c r="Q5195" t="n">
        <v>0</v>
      </c>
      <c r="R5195" s="2" t="inlineStr"/>
    </row>
    <row r="5196" ht="15" customHeight="1">
      <c r="A5196" t="inlineStr">
        <is>
          <t>A 36382-2022</t>
        </is>
      </c>
      <c r="B5196" s="1" t="n">
        <v>44803</v>
      </c>
      <c r="C5196" s="1" t="n">
        <v>45182</v>
      </c>
      <c r="D5196" t="inlineStr">
        <is>
          <t>JÄMTLANDS LÄN</t>
        </is>
      </c>
      <c r="E5196" t="inlineStr">
        <is>
          <t>STRÖMSUND</t>
        </is>
      </c>
      <c r="F5196" t="inlineStr">
        <is>
          <t>SCA</t>
        </is>
      </c>
      <c r="G5196" t="n">
        <v>12.6</v>
      </c>
      <c r="H5196" t="n">
        <v>0</v>
      </c>
      <c r="I5196" t="n">
        <v>0</v>
      </c>
      <c r="J5196" t="n">
        <v>0</v>
      </c>
      <c r="K5196" t="n">
        <v>0</v>
      </c>
      <c r="L5196" t="n">
        <v>0</v>
      </c>
      <c r="M5196" t="n">
        <v>0</v>
      </c>
      <c r="N5196" t="n">
        <v>0</v>
      </c>
      <c r="O5196" t="n">
        <v>0</v>
      </c>
      <c r="P5196" t="n">
        <v>0</v>
      </c>
      <c r="Q5196" t="n">
        <v>0</v>
      </c>
      <c r="R5196" s="2" t="inlineStr"/>
    </row>
    <row r="5197" ht="15" customHeight="1">
      <c r="A5197" t="inlineStr">
        <is>
          <t>A 36122-2022</t>
        </is>
      </c>
      <c r="B5197" s="1" t="n">
        <v>44803</v>
      </c>
      <c r="C5197" s="1" t="n">
        <v>45182</v>
      </c>
      <c r="D5197" t="inlineStr">
        <is>
          <t>JÄMTLANDS LÄN</t>
        </is>
      </c>
      <c r="E5197" t="inlineStr">
        <is>
          <t>KROKOM</t>
        </is>
      </c>
      <c r="G5197" t="n">
        <v>5.7</v>
      </c>
      <c r="H5197" t="n">
        <v>0</v>
      </c>
      <c r="I5197" t="n">
        <v>0</v>
      </c>
      <c r="J5197" t="n">
        <v>0</v>
      </c>
      <c r="K5197" t="n">
        <v>0</v>
      </c>
      <c r="L5197" t="n">
        <v>0</v>
      </c>
      <c r="M5197" t="n">
        <v>0</v>
      </c>
      <c r="N5197" t="n">
        <v>0</v>
      </c>
      <c r="O5197" t="n">
        <v>0</v>
      </c>
      <c r="P5197" t="n">
        <v>0</v>
      </c>
      <c r="Q5197" t="n">
        <v>0</v>
      </c>
      <c r="R5197" s="2" t="inlineStr"/>
    </row>
    <row r="5198" ht="15" customHeight="1">
      <c r="A5198" t="inlineStr">
        <is>
          <t>A 36187-2022</t>
        </is>
      </c>
      <c r="B5198" s="1" t="n">
        <v>44803</v>
      </c>
      <c r="C5198" s="1" t="n">
        <v>45182</v>
      </c>
      <c r="D5198" t="inlineStr">
        <is>
          <t>JÄMTLANDS LÄN</t>
        </is>
      </c>
      <c r="E5198" t="inlineStr">
        <is>
          <t>HÄRJEDALEN</t>
        </is>
      </c>
      <c r="G5198" t="n">
        <v>2.4</v>
      </c>
      <c r="H5198" t="n">
        <v>0</v>
      </c>
      <c r="I5198" t="n">
        <v>0</v>
      </c>
      <c r="J5198" t="n">
        <v>0</v>
      </c>
      <c r="K5198" t="n">
        <v>0</v>
      </c>
      <c r="L5198" t="n">
        <v>0</v>
      </c>
      <c r="M5198" t="n">
        <v>0</v>
      </c>
      <c r="N5198" t="n">
        <v>0</v>
      </c>
      <c r="O5198" t="n">
        <v>0</v>
      </c>
      <c r="P5198" t="n">
        <v>0</v>
      </c>
      <c r="Q5198" t="n">
        <v>0</v>
      </c>
      <c r="R5198" s="2" t="inlineStr"/>
    </row>
    <row r="5199" ht="15" customHeight="1">
      <c r="A5199" t="inlineStr">
        <is>
          <t>A 36127-2022</t>
        </is>
      </c>
      <c r="B5199" s="1" t="n">
        <v>44803</v>
      </c>
      <c r="C5199" s="1" t="n">
        <v>45182</v>
      </c>
      <c r="D5199" t="inlineStr">
        <is>
          <t>JÄMTLANDS LÄN</t>
        </is>
      </c>
      <c r="E5199" t="inlineStr">
        <is>
          <t>BRÄCKE</t>
        </is>
      </c>
      <c r="G5199" t="n">
        <v>2.5</v>
      </c>
      <c r="H5199" t="n">
        <v>0</v>
      </c>
      <c r="I5199" t="n">
        <v>0</v>
      </c>
      <c r="J5199" t="n">
        <v>0</v>
      </c>
      <c r="K5199" t="n">
        <v>0</v>
      </c>
      <c r="L5199" t="n">
        <v>0</v>
      </c>
      <c r="M5199" t="n">
        <v>0</v>
      </c>
      <c r="N5199" t="n">
        <v>0</v>
      </c>
      <c r="O5199" t="n">
        <v>0</v>
      </c>
      <c r="P5199" t="n">
        <v>0</v>
      </c>
      <c r="Q5199" t="n">
        <v>0</v>
      </c>
      <c r="R5199" s="2" t="inlineStr"/>
    </row>
    <row r="5200" ht="15" customHeight="1">
      <c r="A5200" t="inlineStr">
        <is>
          <t>A 36219-2022</t>
        </is>
      </c>
      <c r="B5200" s="1" t="n">
        <v>44803</v>
      </c>
      <c r="C5200" s="1" t="n">
        <v>45182</v>
      </c>
      <c r="D5200" t="inlineStr">
        <is>
          <t>JÄMTLANDS LÄN</t>
        </is>
      </c>
      <c r="E5200" t="inlineStr">
        <is>
          <t>ÅRE</t>
        </is>
      </c>
      <c r="G5200" t="n">
        <v>0.4</v>
      </c>
      <c r="H5200" t="n">
        <v>0</v>
      </c>
      <c r="I5200" t="n">
        <v>0</v>
      </c>
      <c r="J5200" t="n">
        <v>0</v>
      </c>
      <c r="K5200" t="n">
        <v>0</v>
      </c>
      <c r="L5200" t="n">
        <v>0</v>
      </c>
      <c r="M5200" t="n">
        <v>0</v>
      </c>
      <c r="N5200" t="n">
        <v>0</v>
      </c>
      <c r="O5200" t="n">
        <v>0</v>
      </c>
      <c r="P5200" t="n">
        <v>0</v>
      </c>
      <c r="Q5200" t="n">
        <v>0</v>
      </c>
      <c r="R5200" s="2" t="inlineStr"/>
    </row>
    <row r="5201" ht="15" customHeight="1">
      <c r="A5201" t="inlineStr">
        <is>
          <t>A 36249-2022</t>
        </is>
      </c>
      <c r="B5201" s="1" t="n">
        <v>44803</v>
      </c>
      <c r="C5201" s="1" t="n">
        <v>45182</v>
      </c>
      <c r="D5201" t="inlineStr">
        <is>
          <t>JÄMTLANDS LÄN</t>
        </is>
      </c>
      <c r="E5201" t="inlineStr">
        <is>
          <t>HÄRJEDALEN</t>
        </is>
      </c>
      <c r="G5201" t="n">
        <v>7.2</v>
      </c>
      <c r="H5201" t="n">
        <v>0</v>
      </c>
      <c r="I5201" t="n">
        <v>0</v>
      </c>
      <c r="J5201" t="n">
        <v>0</v>
      </c>
      <c r="K5201" t="n">
        <v>0</v>
      </c>
      <c r="L5201" t="n">
        <v>0</v>
      </c>
      <c r="M5201" t="n">
        <v>0</v>
      </c>
      <c r="N5201" t="n">
        <v>0</v>
      </c>
      <c r="O5201" t="n">
        <v>0</v>
      </c>
      <c r="P5201" t="n">
        <v>0</v>
      </c>
      <c r="Q5201" t="n">
        <v>0</v>
      </c>
      <c r="R5201" s="2" t="inlineStr"/>
    </row>
    <row r="5202" ht="15" customHeight="1">
      <c r="A5202" t="inlineStr">
        <is>
          <t>A 36373-2022</t>
        </is>
      </c>
      <c r="B5202" s="1" t="n">
        <v>44803</v>
      </c>
      <c r="C5202" s="1" t="n">
        <v>45182</v>
      </c>
      <c r="D5202" t="inlineStr">
        <is>
          <t>JÄMTLANDS LÄN</t>
        </is>
      </c>
      <c r="E5202" t="inlineStr">
        <is>
          <t>BERG</t>
        </is>
      </c>
      <c r="F5202" t="inlineStr">
        <is>
          <t>SCA</t>
        </is>
      </c>
      <c r="G5202" t="n">
        <v>4.4</v>
      </c>
      <c r="H5202" t="n">
        <v>0</v>
      </c>
      <c r="I5202" t="n">
        <v>0</v>
      </c>
      <c r="J5202" t="n">
        <v>0</v>
      </c>
      <c r="K5202" t="n">
        <v>0</v>
      </c>
      <c r="L5202" t="n">
        <v>0</v>
      </c>
      <c r="M5202" t="n">
        <v>0</v>
      </c>
      <c r="N5202" t="n">
        <v>0</v>
      </c>
      <c r="O5202" t="n">
        <v>0</v>
      </c>
      <c r="P5202" t="n">
        <v>0</v>
      </c>
      <c r="Q5202" t="n">
        <v>0</v>
      </c>
      <c r="R5202" s="2" t="inlineStr"/>
    </row>
    <row r="5203" ht="15" customHeight="1">
      <c r="A5203" t="inlineStr">
        <is>
          <t>A 36389-2022</t>
        </is>
      </c>
      <c r="B5203" s="1" t="n">
        <v>44803</v>
      </c>
      <c r="C5203" s="1" t="n">
        <v>45182</v>
      </c>
      <c r="D5203" t="inlineStr">
        <is>
          <t>JÄMTLANDS LÄN</t>
        </is>
      </c>
      <c r="E5203" t="inlineStr">
        <is>
          <t>BRÄCKE</t>
        </is>
      </c>
      <c r="F5203" t="inlineStr">
        <is>
          <t>SCA</t>
        </is>
      </c>
      <c r="G5203" t="n">
        <v>1.5</v>
      </c>
      <c r="H5203" t="n">
        <v>0</v>
      </c>
      <c r="I5203" t="n">
        <v>0</v>
      </c>
      <c r="J5203" t="n">
        <v>0</v>
      </c>
      <c r="K5203" t="n">
        <v>0</v>
      </c>
      <c r="L5203" t="n">
        <v>0</v>
      </c>
      <c r="M5203" t="n">
        <v>0</v>
      </c>
      <c r="N5203" t="n">
        <v>0</v>
      </c>
      <c r="O5203" t="n">
        <v>0</v>
      </c>
      <c r="P5203" t="n">
        <v>0</v>
      </c>
      <c r="Q5203" t="n">
        <v>0</v>
      </c>
      <c r="R5203" s="2" t="inlineStr"/>
    </row>
    <row r="5204" ht="15" customHeight="1">
      <c r="A5204" t="inlineStr">
        <is>
          <t>A 36559-2022</t>
        </is>
      </c>
      <c r="B5204" s="1" t="n">
        <v>44804</v>
      </c>
      <c r="C5204" s="1" t="n">
        <v>45182</v>
      </c>
      <c r="D5204" t="inlineStr">
        <is>
          <t>JÄMTLANDS LÄN</t>
        </is>
      </c>
      <c r="E5204" t="inlineStr">
        <is>
          <t>STRÖMSUND</t>
        </is>
      </c>
      <c r="F5204" t="inlineStr">
        <is>
          <t>Holmen skog AB</t>
        </is>
      </c>
      <c r="G5204" t="n">
        <v>4.3</v>
      </c>
      <c r="H5204" t="n">
        <v>0</v>
      </c>
      <c r="I5204" t="n">
        <v>0</v>
      </c>
      <c r="J5204" t="n">
        <v>0</v>
      </c>
      <c r="K5204" t="n">
        <v>0</v>
      </c>
      <c r="L5204" t="n">
        <v>0</v>
      </c>
      <c r="M5204" t="n">
        <v>0</v>
      </c>
      <c r="N5204" t="n">
        <v>0</v>
      </c>
      <c r="O5204" t="n">
        <v>0</v>
      </c>
      <c r="P5204" t="n">
        <v>0</v>
      </c>
      <c r="Q5204" t="n">
        <v>0</v>
      </c>
      <c r="R5204" s="2" t="inlineStr"/>
    </row>
    <row r="5205" ht="15" customHeight="1">
      <c r="A5205" t="inlineStr">
        <is>
          <t>A 36612-2022</t>
        </is>
      </c>
      <c r="B5205" s="1" t="n">
        <v>44804</v>
      </c>
      <c r="C5205" s="1" t="n">
        <v>45182</v>
      </c>
      <c r="D5205" t="inlineStr">
        <is>
          <t>JÄMTLANDS LÄN</t>
        </is>
      </c>
      <c r="E5205" t="inlineStr">
        <is>
          <t>RAGUNDA</t>
        </is>
      </c>
      <c r="G5205" t="n">
        <v>2.1</v>
      </c>
      <c r="H5205" t="n">
        <v>0</v>
      </c>
      <c r="I5205" t="n">
        <v>0</v>
      </c>
      <c r="J5205" t="n">
        <v>0</v>
      </c>
      <c r="K5205" t="n">
        <v>0</v>
      </c>
      <c r="L5205" t="n">
        <v>0</v>
      </c>
      <c r="M5205" t="n">
        <v>0</v>
      </c>
      <c r="N5205" t="n">
        <v>0</v>
      </c>
      <c r="O5205" t="n">
        <v>0</v>
      </c>
      <c r="P5205" t="n">
        <v>0</v>
      </c>
      <c r="Q5205" t="n">
        <v>0</v>
      </c>
      <c r="R5205" s="2" t="inlineStr"/>
    </row>
    <row r="5206" ht="15" customHeight="1">
      <c r="A5206" t="inlineStr">
        <is>
          <t>A 36692-2022</t>
        </is>
      </c>
      <c r="B5206" s="1" t="n">
        <v>44804</v>
      </c>
      <c r="C5206" s="1" t="n">
        <v>45182</v>
      </c>
      <c r="D5206" t="inlineStr">
        <is>
          <t>JÄMTLANDS LÄN</t>
        </is>
      </c>
      <c r="E5206" t="inlineStr">
        <is>
          <t>RAGUNDA</t>
        </is>
      </c>
      <c r="F5206" t="inlineStr">
        <is>
          <t>SCA</t>
        </is>
      </c>
      <c r="G5206" t="n">
        <v>3.4</v>
      </c>
      <c r="H5206" t="n">
        <v>0</v>
      </c>
      <c r="I5206" t="n">
        <v>0</v>
      </c>
      <c r="J5206" t="n">
        <v>0</v>
      </c>
      <c r="K5206" t="n">
        <v>0</v>
      </c>
      <c r="L5206" t="n">
        <v>0</v>
      </c>
      <c r="M5206" t="n">
        <v>0</v>
      </c>
      <c r="N5206" t="n">
        <v>0</v>
      </c>
      <c r="O5206" t="n">
        <v>0</v>
      </c>
      <c r="P5206" t="n">
        <v>0</v>
      </c>
      <c r="Q5206" t="n">
        <v>0</v>
      </c>
      <c r="R5206" s="2" t="inlineStr"/>
    </row>
    <row r="5207" ht="15" customHeight="1">
      <c r="A5207" t="inlineStr">
        <is>
          <t>A 36685-2022</t>
        </is>
      </c>
      <c r="B5207" s="1" t="n">
        <v>44804</v>
      </c>
      <c r="C5207" s="1" t="n">
        <v>45182</v>
      </c>
      <c r="D5207" t="inlineStr">
        <is>
          <t>JÄMTLANDS LÄN</t>
        </is>
      </c>
      <c r="E5207" t="inlineStr">
        <is>
          <t>BRÄCKE</t>
        </is>
      </c>
      <c r="F5207" t="inlineStr">
        <is>
          <t>SCA</t>
        </is>
      </c>
      <c r="G5207" t="n">
        <v>3.7</v>
      </c>
      <c r="H5207" t="n">
        <v>0</v>
      </c>
      <c r="I5207" t="n">
        <v>0</v>
      </c>
      <c r="J5207" t="n">
        <v>0</v>
      </c>
      <c r="K5207" t="n">
        <v>0</v>
      </c>
      <c r="L5207" t="n">
        <v>0</v>
      </c>
      <c r="M5207" t="n">
        <v>0</v>
      </c>
      <c r="N5207" t="n">
        <v>0</v>
      </c>
      <c r="O5207" t="n">
        <v>0</v>
      </c>
      <c r="P5207" t="n">
        <v>0</v>
      </c>
      <c r="Q5207" t="n">
        <v>0</v>
      </c>
      <c r="R5207" s="2" t="inlineStr"/>
    </row>
    <row r="5208" ht="15" customHeight="1">
      <c r="A5208" t="inlineStr">
        <is>
          <t>A 36581-2022</t>
        </is>
      </c>
      <c r="B5208" s="1" t="n">
        <v>44804</v>
      </c>
      <c r="C5208" s="1" t="n">
        <v>45182</v>
      </c>
      <c r="D5208" t="inlineStr">
        <is>
          <t>JÄMTLANDS LÄN</t>
        </is>
      </c>
      <c r="E5208" t="inlineStr">
        <is>
          <t>STRÖMSUND</t>
        </is>
      </c>
      <c r="F5208" t="inlineStr">
        <is>
          <t>Holmen skog AB</t>
        </is>
      </c>
      <c r="G5208" t="n">
        <v>2.2</v>
      </c>
      <c r="H5208" t="n">
        <v>0</v>
      </c>
      <c r="I5208" t="n">
        <v>0</v>
      </c>
      <c r="J5208" t="n">
        <v>0</v>
      </c>
      <c r="K5208" t="n">
        <v>0</v>
      </c>
      <c r="L5208" t="n">
        <v>0</v>
      </c>
      <c r="M5208" t="n">
        <v>0</v>
      </c>
      <c r="N5208" t="n">
        <v>0</v>
      </c>
      <c r="O5208" t="n">
        <v>0</v>
      </c>
      <c r="P5208" t="n">
        <v>0</v>
      </c>
      <c r="Q5208" t="n">
        <v>0</v>
      </c>
      <c r="R5208" s="2" t="inlineStr"/>
    </row>
    <row r="5209" ht="15" customHeight="1">
      <c r="A5209" t="inlineStr">
        <is>
          <t>A 36689-2022</t>
        </is>
      </c>
      <c r="B5209" s="1" t="n">
        <v>44804</v>
      </c>
      <c r="C5209" s="1" t="n">
        <v>45182</v>
      </c>
      <c r="D5209" t="inlineStr">
        <is>
          <t>JÄMTLANDS LÄN</t>
        </is>
      </c>
      <c r="E5209" t="inlineStr">
        <is>
          <t>STRÖMSUND</t>
        </is>
      </c>
      <c r="F5209" t="inlineStr">
        <is>
          <t>SCA</t>
        </is>
      </c>
      <c r="G5209" t="n">
        <v>2.9</v>
      </c>
      <c r="H5209" t="n">
        <v>0</v>
      </c>
      <c r="I5209" t="n">
        <v>0</v>
      </c>
      <c r="J5209" t="n">
        <v>0</v>
      </c>
      <c r="K5209" t="n">
        <v>0</v>
      </c>
      <c r="L5209" t="n">
        <v>0</v>
      </c>
      <c r="M5209" t="n">
        <v>0</v>
      </c>
      <c r="N5209" t="n">
        <v>0</v>
      </c>
      <c r="O5209" t="n">
        <v>0</v>
      </c>
      <c r="P5209" t="n">
        <v>0</v>
      </c>
      <c r="Q5209" t="n">
        <v>0</v>
      </c>
      <c r="R5209" s="2" t="inlineStr"/>
    </row>
    <row r="5210" ht="15" customHeight="1">
      <c r="A5210" t="inlineStr">
        <is>
          <t>A 36943-2022</t>
        </is>
      </c>
      <c r="B5210" s="1" t="n">
        <v>44805</v>
      </c>
      <c r="C5210" s="1" t="n">
        <v>45182</v>
      </c>
      <c r="D5210" t="inlineStr">
        <is>
          <t>JÄMTLANDS LÄN</t>
        </is>
      </c>
      <c r="E5210" t="inlineStr">
        <is>
          <t>RAGUNDA</t>
        </is>
      </c>
      <c r="F5210" t="inlineStr">
        <is>
          <t>SCA</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36840-2022</t>
        </is>
      </c>
      <c r="B5211" s="1" t="n">
        <v>44805</v>
      </c>
      <c r="C5211" s="1" t="n">
        <v>45182</v>
      </c>
      <c r="D5211" t="inlineStr">
        <is>
          <t>JÄMTLANDS LÄN</t>
        </is>
      </c>
      <c r="E5211" t="inlineStr">
        <is>
          <t>BRÄCKE</t>
        </is>
      </c>
      <c r="G5211" t="n">
        <v>1.2</v>
      </c>
      <c r="H5211" t="n">
        <v>0</v>
      </c>
      <c r="I5211" t="n">
        <v>0</v>
      </c>
      <c r="J5211" t="n">
        <v>0</v>
      </c>
      <c r="K5211" t="n">
        <v>0</v>
      </c>
      <c r="L5211" t="n">
        <v>0</v>
      </c>
      <c r="M5211" t="n">
        <v>0</v>
      </c>
      <c r="N5211" t="n">
        <v>0</v>
      </c>
      <c r="O5211" t="n">
        <v>0</v>
      </c>
      <c r="P5211" t="n">
        <v>0</v>
      </c>
      <c r="Q5211" t="n">
        <v>0</v>
      </c>
      <c r="R5211" s="2" t="inlineStr"/>
    </row>
    <row r="5212" ht="15" customHeight="1">
      <c r="A5212" t="inlineStr">
        <is>
          <t>A 36941-2022</t>
        </is>
      </c>
      <c r="B5212" s="1" t="n">
        <v>44805</v>
      </c>
      <c r="C5212" s="1" t="n">
        <v>45182</v>
      </c>
      <c r="D5212" t="inlineStr">
        <is>
          <t>JÄMTLANDS LÄN</t>
        </is>
      </c>
      <c r="E5212" t="inlineStr">
        <is>
          <t>RAGUNDA</t>
        </is>
      </c>
      <c r="F5212" t="inlineStr">
        <is>
          <t>SCA</t>
        </is>
      </c>
      <c r="G5212" t="n">
        <v>3.7</v>
      </c>
      <c r="H5212" t="n">
        <v>0</v>
      </c>
      <c r="I5212" t="n">
        <v>0</v>
      </c>
      <c r="J5212" t="n">
        <v>0</v>
      </c>
      <c r="K5212" t="n">
        <v>0</v>
      </c>
      <c r="L5212" t="n">
        <v>0</v>
      </c>
      <c r="M5212" t="n">
        <v>0</v>
      </c>
      <c r="N5212" t="n">
        <v>0</v>
      </c>
      <c r="O5212" t="n">
        <v>0</v>
      </c>
      <c r="P5212" t="n">
        <v>0</v>
      </c>
      <c r="Q5212" t="n">
        <v>0</v>
      </c>
      <c r="R5212" s="2" t="inlineStr"/>
    </row>
    <row r="5213" ht="15" customHeight="1">
      <c r="A5213" t="inlineStr">
        <is>
          <t>A 37032-2022</t>
        </is>
      </c>
      <c r="B5213" s="1" t="n">
        <v>44806</v>
      </c>
      <c r="C5213" s="1" t="n">
        <v>45182</v>
      </c>
      <c r="D5213" t="inlineStr">
        <is>
          <t>JÄMTLANDS LÄN</t>
        </is>
      </c>
      <c r="E5213" t="inlineStr">
        <is>
          <t>BRÄCKE</t>
        </is>
      </c>
      <c r="G5213" t="n">
        <v>0.7</v>
      </c>
      <c r="H5213" t="n">
        <v>0</v>
      </c>
      <c r="I5213" t="n">
        <v>0</v>
      </c>
      <c r="J5213" t="n">
        <v>0</v>
      </c>
      <c r="K5213" t="n">
        <v>0</v>
      </c>
      <c r="L5213" t="n">
        <v>0</v>
      </c>
      <c r="M5213" t="n">
        <v>0</v>
      </c>
      <c r="N5213" t="n">
        <v>0</v>
      </c>
      <c r="O5213" t="n">
        <v>0</v>
      </c>
      <c r="P5213" t="n">
        <v>0</v>
      </c>
      <c r="Q5213" t="n">
        <v>0</v>
      </c>
      <c r="R5213" s="2" t="inlineStr"/>
    </row>
    <row r="5214" ht="15" customHeight="1">
      <c r="A5214" t="inlineStr">
        <is>
          <t>A 37090-2022</t>
        </is>
      </c>
      <c r="B5214" s="1" t="n">
        <v>44806</v>
      </c>
      <c r="C5214" s="1" t="n">
        <v>45182</v>
      </c>
      <c r="D5214" t="inlineStr">
        <is>
          <t>JÄMTLANDS LÄN</t>
        </is>
      </c>
      <c r="E5214" t="inlineStr">
        <is>
          <t>STRÖMSUND</t>
        </is>
      </c>
      <c r="F5214" t="inlineStr">
        <is>
          <t>Kommuner</t>
        </is>
      </c>
      <c r="G5214" t="n">
        <v>0.8</v>
      </c>
      <c r="H5214" t="n">
        <v>0</v>
      </c>
      <c r="I5214" t="n">
        <v>0</v>
      </c>
      <c r="J5214" t="n">
        <v>0</v>
      </c>
      <c r="K5214" t="n">
        <v>0</v>
      </c>
      <c r="L5214" t="n">
        <v>0</v>
      </c>
      <c r="M5214" t="n">
        <v>0</v>
      </c>
      <c r="N5214" t="n">
        <v>0</v>
      </c>
      <c r="O5214" t="n">
        <v>0</v>
      </c>
      <c r="P5214" t="n">
        <v>0</v>
      </c>
      <c r="Q5214" t="n">
        <v>0</v>
      </c>
      <c r="R5214" s="2" t="inlineStr"/>
    </row>
    <row r="5215" ht="15" customHeight="1">
      <c r="A5215" t="inlineStr">
        <is>
          <t>A 37104-2022</t>
        </is>
      </c>
      <c r="B5215" s="1" t="n">
        <v>44806</v>
      </c>
      <c r="C5215" s="1" t="n">
        <v>45182</v>
      </c>
      <c r="D5215" t="inlineStr">
        <is>
          <t>JÄMTLANDS LÄN</t>
        </is>
      </c>
      <c r="E5215" t="inlineStr">
        <is>
          <t>STRÖMSUND</t>
        </is>
      </c>
      <c r="F5215" t="inlineStr">
        <is>
          <t>Kommuner</t>
        </is>
      </c>
      <c r="G5215" t="n">
        <v>1.8</v>
      </c>
      <c r="H5215" t="n">
        <v>0</v>
      </c>
      <c r="I5215" t="n">
        <v>0</v>
      </c>
      <c r="J5215" t="n">
        <v>0</v>
      </c>
      <c r="K5215" t="n">
        <v>0</v>
      </c>
      <c r="L5215" t="n">
        <v>0</v>
      </c>
      <c r="M5215" t="n">
        <v>0</v>
      </c>
      <c r="N5215" t="n">
        <v>0</v>
      </c>
      <c r="O5215" t="n">
        <v>0</v>
      </c>
      <c r="P5215" t="n">
        <v>0</v>
      </c>
      <c r="Q5215" t="n">
        <v>0</v>
      </c>
      <c r="R5215" s="2" t="inlineStr"/>
    </row>
    <row r="5216" ht="15" customHeight="1">
      <c r="A5216" t="inlineStr">
        <is>
          <t>A 37232-2022</t>
        </is>
      </c>
      <c r="B5216" s="1" t="n">
        <v>44806</v>
      </c>
      <c r="C5216" s="1" t="n">
        <v>45182</v>
      </c>
      <c r="D5216" t="inlineStr">
        <is>
          <t>JÄMTLANDS LÄN</t>
        </is>
      </c>
      <c r="E5216" t="inlineStr">
        <is>
          <t>BRÄCKE</t>
        </is>
      </c>
      <c r="F5216" t="inlineStr">
        <is>
          <t>SCA</t>
        </is>
      </c>
      <c r="G5216" t="n">
        <v>2.6</v>
      </c>
      <c r="H5216" t="n">
        <v>0</v>
      </c>
      <c r="I5216" t="n">
        <v>0</v>
      </c>
      <c r="J5216" t="n">
        <v>0</v>
      </c>
      <c r="K5216" t="n">
        <v>0</v>
      </c>
      <c r="L5216" t="n">
        <v>0</v>
      </c>
      <c r="M5216" t="n">
        <v>0</v>
      </c>
      <c r="N5216" t="n">
        <v>0</v>
      </c>
      <c r="O5216" t="n">
        <v>0</v>
      </c>
      <c r="P5216" t="n">
        <v>0</v>
      </c>
      <c r="Q5216" t="n">
        <v>0</v>
      </c>
      <c r="R5216" s="2" t="inlineStr"/>
    </row>
    <row r="5217" ht="15" customHeight="1">
      <c r="A5217" t="inlineStr">
        <is>
          <t>A 37324-2022</t>
        </is>
      </c>
      <c r="B5217" s="1" t="n">
        <v>44806</v>
      </c>
      <c r="C5217" s="1" t="n">
        <v>45182</v>
      </c>
      <c r="D5217" t="inlineStr">
        <is>
          <t>JÄMTLANDS LÄN</t>
        </is>
      </c>
      <c r="E5217" t="inlineStr">
        <is>
          <t>RAGUNDA</t>
        </is>
      </c>
      <c r="G5217" t="n">
        <v>2.3</v>
      </c>
      <c r="H5217" t="n">
        <v>0</v>
      </c>
      <c r="I5217" t="n">
        <v>0</v>
      </c>
      <c r="J5217" t="n">
        <v>0</v>
      </c>
      <c r="K5217" t="n">
        <v>0</v>
      </c>
      <c r="L5217" t="n">
        <v>0</v>
      </c>
      <c r="M5217" t="n">
        <v>0</v>
      </c>
      <c r="N5217" t="n">
        <v>0</v>
      </c>
      <c r="O5217" t="n">
        <v>0</v>
      </c>
      <c r="P5217" t="n">
        <v>0</v>
      </c>
      <c r="Q5217" t="n">
        <v>0</v>
      </c>
      <c r="R5217" s="2" t="inlineStr"/>
    </row>
    <row r="5218" ht="15" customHeight="1">
      <c r="A5218" t="inlineStr">
        <is>
          <t>A 37333-2022</t>
        </is>
      </c>
      <c r="B5218" s="1" t="n">
        <v>44806</v>
      </c>
      <c r="C5218" s="1" t="n">
        <v>45182</v>
      </c>
      <c r="D5218" t="inlineStr">
        <is>
          <t>JÄMTLANDS LÄN</t>
        </is>
      </c>
      <c r="E5218" t="inlineStr">
        <is>
          <t>BERG</t>
        </is>
      </c>
      <c r="G5218" t="n">
        <v>5.5</v>
      </c>
      <c r="H5218" t="n">
        <v>0</v>
      </c>
      <c r="I5218" t="n">
        <v>0</v>
      </c>
      <c r="J5218" t="n">
        <v>0</v>
      </c>
      <c r="K5218" t="n">
        <v>0</v>
      </c>
      <c r="L5218" t="n">
        <v>0</v>
      </c>
      <c r="M5218" t="n">
        <v>0</v>
      </c>
      <c r="N5218" t="n">
        <v>0</v>
      </c>
      <c r="O5218" t="n">
        <v>0</v>
      </c>
      <c r="P5218" t="n">
        <v>0</v>
      </c>
      <c r="Q5218" t="n">
        <v>0</v>
      </c>
      <c r="R5218" s="2" t="inlineStr"/>
    </row>
    <row r="5219" ht="15" customHeight="1">
      <c r="A5219" t="inlineStr">
        <is>
          <t>A 37084-2022</t>
        </is>
      </c>
      <c r="B5219" s="1" t="n">
        <v>44806</v>
      </c>
      <c r="C5219" s="1" t="n">
        <v>45182</v>
      </c>
      <c r="D5219" t="inlineStr">
        <is>
          <t>JÄMTLANDS LÄN</t>
        </is>
      </c>
      <c r="E5219" t="inlineStr">
        <is>
          <t>STRÖMSUND</t>
        </is>
      </c>
      <c r="F5219" t="inlineStr">
        <is>
          <t>Kommuner</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37100-2022</t>
        </is>
      </c>
      <c r="B5220" s="1" t="n">
        <v>44806</v>
      </c>
      <c r="C5220" s="1" t="n">
        <v>45182</v>
      </c>
      <c r="D5220" t="inlineStr">
        <is>
          <t>JÄMTLANDS LÄN</t>
        </is>
      </c>
      <c r="E5220" t="inlineStr">
        <is>
          <t>STRÖMSUND</t>
        </is>
      </c>
      <c r="F5220" t="inlineStr">
        <is>
          <t>Kommuner</t>
        </is>
      </c>
      <c r="G5220" t="n">
        <v>1.8</v>
      </c>
      <c r="H5220" t="n">
        <v>0</v>
      </c>
      <c r="I5220" t="n">
        <v>0</v>
      </c>
      <c r="J5220" t="n">
        <v>0</v>
      </c>
      <c r="K5220" t="n">
        <v>0</v>
      </c>
      <c r="L5220" t="n">
        <v>0</v>
      </c>
      <c r="M5220" t="n">
        <v>0</v>
      </c>
      <c r="N5220" t="n">
        <v>0</v>
      </c>
      <c r="O5220" t="n">
        <v>0</v>
      </c>
      <c r="P5220" t="n">
        <v>0</v>
      </c>
      <c r="Q5220" t="n">
        <v>0</v>
      </c>
      <c r="R5220" s="2" t="inlineStr"/>
    </row>
    <row r="5221" ht="15" customHeight="1">
      <c r="A5221" t="inlineStr">
        <is>
          <t>A 37097-2022</t>
        </is>
      </c>
      <c r="B5221" s="1" t="n">
        <v>44806</v>
      </c>
      <c r="C5221" s="1" t="n">
        <v>45182</v>
      </c>
      <c r="D5221" t="inlineStr">
        <is>
          <t>JÄMTLANDS LÄN</t>
        </is>
      </c>
      <c r="E5221" t="inlineStr">
        <is>
          <t>STRÖMSUND</t>
        </is>
      </c>
      <c r="F5221" t="inlineStr">
        <is>
          <t>Kommuner</t>
        </is>
      </c>
      <c r="G5221" t="n">
        <v>3.1</v>
      </c>
      <c r="H5221" t="n">
        <v>0</v>
      </c>
      <c r="I5221" t="n">
        <v>0</v>
      </c>
      <c r="J5221" t="n">
        <v>0</v>
      </c>
      <c r="K5221" t="n">
        <v>0</v>
      </c>
      <c r="L5221" t="n">
        <v>0</v>
      </c>
      <c r="M5221" t="n">
        <v>0</v>
      </c>
      <c r="N5221" t="n">
        <v>0</v>
      </c>
      <c r="O5221" t="n">
        <v>0</v>
      </c>
      <c r="P5221" t="n">
        <v>0</v>
      </c>
      <c r="Q5221" t="n">
        <v>0</v>
      </c>
      <c r="R5221" s="2" t="inlineStr"/>
    </row>
    <row r="5222" ht="15" customHeight="1">
      <c r="A5222" t="inlineStr">
        <is>
          <t>A 37102-2022</t>
        </is>
      </c>
      <c r="B5222" s="1" t="n">
        <v>44806</v>
      </c>
      <c r="C5222" s="1" t="n">
        <v>45182</v>
      </c>
      <c r="D5222" t="inlineStr">
        <is>
          <t>JÄMTLANDS LÄN</t>
        </is>
      </c>
      <c r="E5222" t="inlineStr">
        <is>
          <t>STRÖMSUND</t>
        </is>
      </c>
      <c r="F5222" t="inlineStr">
        <is>
          <t>Kommuner</t>
        </is>
      </c>
      <c r="G5222" t="n">
        <v>0.3</v>
      </c>
      <c r="H5222" t="n">
        <v>0</v>
      </c>
      <c r="I5222" t="n">
        <v>0</v>
      </c>
      <c r="J5222" t="n">
        <v>0</v>
      </c>
      <c r="K5222" t="n">
        <v>0</v>
      </c>
      <c r="L5222" t="n">
        <v>0</v>
      </c>
      <c r="M5222" t="n">
        <v>0</v>
      </c>
      <c r="N5222" t="n">
        <v>0</v>
      </c>
      <c r="O5222" t="n">
        <v>0</v>
      </c>
      <c r="P5222" t="n">
        <v>0</v>
      </c>
      <c r="Q5222" t="n">
        <v>0</v>
      </c>
      <c r="R5222" s="2" t="inlineStr"/>
    </row>
    <row r="5223" ht="15" customHeight="1">
      <c r="A5223" t="inlineStr">
        <is>
          <t>A 37231-2022</t>
        </is>
      </c>
      <c r="B5223" s="1" t="n">
        <v>44806</v>
      </c>
      <c r="C5223" s="1" t="n">
        <v>45182</v>
      </c>
      <c r="D5223" t="inlineStr">
        <is>
          <t>JÄMTLANDS LÄN</t>
        </is>
      </c>
      <c r="E5223" t="inlineStr">
        <is>
          <t>STRÖMSUND</t>
        </is>
      </c>
      <c r="F5223" t="inlineStr">
        <is>
          <t>SCA</t>
        </is>
      </c>
      <c r="G5223" t="n">
        <v>0.4</v>
      </c>
      <c r="H5223" t="n">
        <v>0</v>
      </c>
      <c r="I5223" t="n">
        <v>0</v>
      </c>
      <c r="J5223" t="n">
        <v>0</v>
      </c>
      <c r="K5223" t="n">
        <v>0</v>
      </c>
      <c r="L5223" t="n">
        <v>0</v>
      </c>
      <c r="M5223" t="n">
        <v>0</v>
      </c>
      <c r="N5223" t="n">
        <v>0</v>
      </c>
      <c r="O5223" t="n">
        <v>0</v>
      </c>
      <c r="P5223" t="n">
        <v>0</v>
      </c>
      <c r="Q5223" t="n">
        <v>0</v>
      </c>
      <c r="R5223" s="2" t="inlineStr"/>
    </row>
    <row r="5224" ht="15" customHeight="1">
      <c r="A5224" t="inlineStr">
        <is>
          <t>A 37078-2022</t>
        </is>
      </c>
      <c r="B5224" s="1" t="n">
        <v>44806</v>
      </c>
      <c r="C5224" s="1" t="n">
        <v>45182</v>
      </c>
      <c r="D5224" t="inlineStr">
        <is>
          <t>JÄMTLANDS LÄN</t>
        </is>
      </c>
      <c r="E5224" t="inlineStr">
        <is>
          <t>STRÖMSUND</t>
        </is>
      </c>
      <c r="F5224" t="inlineStr">
        <is>
          <t>Kommuner</t>
        </is>
      </c>
      <c r="G5224" t="n">
        <v>2.7</v>
      </c>
      <c r="H5224" t="n">
        <v>0</v>
      </c>
      <c r="I5224" t="n">
        <v>0</v>
      </c>
      <c r="J5224" t="n">
        <v>0</v>
      </c>
      <c r="K5224" t="n">
        <v>0</v>
      </c>
      <c r="L5224" t="n">
        <v>0</v>
      </c>
      <c r="M5224" t="n">
        <v>0</v>
      </c>
      <c r="N5224" t="n">
        <v>0</v>
      </c>
      <c r="O5224" t="n">
        <v>0</v>
      </c>
      <c r="P5224" t="n">
        <v>0</v>
      </c>
      <c r="Q5224" t="n">
        <v>0</v>
      </c>
      <c r="R5224" s="2" t="inlineStr"/>
    </row>
    <row r="5225" ht="15" customHeight="1">
      <c r="A5225" t="inlineStr">
        <is>
          <t>A 37093-2022</t>
        </is>
      </c>
      <c r="B5225" s="1" t="n">
        <v>44806</v>
      </c>
      <c r="C5225" s="1" t="n">
        <v>45182</v>
      </c>
      <c r="D5225" t="inlineStr">
        <is>
          <t>JÄMTLANDS LÄN</t>
        </is>
      </c>
      <c r="E5225" t="inlineStr">
        <is>
          <t>STRÖMSUND</t>
        </is>
      </c>
      <c r="F5225" t="inlineStr">
        <is>
          <t>Kommuner</t>
        </is>
      </c>
      <c r="G5225" t="n">
        <v>0.3</v>
      </c>
      <c r="H5225" t="n">
        <v>0</v>
      </c>
      <c r="I5225" t="n">
        <v>0</v>
      </c>
      <c r="J5225" t="n">
        <v>0</v>
      </c>
      <c r="K5225" t="n">
        <v>0</v>
      </c>
      <c r="L5225" t="n">
        <v>0</v>
      </c>
      <c r="M5225" t="n">
        <v>0</v>
      </c>
      <c r="N5225" t="n">
        <v>0</v>
      </c>
      <c r="O5225" t="n">
        <v>0</v>
      </c>
      <c r="P5225" t="n">
        <v>0</v>
      </c>
      <c r="Q5225" t="n">
        <v>0</v>
      </c>
      <c r="R5225" s="2" t="inlineStr"/>
    </row>
    <row r="5226" ht="15" customHeight="1">
      <c r="A5226" t="inlineStr">
        <is>
          <t>A 37107-2022</t>
        </is>
      </c>
      <c r="B5226" s="1" t="n">
        <v>44806</v>
      </c>
      <c r="C5226" s="1" t="n">
        <v>45182</v>
      </c>
      <c r="D5226" t="inlineStr">
        <is>
          <t>JÄMTLANDS LÄN</t>
        </is>
      </c>
      <c r="E5226" t="inlineStr">
        <is>
          <t>STRÖMSUND</t>
        </is>
      </c>
      <c r="F5226" t="inlineStr">
        <is>
          <t>Kommuner</t>
        </is>
      </c>
      <c r="G5226" t="n">
        <v>1</v>
      </c>
      <c r="H5226" t="n">
        <v>0</v>
      </c>
      <c r="I5226" t="n">
        <v>0</v>
      </c>
      <c r="J5226" t="n">
        <v>0</v>
      </c>
      <c r="K5226" t="n">
        <v>0</v>
      </c>
      <c r="L5226" t="n">
        <v>0</v>
      </c>
      <c r="M5226" t="n">
        <v>0</v>
      </c>
      <c r="N5226" t="n">
        <v>0</v>
      </c>
      <c r="O5226" t="n">
        <v>0</v>
      </c>
      <c r="P5226" t="n">
        <v>0</v>
      </c>
      <c r="Q5226" t="n">
        <v>0</v>
      </c>
      <c r="R5226" s="2" t="inlineStr"/>
    </row>
    <row r="5227" ht="15" customHeight="1">
      <c r="A5227" t="inlineStr">
        <is>
          <t>A 37650-2022</t>
        </is>
      </c>
      <c r="B5227" s="1" t="n">
        <v>44810</v>
      </c>
      <c r="C5227" s="1" t="n">
        <v>45182</v>
      </c>
      <c r="D5227" t="inlineStr">
        <is>
          <t>JÄMTLANDS LÄN</t>
        </is>
      </c>
      <c r="E5227" t="inlineStr">
        <is>
          <t>BRÄCKE</t>
        </is>
      </c>
      <c r="G5227" t="n">
        <v>2.3</v>
      </c>
      <c r="H5227" t="n">
        <v>0</v>
      </c>
      <c r="I5227" t="n">
        <v>0</v>
      </c>
      <c r="J5227" t="n">
        <v>0</v>
      </c>
      <c r="K5227" t="n">
        <v>0</v>
      </c>
      <c r="L5227" t="n">
        <v>0</v>
      </c>
      <c r="M5227" t="n">
        <v>0</v>
      </c>
      <c r="N5227" t="n">
        <v>0</v>
      </c>
      <c r="O5227" t="n">
        <v>0</v>
      </c>
      <c r="P5227" t="n">
        <v>0</v>
      </c>
      <c r="Q5227" t="n">
        <v>0</v>
      </c>
      <c r="R5227" s="2" t="inlineStr"/>
    </row>
    <row r="5228" ht="15" customHeight="1">
      <c r="A5228" t="inlineStr">
        <is>
          <t>A 37645-2022</t>
        </is>
      </c>
      <c r="B5228" s="1" t="n">
        <v>44810</v>
      </c>
      <c r="C5228" s="1" t="n">
        <v>45182</v>
      </c>
      <c r="D5228" t="inlineStr">
        <is>
          <t>JÄMTLANDS LÄN</t>
        </is>
      </c>
      <c r="E5228" t="inlineStr">
        <is>
          <t>ÅRE</t>
        </is>
      </c>
      <c r="G5228" t="n">
        <v>5.3</v>
      </c>
      <c r="H5228" t="n">
        <v>0</v>
      </c>
      <c r="I5228" t="n">
        <v>0</v>
      </c>
      <c r="J5228" t="n">
        <v>0</v>
      </c>
      <c r="K5228" t="n">
        <v>0</v>
      </c>
      <c r="L5228" t="n">
        <v>0</v>
      </c>
      <c r="M5228" t="n">
        <v>0</v>
      </c>
      <c r="N5228" t="n">
        <v>0</v>
      </c>
      <c r="O5228" t="n">
        <v>0</v>
      </c>
      <c r="P5228" t="n">
        <v>0</v>
      </c>
      <c r="Q5228" t="n">
        <v>0</v>
      </c>
      <c r="R5228" s="2" t="inlineStr"/>
    </row>
    <row r="5229" ht="15" customHeight="1">
      <c r="A5229" t="inlineStr">
        <is>
          <t>A 37666-2022</t>
        </is>
      </c>
      <c r="B5229" s="1" t="n">
        <v>44810</v>
      </c>
      <c r="C5229" s="1" t="n">
        <v>45182</v>
      </c>
      <c r="D5229" t="inlineStr">
        <is>
          <t>JÄMTLANDS LÄN</t>
        </is>
      </c>
      <c r="E5229" t="inlineStr">
        <is>
          <t>HÄRJEDALEN</t>
        </is>
      </c>
      <c r="F5229" t="inlineStr">
        <is>
          <t>Holmen skog AB</t>
        </is>
      </c>
      <c r="G5229" t="n">
        <v>7.2</v>
      </c>
      <c r="H5229" t="n">
        <v>0</v>
      </c>
      <c r="I5229" t="n">
        <v>0</v>
      </c>
      <c r="J5229" t="n">
        <v>0</v>
      </c>
      <c r="K5229" t="n">
        <v>0</v>
      </c>
      <c r="L5229" t="n">
        <v>0</v>
      </c>
      <c r="M5229" t="n">
        <v>0</v>
      </c>
      <c r="N5229" t="n">
        <v>0</v>
      </c>
      <c r="O5229" t="n">
        <v>0</v>
      </c>
      <c r="P5229" t="n">
        <v>0</v>
      </c>
      <c r="Q5229" t="n">
        <v>0</v>
      </c>
      <c r="R5229" s="2" t="inlineStr"/>
    </row>
    <row r="5230" ht="15" customHeight="1">
      <c r="A5230" t="inlineStr">
        <is>
          <t>A 37678-2022</t>
        </is>
      </c>
      <c r="B5230" s="1" t="n">
        <v>44810</v>
      </c>
      <c r="C5230" s="1" t="n">
        <v>45182</v>
      </c>
      <c r="D5230" t="inlineStr">
        <is>
          <t>JÄMTLANDS LÄN</t>
        </is>
      </c>
      <c r="E5230" t="inlineStr">
        <is>
          <t>HÄRJEDALEN</t>
        </is>
      </c>
      <c r="F5230" t="inlineStr">
        <is>
          <t>Bergvik skog väst AB</t>
        </is>
      </c>
      <c r="G5230" t="n">
        <v>4.7</v>
      </c>
      <c r="H5230" t="n">
        <v>0</v>
      </c>
      <c r="I5230" t="n">
        <v>0</v>
      </c>
      <c r="J5230" t="n">
        <v>0</v>
      </c>
      <c r="K5230" t="n">
        <v>0</v>
      </c>
      <c r="L5230" t="n">
        <v>0</v>
      </c>
      <c r="M5230" t="n">
        <v>0</v>
      </c>
      <c r="N5230" t="n">
        <v>0</v>
      </c>
      <c r="O5230" t="n">
        <v>0</v>
      </c>
      <c r="P5230" t="n">
        <v>0</v>
      </c>
      <c r="Q5230" t="n">
        <v>0</v>
      </c>
      <c r="R5230" s="2" t="inlineStr"/>
    </row>
    <row r="5231" ht="15" customHeight="1">
      <c r="A5231" t="inlineStr">
        <is>
          <t>A 37690-2022</t>
        </is>
      </c>
      <c r="B5231" s="1" t="n">
        <v>44810</v>
      </c>
      <c r="C5231" s="1" t="n">
        <v>45182</v>
      </c>
      <c r="D5231" t="inlineStr">
        <is>
          <t>JÄMTLANDS LÄN</t>
        </is>
      </c>
      <c r="E5231" t="inlineStr">
        <is>
          <t>HÄRJEDALEN</t>
        </is>
      </c>
      <c r="F5231" t="inlineStr">
        <is>
          <t>Holmen skog AB</t>
        </is>
      </c>
      <c r="G5231" t="n">
        <v>7.8</v>
      </c>
      <c r="H5231" t="n">
        <v>0</v>
      </c>
      <c r="I5231" t="n">
        <v>0</v>
      </c>
      <c r="J5231" t="n">
        <v>0</v>
      </c>
      <c r="K5231" t="n">
        <v>0</v>
      </c>
      <c r="L5231" t="n">
        <v>0</v>
      </c>
      <c r="M5231" t="n">
        <v>0</v>
      </c>
      <c r="N5231" t="n">
        <v>0</v>
      </c>
      <c r="O5231" t="n">
        <v>0</v>
      </c>
      <c r="P5231" t="n">
        <v>0</v>
      </c>
      <c r="Q5231" t="n">
        <v>0</v>
      </c>
      <c r="R5231" s="2" t="inlineStr"/>
    </row>
    <row r="5232" ht="15" customHeight="1">
      <c r="A5232" t="inlineStr">
        <is>
          <t>A 38017-2022</t>
        </is>
      </c>
      <c r="B5232" s="1" t="n">
        <v>44811</v>
      </c>
      <c r="C5232" s="1" t="n">
        <v>45182</v>
      </c>
      <c r="D5232" t="inlineStr">
        <is>
          <t>JÄMTLANDS LÄN</t>
        </is>
      </c>
      <c r="E5232" t="inlineStr">
        <is>
          <t>STRÖMSUND</t>
        </is>
      </c>
      <c r="G5232" t="n">
        <v>6.8</v>
      </c>
      <c r="H5232" t="n">
        <v>0</v>
      </c>
      <c r="I5232" t="n">
        <v>0</v>
      </c>
      <c r="J5232" t="n">
        <v>0</v>
      </c>
      <c r="K5232" t="n">
        <v>0</v>
      </c>
      <c r="L5232" t="n">
        <v>0</v>
      </c>
      <c r="M5232" t="n">
        <v>0</v>
      </c>
      <c r="N5232" t="n">
        <v>0</v>
      </c>
      <c r="O5232" t="n">
        <v>0</v>
      </c>
      <c r="P5232" t="n">
        <v>0</v>
      </c>
      <c r="Q5232" t="n">
        <v>0</v>
      </c>
      <c r="R5232" s="2" t="inlineStr"/>
    </row>
    <row r="5233" ht="15" customHeight="1">
      <c r="A5233" t="inlineStr">
        <is>
          <t>A 38265-2022</t>
        </is>
      </c>
      <c r="B5233" s="1" t="n">
        <v>44812</v>
      </c>
      <c r="C5233" s="1" t="n">
        <v>45182</v>
      </c>
      <c r="D5233" t="inlineStr">
        <is>
          <t>JÄMTLANDS LÄN</t>
        </is>
      </c>
      <c r="E5233" t="inlineStr">
        <is>
          <t>ÅRE</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38415-2022</t>
        </is>
      </c>
      <c r="B5234" s="1" t="n">
        <v>44812</v>
      </c>
      <c r="C5234" s="1" t="n">
        <v>45182</v>
      </c>
      <c r="D5234" t="inlineStr">
        <is>
          <t>JÄMTLANDS LÄN</t>
        </is>
      </c>
      <c r="E5234" t="inlineStr">
        <is>
          <t>STRÖMSUND</t>
        </is>
      </c>
      <c r="F5234" t="inlineStr">
        <is>
          <t>SCA</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38426-2022</t>
        </is>
      </c>
      <c r="B5235" s="1" t="n">
        <v>44812</v>
      </c>
      <c r="C5235" s="1" t="n">
        <v>45182</v>
      </c>
      <c r="D5235" t="inlineStr">
        <is>
          <t>JÄMTLANDS LÄN</t>
        </is>
      </c>
      <c r="E5235" t="inlineStr">
        <is>
          <t>RAGUNDA</t>
        </is>
      </c>
      <c r="F5235" t="inlineStr">
        <is>
          <t>SCA</t>
        </is>
      </c>
      <c r="G5235" t="n">
        <v>11.3</v>
      </c>
      <c r="H5235" t="n">
        <v>0</v>
      </c>
      <c r="I5235" t="n">
        <v>0</v>
      </c>
      <c r="J5235" t="n">
        <v>0</v>
      </c>
      <c r="K5235" t="n">
        <v>0</v>
      </c>
      <c r="L5235" t="n">
        <v>0</v>
      </c>
      <c r="M5235" t="n">
        <v>0</v>
      </c>
      <c r="N5235" t="n">
        <v>0</v>
      </c>
      <c r="O5235" t="n">
        <v>0</v>
      </c>
      <c r="P5235" t="n">
        <v>0</v>
      </c>
      <c r="Q5235" t="n">
        <v>0</v>
      </c>
      <c r="R5235" s="2" t="inlineStr"/>
    </row>
    <row r="5236" ht="15" customHeight="1">
      <c r="A5236" t="inlineStr">
        <is>
          <t>A 38414-2022</t>
        </is>
      </c>
      <c r="B5236" s="1" t="n">
        <v>44812</v>
      </c>
      <c r="C5236" s="1" t="n">
        <v>45182</v>
      </c>
      <c r="D5236" t="inlineStr">
        <is>
          <t>JÄMTLANDS LÄN</t>
        </is>
      </c>
      <c r="E5236" t="inlineStr">
        <is>
          <t>STRÖMSUND</t>
        </is>
      </c>
      <c r="F5236" t="inlineStr">
        <is>
          <t>SCA</t>
        </is>
      </c>
      <c r="G5236" t="n">
        <v>1.5</v>
      </c>
      <c r="H5236" t="n">
        <v>0</v>
      </c>
      <c r="I5236" t="n">
        <v>0</v>
      </c>
      <c r="J5236" t="n">
        <v>0</v>
      </c>
      <c r="K5236" t="n">
        <v>0</v>
      </c>
      <c r="L5236" t="n">
        <v>0</v>
      </c>
      <c r="M5236" t="n">
        <v>0</v>
      </c>
      <c r="N5236" t="n">
        <v>0</v>
      </c>
      <c r="O5236" t="n">
        <v>0</v>
      </c>
      <c r="P5236" t="n">
        <v>0</v>
      </c>
      <c r="Q5236" t="n">
        <v>0</v>
      </c>
      <c r="R5236" s="2" t="inlineStr"/>
    </row>
    <row r="5237" ht="15" customHeight="1">
      <c r="A5237" t="inlineStr">
        <is>
          <t>A 38413-2022</t>
        </is>
      </c>
      <c r="B5237" s="1" t="n">
        <v>44812</v>
      </c>
      <c r="C5237" s="1" t="n">
        <v>45182</v>
      </c>
      <c r="D5237" t="inlineStr">
        <is>
          <t>JÄMTLANDS LÄN</t>
        </is>
      </c>
      <c r="E5237" t="inlineStr">
        <is>
          <t>STRÖMSUND</t>
        </is>
      </c>
      <c r="F5237" t="inlineStr">
        <is>
          <t>SCA</t>
        </is>
      </c>
      <c r="G5237" t="n">
        <v>5.1</v>
      </c>
      <c r="H5237" t="n">
        <v>0</v>
      </c>
      <c r="I5237" t="n">
        <v>0</v>
      </c>
      <c r="J5237" t="n">
        <v>0</v>
      </c>
      <c r="K5237" t="n">
        <v>0</v>
      </c>
      <c r="L5237" t="n">
        <v>0</v>
      </c>
      <c r="M5237" t="n">
        <v>0</v>
      </c>
      <c r="N5237" t="n">
        <v>0</v>
      </c>
      <c r="O5237" t="n">
        <v>0</v>
      </c>
      <c r="P5237" t="n">
        <v>0</v>
      </c>
      <c r="Q5237" t="n">
        <v>0</v>
      </c>
      <c r="R5237" s="2" t="inlineStr"/>
    </row>
    <row r="5238" ht="15" customHeight="1">
      <c r="A5238" t="inlineStr">
        <is>
          <t>A 38683-2022</t>
        </is>
      </c>
      <c r="B5238" s="1" t="n">
        <v>44813</v>
      </c>
      <c r="C5238" s="1" t="n">
        <v>45182</v>
      </c>
      <c r="D5238" t="inlineStr">
        <is>
          <t>JÄMTLANDS LÄN</t>
        </is>
      </c>
      <c r="E5238" t="inlineStr">
        <is>
          <t>RAGUNDA</t>
        </is>
      </c>
      <c r="F5238" t="inlineStr">
        <is>
          <t>SCA</t>
        </is>
      </c>
      <c r="G5238" t="n">
        <v>4.5</v>
      </c>
      <c r="H5238" t="n">
        <v>0</v>
      </c>
      <c r="I5238" t="n">
        <v>0</v>
      </c>
      <c r="J5238" t="n">
        <v>0</v>
      </c>
      <c r="K5238" t="n">
        <v>0</v>
      </c>
      <c r="L5238" t="n">
        <v>0</v>
      </c>
      <c r="M5238" t="n">
        <v>0</v>
      </c>
      <c r="N5238" t="n">
        <v>0</v>
      </c>
      <c r="O5238" t="n">
        <v>0</v>
      </c>
      <c r="P5238" t="n">
        <v>0</v>
      </c>
      <c r="Q5238" t="n">
        <v>0</v>
      </c>
      <c r="R5238" s="2" t="inlineStr"/>
    </row>
    <row r="5239" ht="15" customHeight="1">
      <c r="A5239" t="inlineStr">
        <is>
          <t>A 38664-2022</t>
        </is>
      </c>
      <c r="B5239" s="1" t="n">
        <v>44813</v>
      </c>
      <c r="C5239" s="1" t="n">
        <v>45182</v>
      </c>
      <c r="D5239" t="inlineStr">
        <is>
          <t>JÄMTLANDS LÄN</t>
        </is>
      </c>
      <c r="E5239" t="inlineStr">
        <is>
          <t>RAGUNDA</t>
        </is>
      </c>
      <c r="F5239" t="inlineStr">
        <is>
          <t>SCA</t>
        </is>
      </c>
      <c r="G5239" t="n">
        <v>4</v>
      </c>
      <c r="H5239" t="n">
        <v>0</v>
      </c>
      <c r="I5239" t="n">
        <v>0</v>
      </c>
      <c r="J5239" t="n">
        <v>0</v>
      </c>
      <c r="K5239" t="n">
        <v>0</v>
      </c>
      <c r="L5239" t="n">
        <v>0</v>
      </c>
      <c r="M5239" t="n">
        <v>0</v>
      </c>
      <c r="N5239" t="n">
        <v>0</v>
      </c>
      <c r="O5239" t="n">
        <v>0</v>
      </c>
      <c r="P5239" t="n">
        <v>0</v>
      </c>
      <c r="Q5239" t="n">
        <v>0</v>
      </c>
      <c r="R5239" s="2" t="inlineStr"/>
    </row>
    <row r="5240" ht="15" customHeight="1">
      <c r="A5240" t="inlineStr">
        <is>
          <t>A 38661-2022</t>
        </is>
      </c>
      <c r="B5240" s="1" t="n">
        <v>44813</v>
      </c>
      <c r="C5240" s="1" t="n">
        <v>45182</v>
      </c>
      <c r="D5240" t="inlineStr">
        <is>
          <t>JÄMTLANDS LÄN</t>
        </is>
      </c>
      <c r="E5240" t="inlineStr">
        <is>
          <t>STRÖMSUND</t>
        </is>
      </c>
      <c r="G5240" t="n">
        <v>3.1</v>
      </c>
      <c r="H5240" t="n">
        <v>0</v>
      </c>
      <c r="I5240" t="n">
        <v>0</v>
      </c>
      <c r="J5240" t="n">
        <v>0</v>
      </c>
      <c r="K5240" t="n">
        <v>0</v>
      </c>
      <c r="L5240" t="n">
        <v>0</v>
      </c>
      <c r="M5240" t="n">
        <v>0</v>
      </c>
      <c r="N5240" t="n">
        <v>0</v>
      </c>
      <c r="O5240" t="n">
        <v>0</v>
      </c>
      <c r="P5240" t="n">
        <v>0</v>
      </c>
      <c r="Q5240" t="n">
        <v>0</v>
      </c>
      <c r="R5240" s="2" t="inlineStr"/>
    </row>
    <row r="5241" ht="15" customHeight="1">
      <c r="A5241" t="inlineStr">
        <is>
          <t>A 38733-2022</t>
        </is>
      </c>
      <c r="B5241" s="1" t="n">
        <v>44815</v>
      </c>
      <c r="C5241" s="1" t="n">
        <v>45182</v>
      </c>
      <c r="D5241" t="inlineStr">
        <is>
          <t>JÄMTLANDS LÄN</t>
        </is>
      </c>
      <c r="E5241" t="inlineStr">
        <is>
          <t>RAGUNDA</t>
        </is>
      </c>
      <c r="F5241" t="inlineStr">
        <is>
          <t>SCA</t>
        </is>
      </c>
      <c r="G5241" t="n">
        <v>1.4</v>
      </c>
      <c r="H5241" t="n">
        <v>0</v>
      </c>
      <c r="I5241" t="n">
        <v>0</v>
      </c>
      <c r="J5241" t="n">
        <v>0</v>
      </c>
      <c r="K5241" t="n">
        <v>0</v>
      </c>
      <c r="L5241" t="n">
        <v>0</v>
      </c>
      <c r="M5241" t="n">
        <v>0</v>
      </c>
      <c r="N5241" t="n">
        <v>0</v>
      </c>
      <c r="O5241" t="n">
        <v>0</v>
      </c>
      <c r="P5241" t="n">
        <v>0</v>
      </c>
      <c r="Q5241" t="n">
        <v>0</v>
      </c>
      <c r="R5241" s="2" t="inlineStr"/>
    </row>
    <row r="5242" ht="15" customHeight="1">
      <c r="A5242" t="inlineStr">
        <is>
          <t>A 39011-2022</t>
        </is>
      </c>
      <c r="B5242" s="1" t="n">
        <v>44816</v>
      </c>
      <c r="C5242" s="1" t="n">
        <v>45182</v>
      </c>
      <c r="D5242" t="inlineStr">
        <is>
          <t>JÄMTLANDS LÄN</t>
        </is>
      </c>
      <c r="E5242" t="inlineStr">
        <is>
          <t>RAGUNDA</t>
        </is>
      </c>
      <c r="F5242" t="inlineStr">
        <is>
          <t>SCA</t>
        </is>
      </c>
      <c r="G5242" t="n">
        <v>1.2</v>
      </c>
      <c r="H5242" t="n">
        <v>0</v>
      </c>
      <c r="I5242" t="n">
        <v>0</v>
      </c>
      <c r="J5242" t="n">
        <v>0</v>
      </c>
      <c r="K5242" t="n">
        <v>0</v>
      </c>
      <c r="L5242" t="n">
        <v>0</v>
      </c>
      <c r="M5242" t="n">
        <v>0</v>
      </c>
      <c r="N5242" t="n">
        <v>0</v>
      </c>
      <c r="O5242" t="n">
        <v>0</v>
      </c>
      <c r="P5242" t="n">
        <v>0</v>
      </c>
      <c r="Q5242" t="n">
        <v>0</v>
      </c>
      <c r="R5242" s="2" t="inlineStr"/>
    </row>
    <row r="5243" ht="15" customHeight="1">
      <c r="A5243" t="inlineStr">
        <is>
          <t>A 39004-2022</t>
        </is>
      </c>
      <c r="B5243" s="1" t="n">
        <v>44816</v>
      </c>
      <c r="C5243" s="1" t="n">
        <v>45182</v>
      </c>
      <c r="D5243" t="inlineStr">
        <is>
          <t>JÄMTLANDS LÄN</t>
        </is>
      </c>
      <c r="E5243" t="inlineStr">
        <is>
          <t>RAGUNDA</t>
        </is>
      </c>
      <c r="F5243" t="inlineStr">
        <is>
          <t>SCA</t>
        </is>
      </c>
      <c r="G5243" t="n">
        <v>2.8</v>
      </c>
      <c r="H5243" t="n">
        <v>0</v>
      </c>
      <c r="I5243" t="n">
        <v>0</v>
      </c>
      <c r="J5243" t="n">
        <v>0</v>
      </c>
      <c r="K5243" t="n">
        <v>0</v>
      </c>
      <c r="L5243" t="n">
        <v>0</v>
      </c>
      <c r="M5243" t="n">
        <v>0</v>
      </c>
      <c r="N5243" t="n">
        <v>0</v>
      </c>
      <c r="O5243" t="n">
        <v>0</v>
      </c>
      <c r="P5243" t="n">
        <v>0</v>
      </c>
      <c r="Q5243" t="n">
        <v>0</v>
      </c>
      <c r="R5243" s="2" t="inlineStr"/>
    </row>
    <row r="5244" ht="15" customHeight="1">
      <c r="A5244" t="inlineStr">
        <is>
          <t>A 39010-2022</t>
        </is>
      </c>
      <c r="B5244" s="1" t="n">
        <v>44816</v>
      </c>
      <c r="C5244" s="1" t="n">
        <v>45182</v>
      </c>
      <c r="D5244" t="inlineStr">
        <is>
          <t>JÄMTLANDS LÄN</t>
        </is>
      </c>
      <c r="E5244" t="inlineStr">
        <is>
          <t>STRÖMSUND</t>
        </is>
      </c>
      <c r="F5244" t="inlineStr">
        <is>
          <t>SCA</t>
        </is>
      </c>
      <c r="G5244" t="n">
        <v>11.2</v>
      </c>
      <c r="H5244" t="n">
        <v>0</v>
      </c>
      <c r="I5244" t="n">
        <v>0</v>
      </c>
      <c r="J5244" t="n">
        <v>0</v>
      </c>
      <c r="K5244" t="n">
        <v>0</v>
      </c>
      <c r="L5244" t="n">
        <v>0</v>
      </c>
      <c r="M5244" t="n">
        <v>0</v>
      </c>
      <c r="N5244" t="n">
        <v>0</v>
      </c>
      <c r="O5244" t="n">
        <v>0</v>
      </c>
      <c r="P5244" t="n">
        <v>0</v>
      </c>
      <c r="Q5244" t="n">
        <v>0</v>
      </c>
      <c r="R5244" s="2" t="inlineStr"/>
    </row>
    <row r="5245" ht="15" customHeight="1">
      <c r="A5245" t="inlineStr">
        <is>
          <t>A 39388-2022</t>
        </is>
      </c>
      <c r="B5245" s="1" t="n">
        <v>44817</v>
      </c>
      <c r="C5245" s="1" t="n">
        <v>45182</v>
      </c>
      <c r="D5245" t="inlineStr">
        <is>
          <t>JÄMTLANDS LÄN</t>
        </is>
      </c>
      <c r="E5245" t="inlineStr">
        <is>
          <t>STRÖMSUND</t>
        </is>
      </c>
      <c r="F5245" t="inlineStr">
        <is>
          <t>SCA</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39408-2022</t>
        </is>
      </c>
      <c r="B5246" s="1" t="n">
        <v>44817</v>
      </c>
      <c r="C5246" s="1" t="n">
        <v>45182</v>
      </c>
      <c r="D5246" t="inlineStr">
        <is>
          <t>JÄMTLANDS LÄN</t>
        </is>
      </c>
      <c r="E5246" t="inlineStr">
        <is>
          <t>RAGUNDA</t>
        </is>
      </c>
      <c r="F5246" t="inlineStr">
        <is>
          <t>SCA</t>
        </is>
      </c>
      <c r="G5246" t="n">
        <v>9.800000000000001</v>
      </c>
      <c r="H5246" t="n">
        <v>0</v>
      </c>
      <c r="I5246" t="n">
        <v>0</v>
      </c>
      <c r="J5246" t="n">
        <v>0</v>
      </c>
      <c r="K5246" t="n">
        <v>0</v>
      </c>
      <c r="L5246" t="n">
        <v>0</v>
      </c>
      <c r="M5246" t="n">
        <v>0</v>
      </c>
      <c r="N5246" t="n">
        <v>0</v>
      </c>
      <c r="O5246" t="n">
        <v>0</v>
      </c>
      <c r="P5246" t="n">
        <v>0</v>
      </c>
      <c r="Q5246" t="n">
        <v>0</v>
      </c>
      <c r="R5246" s="2" t="inlineStr"/>
    </row>
    <row r="5247" ht="15" customHeight="1">
      <c r="A5247" t="inlineStr">
        <is>
          <t>A 39828-2022</t>
        </is>
      </c>
      <c r="B5247" s="1" t="n">
        <v>44817</v>
      </c>
      <c r="C5247" s="1" t="n">
        <v>45182</v>
      </c>
      <c r="D5247" t="inlineStr">
        <is>
          <t>JÄMTLANDS LÄN</t>
        </is>
      </c>
      <c r="E5247" t="inlineStr">
        <is>
          <t>ÖSTERSUND</t>
        </is>
      </c>
      <c r="G5247" t="n">
        <v>1.1</v>
      </c>
      <c r="H5247" t="n">
        <v>0</v>
      </c>
      <c r="I5247" t="n">
        <v>0</v>
      </c>
      <c r="J5247" t="n">
        <v>0</v>
      </c>
      <c r="K5247" t="n">
        <v>0</v>
      </c>
      <c r="L5247" t="n">
        <v>0</v>
      </c>
      <c r="M5247" t="n">
        <v>0</v>
      </c>
      <c r="N5247" t="n">
        <v>0</v>
      </c>
      <c r="O5247" t="n">
        <v>0</v>
      </c>
      <c r="P5247" t="n">
        <v>0</v>
      </c>
      <c r="Q5247" t="n">
        <v>0</v>
      </c>
      <c r="R5247" s="2" t="inlineStr"/>
    </row>
    <row r="5248" ht="15" customHeight="1">
      <c r="A5248" t="inlineStr">
        <is>
          <t>A 39689-2022</t>
        </is>
      </c>
      <c r="B5248" s="1" t="n">
        <v>44818</v>
      </c>
      <c r="C5248" s="1" t="n">
        <v>45182</v>
      </c>
      <c r="D5248" t="inlineStr">
        <is>
          <t>JÄMTLANDS LÄN</t>
        </is>
      </c>
      <c r="E5248" t="inlineStr">
        <is>
          <t>STRÖMSUND</t>
        </is>
      </c>
      <c r="F5248" t="inlineStr">
        <is>
          <t>SCA</t>
        </is>
      </c>
      <c r="G5248" t="n">
        <v>7.7</v>
      </c>
      <c r="H5248" t="n">
        <v>0</v>
      </c>
      <c r="I5248" t="n">
        <v>0</v>
      </c>
      <c r="J5248" t="n">
        <v>0</v>
      </c>
      <c r="K5248" t="n">
        <v>0</v>
      </c>
      <c r="L5248" t="n">
        <v>0</v>
      </c>
      <c r="M5248" t="n">
        <v>0</v>
      </c>
      <c r="N5248" t="n">
        <v>0</v>
      </c>
      <c r="O5248" t="n">
        <v>0</v>
      </c>
      <c r="P5248" t="n">
        <v>0</v>
      </c>
      <c r="Q5248" t="n">
        <v>0</v>
      </c>
      <c r="R5248" s="2" t="inlineStr"/>
    </row>
    <row r="5249" ht="15" customHeight="1">
      <c r="A5249" t="inlineStr">
        <is>
          <t>A 39701-2022</t>
        </is>
      </c>
      <c r="B5249" s="1" t="n">
        <v>44818</v>
      </c>
      <c r="C5249" s="1" t="n">
        <v>45182</v>
      </c>
      <c r="D5249" t="inlineStr">
        <is>
          <t>JÄMTLANDS LÄN</t>
        </is>
      </c>
      <c r="E5249" t="inlineStr">
        <is>
          <t>BRÄCKE</t>
        </is>
      </c>
      <c r="F5249" t="inlineStr">
        <is>
          <t>SCA</t>
        </is>
      </c>
      <c r="G5249" t="n">
        <v>2.4</v>
      </c>
      <c r="H5249" t="n">
        <v>0</v>
      </c>
      <c r="I5249" t="n">
        <v>0</v>
      </c>
      <c r="J5249" t="n">
        <v>0</v>
      </c>
      <c r="K5249" t="n">
        <v>0</v>
      </c>
      <c r="L5249" t="n">
        <v>0</v>
      </c>
      <c r="M5249" t="n">
        <v>0</v>
      </c>
      <c r="N5249" t="n">
        <v>0</v>
      </c>
      <c r="O5249" t="n">
        <v>0</v>
      </c>
      <c r="P5249" t="n">
        <v>0</v>
      </c>
      <c r="Q5249" t="n">
        <v>0</v>
      </c>
      <c r="R5249" s="2" t="inlineStr"/>
    </row>
    <row r="5250" ht="15" customHeight="1">
      <c r="A5250" t="inlineStr">
        <is>
          <t>A 40653-2022</t>
        </is>
      </c>
      <c r="B5250" s="1" t="n">
        <v>44818</v>
      </c>
      <c r="C5250" s="1" t="n">
        <v>45182</v>
      </c>
      <c r="D5250" t="inlineStr">
        <is>
          <t>JÄMTLANDS LÄN</t>
        </is>
      </c>
      <c r="E5250" t="inlineStr">
        <is>
          <t>ÅRE</t>
        </is>
      </c>
      <c r="G5250" t="n">
        <v>1.4</v>
      </c>
      <c r="H5250" t="n">
        <v>0</v>
      </c>
      <c r="I5250" t="n">
        <v>0</v>
      </c>
      <c r="J5250" t="n">
        <v>0</v>
      </c>
      <c r="K5250" t="n">
        <v>0</v>
      </c>
      <c r="L5250" t="n">
        <v>0</v>
      </c>
      <c r="M5250" t="n">
        <v>0</v>
      </c>
      <c r="N5250" t="n">
        <v>0</v>
      </c>
      <c r="O5250" t="n">
        <v>0</v>
      </c>
      <c r="P5250" t="n">
        <v>0</v>
      </c>
      <c r="Q5250" t="n">
        <v>0</v>
      </c>
      <c r="R5250" s="2" t="inlineStr"/>
    </row>
    <row r="5251" ht="15" customHeight="1">
      <c r="A5251" t="inlineStr">
        <is>
          <t>A 39625-2022</t>
        </is>
      </c>
      <c r="B5251" s="1" t="n">
        <v>44818</v>
      </c>
      <c r="C5251" s="1" t="n">
        <v>45182</v>
      </c>
      <c r="D5251" t="inlineStr">
        <is>
          <t>JÄMTLANDS LÄN</t>
        </is>
      </c>
      <c r="E5251" t="inlineStr">
        <is>
          <t>HÄRJEDALEN</t>
        </is>
      </c>
      <c r="G5251" t="n">
        <v>1.4</v>
      </c>
      <c r="H5251" t="n">
        <v>0</v>
      </c>
      <c r="I5251" t="n">
        <v>0</v>
      </c>
      <c r="J5251" t="n">
        <v>0</v>
      </c>
      <c r="K5251" t="n">
        <v>0</v>
      </c>
      <c r="L5251" t="n">
        <v>0</v>
      </c>
      <c r="M5251" t="n">
        <v>0</v>
      </c>
      <c r="N5251" t="n">
        <v>0</v>
      </c>
      <c r="O5251" t="n">
        <v>0</v>
      </c>
      <c r="P5251" t="n">
        <v>0</v>
      </c>
      <c r="Q5251" t="n">
        <v>0</v>
      </c>
      <c r="R5251" s="2" t="inlineStr"/>
    </row>
    <row r="5252" ht="15" customHeight="1">
      <c r="A5252" t="inlineStr">
        <is>
          <t>A 39698-2022</t>
        </is>
      </c>
      <c r="B5252" s="1" t="n">
        <v>44818</v>
      </c>
      <c r="C5252" s="1" t="n">
        <v>45182</v>
      </c>
      <c r="D5252" t="inlineStr">
        <is>
          <t>JÄMTLANDS LÄN</t>
        </is>
      </c>
      <c r="E5252" t="inlineStr">
        <is>
          <t>RAGUNDA</t>
        </is>
      </c>
      <c r="F5252" t="inlineStr">
        <is>
          <t>SCA</t>
        </is>
      </c>
      <c r="G5252" t="n">
        <v>2.2</v>
      </c>
      <c r="H5252" t="n">
        <v>0</v>
      </c>
      <c r="I5252" t="n">
        <v>0</v>
      </c>
      <c r="J5252" t="n">
        <v>0</v>
      </c>
      <c r="K5252" t="n">
        <v>0</v>
      </c>
      <c r="L5252" t="n">
        <v>0</v>
      </c>
      <c r="M5252" t="n">
        <v>0</v>
      </c>
      <c r="N5252" t="n">
        <v>0</v>
      </c>
      <c r="O5252" t="n">
        <v>0</v>
      </c>
      <c r="P5252" t="n">
        <v>0</v>
      </c>
      <c r="Q5252" t="n">
        <v>0</v>
      </c>
      <c r="R5252" s="2" t="inlineStr"/>
    </row>
    <row r="5253" ht="15" customHeight="1">
      <c r="A5253" t="inlineStr">
        <is>
          <t>A 39704-2022</t>
        </is>
      </c>
      <c r="B5253" s="1" t="n">
        <v>44818</v>
      </c>
      <c r="C5253" s="1" t="n">
        <v>45182</v>
      </c>
      <c r="D5253" t="inlineStr">
        <is>
          <t>JÄMTLANDS LÄN</t>
        </is>
      </c>
      <c r="E5253" t="inlineStr">
        <is>
          <t>BRÄCKE</t>
        </is>
      </c>
      <c r="F5253" t="inlineStr">
        <is>
          <t>SCA</t>
        </is>
      </c>
      <c r="G5253" t="n">
        <v>0.9</v>
      </c>
      <c r="H5253" t="n">
        <v>0</v>
      </c>
      <c r="I5253" t="n">
        <v>0</v>
      </c>
      <c r="J5253" t="n">
        <v>0</v>
      </c>
      <c r="K5253" t="n">
        <v>0</v>
      </c>
      <c r="L5253" t="n">
        <v>0</v>
      </c>
      <c r="M5253" t="n">
        <v>0</v>
      </c>
      <c r="N5253" t="n">
        <v>0</v>
      </c>
      <c r="O5253" t="n">
        <v>0</v>
      </c>
      <c r="P5253" t="n">
        <v>0</v>
      </c>
      <c r="Q5253" t="n">
        <v>0</v>
      </c>
      <c r="R5253" s="2" t="inlineStr"/>
    </row>
    <row r="5254" ht="15" customHeight="1">
      <c r="A5254" t="inlineStr">
        <is>
          <t>A 40200-2022</t>
        </is>
      </c>
      <c r="B5254" s="1" t="n">
        <v>44818</v>
      </c>
      <c r="C5254" s="1" t="n">
        <v>45182</v>
      </c>
      <c r="D5254" t="inlineStr">
        <is>
          <t>JÄMTLANDS LÄN</t>
        </is>
      </c>
      <c r="E5254" t="inlineStr">
        <is>
          <t>RAGUNDA</t>
        </is>
      </c>
      <c r="G5254" t="n">
        <v>1.8</v>
      </c>
      <c r="H5254" t="n">
        <v>0</v>
      </c>
      <c r="I5254" t="n">
        <v>0</v>
      </c>
      <c r="J5254" t="n">
        <v>0</v>
      </c>
      <c r="K5254" t="n">
        <v>0</v>
      </c>
      <c r="L5254" t="n">
        <v>0</v>
      </c>
      <c r="M5254" t="n">
        <v>0</v>
      </c>
      <c r="N5254" t="n">
        <v>0</v>
      </c>
      <c r="O5254" t="n">
        <v>0</v>
      </c>
      <c r="P5254" t="n">
        <v>0</v>
      </c>
      <c r="Q5254" t="n">
        <v>0</v>
      </c>
      <c r="R5254" s="2" t="inlineStr"/>
    </row>
    <row r="5255" ht="15" customHeight="1">
      <c r="A5255" t="inlineStr">
        <is>
          <t>A 39490-2022</t>
        </is>
      </c>
      <c r="B5255" s="1" t="n">
        <v>44818</v>
      </c>
      <c r="C5255" s="1" t="n">
        <v>45182</v>
      </c>
      <c r="D5255" t="inlineStr">
        <is>
          <t>JÄMTLANDS LÄN</t>
        </is>
      </c>
      <c r="E5255" t="inlineStr">
        <is>
          <t>KROKOM</t>
        </is>
      </c>
      <c r="G5255" t="n">
        <v>11.9</v>
      </c>
      <c r="H5255" t="n">
        <v>0</v>
      </c>
      <c r="I5255" t="n">
        <v>0</v>
      </c>
      <c r="J5255" t="n">
        <v>0</v>
      </c>
      <c r="K5255" t="n">
        <v>0</v>
      </c>
      <c r="L5255" t="n">
        <v>0</v>
      </c>
      <c r="M5255" t="n">
        <v>0</v>
      </c>
      <c r="N5255" t="n">
        <v>0</v>
      </c>
      <c r="O5255" t="n">
        <v>0</v>
      </c>
      <c r="P5255" t="n">
        <v>0</v>
      </c>
      <c r="Q5255" t="n">
        <v>0</v>
      </c>
      <c r="R5255" s="2" t="inlineStr"/>
    </row>
    <row r="5256" ht="15" customHeight="1">
      <c r="A5256" t="inlineStr">
        <is>
          <t>A 39703-2022</t>
        </is>
      </c>
      <c r="B5256" s="1" t="n">
        <v>44818</v>
      </c>
      <c r="C5256" s="1" t="n">
        <v>45182</v>
      </c>
      <c r="D5256" t="inlineStr">
        <is>
          <t>JÄMTLANDS LÄN</t>
        </is>
      </c>
      <c r="E5256" t="inlineStr">
        <is>
          <t>BRÄCKE</t>
        </is>
      </c>
      <c r="F5256" t="inlineStr">
        <is>
          <t>SCA</t>
        </is>
      </c>
      <c r="G5256" t="n">
        <v>1.8</v>
      </c>
      <c r="H5256" t="n">
        <v>0</v>
      </c>
      <c r="I5256" t="n">
        <v>0</v>
      </c>
      <c r="J5256" t="n">
        <v>0</v>
      </c>
      <c r="K5256" t="n">
        <v>0</v>
      </c>
      <c r="L5256" t="n">
        <v>0</v>
      </c>
      <c r="M5256" t="n">
        <v>0</v>
      </c>
      <c r="N5256" t="n">
        <v>0</v>
      </c>
      <c r="O5256" t="n">
        <v>0</v>
      </c>
      <c r="P5256" t="n">
        <v>0</v>
      </c>
      <c r="Q5256" t="n">
        <v>0</v>
      </c>
      <c r="R5256" s="2" t="inlineStr"/>
    </row>
    <row r="5257" ht="15" customHeight="1">
      <c r="A5257" t="inlineStr">
        <is>
          <t>A 39618-2022</t>
        </is>
      </c>
      <c r="B5257" s="1" t="n">
        <v>44818</v>
      </c>
      <c r="C5257" s="1" t="n">
        <v>45182</v>
      </c>
      <c r="D5257" t="inlineStr">
        <is>
          <t>JÄMTLANDS LÄN</t>
        </is>
      </c>
      <c r="E5257" t="inlineStr">
        <is>
          <t>HÄRJEDALEN</t>
        </is>
      </c>
      <c r="G5257" t="n">
        <v>1</v>
      </c>
      <c r="H5257" t="n">
        <v>0</v>
      </c>
      <c r="I5257" t="n">
        <v>0</v>
      </c>
      <c r="J5257" t="n">
        <v>0</v>
      </c>
      <c r="K5257" t="n">
        <v>0</v>
      </c>
      <c r="L5257" t="n">
        <v>0</v>
      </c>
      <c r="M5257" t="n">
        <v>0</v>
      </c>
      <c r="N5257" t="n">
        <v>0</v>
      </c>
      <c r="O5257" t="n">
        <v>0</v>
      </c>
      <c r="P5257" t="n">
        <v>0</v>
      </c>
      <c r="Q5257" t="n">
        <v>0</v>
      </c>
      <c r="R5257" s="2" t="inlineStr"/>
    </row>
    <row r="5258" ht="15" customHeight="1">
      <c r="A5258" t="inlineStr">
        <is>
          <t>A 39702-2022</t>
        </is>
      </c>
      <c r="B5258" s="1" t="n">
        <v>44818</v>
      </c>
      <c r="C5258" s="1" t="n">
        <v>45182</v>
      </c>
      <c r="D5258" t="inlineStr">
        <is>
          <t>JÄMTLANDS LÄN</t>
        </is>
      </c>
      <c r="E5258" t="inlineStr">
        <is>
          <t>BRÄCKE</t>
        </is>
      </c>
      <c r="F5258" t="inlineStr">
        <is>
          <t>SCA</t>
        </is>
      </c>
      <c r="G5258" t="n">
        <v>5.6</v>
      </c>
      <c r="H5258" t="n">
        <v>0</v>
      </c>
      <c r="I5258" t="n">
        <v>0</v>
      </c>
      <c r="J5258" t="n">
        <v>0</v>
      </c>
      <c r="K5258" t="n">
        <v>0</v>
      </c>
      <c r="L5258" t="n">
        <v>0</v>
      </c>
      <c r="M5258" t="n">
        <v>0</v>
      </c>
      <c r="N5258" t="n">
        <v>0</v>
      </c>
      <c r="O5258" t="n">
        <v>0</v>
      </c>
      <c r="P5258" t="n">
        <v>0</v>
      </c>
      <c r="Q5258" t="n">
        <v>0</v>
      </c>
      <c r="R5258" s="2" t="inlineStr"/>
    </row>
    <row r="5259" ht="15" customHeight="1">
      <c r="A5259" t="inlineStr">
        <is>
          <t>A 40159-2022</t>
        </is>
      </c>
      <c r="B5259" s="1" t="n">
        <v>44818</v>
      </c>
      <c r="C5259" s="1" t="n">
        <v>45182</v>
      </c>
      <c r="D5259" t="inlineStr">
        <is>
          <t>JÄMTLANDS LÄN</t>
        </is>
      </c>
      <c r="E5259" t="inlineStr">
        <is>
          <t>ÅRE</t>
        </is>
      </c>
      <c r="G5259" t="n">
        <v>1.9</v>
      </c>
      <c r="H5259" t="n">
        <v>0</v>
      </c>
      <c r="I5259" t="n">
        <v>0</v>
      </c>
      <c r="J5259" t="n">
        <v>0</v>
      </c>
      <c r="K5259" t="n">
        <v>0</v>
      </c>
      <c r="L5259" t="n">
        <v>0</v>
      </c>
      <c r="M5259" t="n">
        <v>0</v>
      </c>
      <c r="N5259" t="n">
        <v>0</v>
      </c>
      <c r="O5259" t="n">
        <v>0</v>
      </c>
      <c r="P5259" t="n">
        <v>0</v>
      </c>
      <c r="Q5259" t="n">
        <v>0</v>
      </c>
      <c r="R5259" s="2" t="inlineStr"/>
    </row>
    <row r="5260" ht="15" customHeight="1">
      <c r="A5260" t="inlineStr">
        <is>
          <t>A 39882-2022</t>
        </is>
      </c>
      <c r="B5260" s="1" t="n">
        <v>44819</v>
      </c>
      <c r="C5260" s="1" t="n">
        <v>45182</v>
      </c>
      <c r="D5260" t="inlineStr">
        <is>
          <t>JÄMTLANDS LÄN</t>
        </is>
      </c>
      <c r="E5260" t="inlineStr">
        <is>
          <t>STRÖMSUND</t>
        </is>
      </c>
      <c r="F5260" t="inlineStr">
        <is>
          <t>Sveaskog</t>
        </is>
      </c>
      <c r="G5260" t="n">
        <v>32.6</v>
      </c>
      <c r="H5260" t="n">
        <v>0</v>
      </c>
      <c r="I5260" t="n">
        <v>0</v>
      </c>
      <c r="J5260" t="n">
        <v>0</v>
      </c>
      <c r="K5260" t="n">
        <v>0</v>
      </c>
      <c r="L5260" t="n">
        <v>0</v>
      </c>
      <c r="M5260" t="n">
        <v>0</v>
      </c>
      <c r="N5260" t="n">
        <v>0</v>
      </c>
      <c r="O5260" t="n">
        <v>0</v>
      </c>
      <c r="P5260" t="n">
        <v>0</v>
      </c>
      <c r="Q5260" t="n">
        <v>0</v>
      </c>
      <c r="R5260" s="2" t="inlineStr"/>
    </row>
    <row r="5261" ht="15" customHeight="1">
      <c r="A5261" t="inlineStr">
        <is>
          <t>A 39930-2022</t>
        </is>
      </c>
      <c r="B5261" s="1" t="n">
        <v>44819</v>
      </c>
      <c r="C5261" s="1" t="n">
        <v>45182</v>
      </c>
      <c r="D5261" t="inlineStr">
        <is>
          <t>JÄMTLANDS LÄN</t>
        </is>
      </c>
      <c r="E5261" t="inlineStr">
        <is>
          <t>BRÄCKE</t>
        </is>
      </c>
      <c r="F5261" t="inlineStr">
        <is>
          <t>SCA</t>
        </is>
      </c>
      <c r="G5261" t="n">
        <v>7.6</v>
      </c>
      <c r="H5261" t="n">
        <v>0</v>
      </c>
      <c r="I5261" t="n">
        <v>0</v>
      </c>
      <c r="J5261" t="n">
        <v>0</v>
      </c>
      <c r="K5261" t="n">
        <v>0</v>
      </c>
      <c r="L5261" t="n">
        <v>0</v>
      </c>
      <c r="M5261" t="n">
        <v>0</v>
      </c>
      <c r="N5261" t="n">
        <v>0</v>
      </c>
      <c r="O5261" t="n">
        <v>0</v>
      </c>
      <c r="P5261" t="n">
        <v>0</v>
      </c>
      <c r="Q5261" t="n">
        <v>0</v>
      </c>
      <c r="R5261" s="2" t="inlineStr"/>
    </row>
    <row r="5262" ht="15" customHeight="1">
      <c r="A5262" t="inlineStr">
        <is>
          <t>A 39889-2022</t>
        </is>
      </c>
      <c r="B5262" s="1" t="n">
        <v>44819</v>
      </c>
      <c r="C5262" s="1" t="n">
        <v>45182</v>
      </c>
      <c r="D5262" t="inlineStr">
        <is>
          <t>JÄMTLANDS LÄN</t>
        </is>
      </c>
      <c r="E5262" t="inlineStr">
        <is>
          <t>STRÖMSUND</t>
        </is>
      </c>
      <c r="F5262" t="inlineStr">
        <is>
          <t>Sveaskog</t>
        </is>
      </c>
      <c r="G5262" t="n">
        <v>17</v>
      </c>
      <c r="H5262" t="n">
        <v>0</v>
      </c>
      <c r="I5262" t="n">
        <v>0</v>
      </c>
      <c r="J5262" t="n">
        <v>0</v>
      </c>
      <c r="K5262" t="n">
        <v>0</v>
      </c>
      <c r="L5262" t="n">
        <v>0</v>
      </c>
      <c r="M5262" t="n">
        <v>0</v>
      </c>
      <c r="N5262" t="n">
        <v>0</v>
      </c>
      <c r="O5262" t="n">
        <v>0</v>
      </c>
      <c r="P5262" t="n">
        <v>0</v>
      </c>
      <c r="Q5262" t="n">
        <v>0</v>
      </c>
      <c r="R5262" s="2" t="inlineStr"/>
    </row>
    <row r="5263" ht="15" customHeight="1">
      <c r="A5263" t="inlineStr">
        <is>
          <t>A 40267-2022</t>
        </is>
      </c>
      <c r="B5263" s="1" t="n">
        <v>44820</v>
      </c>
      <c r="C5263" s="1" t="n">
        <v>45182</v>
      </c>
      <c r="D5263" t="inlineStr">
        <is>
          <t>JÄMTLANDS LÄN</t>
        </is>
      </c>
      <c r="E5263" t="inlineStr">
        <is>
          <t>RAGUNDA</t>
        </is>
      </c>
      <c r="F5263" t="inlineStr">
        <is>
          <t>SCA</t>
        </is>
      </c>
      <c r="G5263" t="n">
        <v>3.3</v>
      </c>
      <c r="H5263" t="n">
        <v>0</v>
      </c>
      <c r="I5263" t="n">
        <v>0</v>
      </c>
      <c r="J5263" t="n">
        <v>0</v>
      </c>
      <c r="K5263" t="n">
        <v>0</v>
      </c>
      <c r="L5263" t="n">
        <v>0</v>
      </c>
      <c r="M5263" t="n">
        <v>0</v>
      </c>
      <c r="N5263" t="n">
        <v>0</v>
      </c>
      <c r="O5263" t="n">
        <v>0</v>
      </c>
      <c r="P5263" t="n">
        <v>0</v>
      </c>
      <c r="Q5263" t="n">
        <v>0</v>
      </c>
      <c r="R5263" s="2" t="inlineStr"/>
    </row>
    <row r="5264" ht="15" customHeight="1">
      <c r="A5264" t="inlineStr">
        <is>
          <t>A 40275-2022</t>
        </is>
      </c>
      <c r="B5264" s="1" t="n">
        <v>44820</v>
      </c>
      <c r="C5264" s="1" t="n">
        <v>45182</v>
      </c>
      <c r="D5264" t="inlineStr">
        <is>
          <t>JÄMTLANDS LÄN</t>
        </is>
      </c>
      <c r="E5264" t="inlineStr">
        <is>
          <t>STRÖMSUND</t>
        </is>
      </c>
      <c r="F5264" t="inlineStr">
        <is>
          <t>SCA</t>
        </is>
      </c>
      <c r="G5264" t="n">
        <v>4.1</v>
      </c>
      <c r="H5264" t="n">
        <v>0</v>
      </c>
      <c r="I5264" t="n">
        <v>0</v>
      </c>
      <c r="J5264" t="n">
        <v>0</v>
      </c>
      <c r="K5264" t="n">
        <v>0</v>
      </c>
      <c r="L5264" t="n">
        <v>0</v>
      </c>
      <c r="M5264" t="n">
        <v>0</v>
      </c>
      <c r="N5264" t="n">
        <v>0</v>
      </c>
      <c r="O5264" t="n">
        <v>0</v>
      </c>
      <c r="P5264" t="n">
        <v>0</v>
      </c>
      <c r="Q5264" t="n">
        <v>0</v>
      </c>
      <c r="R5264" s="2" t="inlineStr"/>
    </row>
    <row r="5265" ht="15" customHeight="1">
      <c r="A5265" t="inlineStr">
        <is>
          <t>A 40862-2022</t>
        </is>
      </c>
      <c r="B5265" s="1" t="n">
        <v>44820</v>
      </c>
      <c r="C5265" s="1" t="n">
        <v>45182</v>
      </c>
      <c r="D5265" t="inlineStr">
        <is>
          <t>JÄMTLANDS LÄN</t>
        </is>
      </c>
      <c r="E5265" t="inlineStr">
        <is>
          <t>STRÖMSUND</t>
        </is>
      </c>
      <c r="G5265" t="n">
        <v>2</v>
      </c>
      <c r="H5265" t="n">
        <v>0</v>
      </c>
      <c r="I5265" t="n">
        <v>0</v>
      </c>
      <c r="J5265" t="n">
        <v>0</v>
      </c>
      <c r="K5265" t="n">
        <v>0</v>
      </c>
      <c r="L5265" t="n">
        <v>0</v>
      </c>
      <c r="M5265" t="n">
        <v>0</v>
      </c>
      <c r="N5265" t="n">
        <v>0</v>
      </c>
      <c r="O5265" t="n">
        <v>0</v>
      </c>
      <c r="P5265" t="n">
        <v>0</v>
      </c>
      <c r="Q5265" t="n">
        <v>0</v>
      </c>
      <c r="R5265" s="2" t="inlineStr"/>
    </row>
    <row r="5266" ht="15" customHeight="1">
      <c r="A5266" t="inlineStr">
        <is>
          <t>A 40951-2022</t>
        </is>
      </c>
      <c r="B5266" s="1" t="n">
        <v>44820</v>
      </c>
      <c r="C5266" s="1" t="n">
        <v>45182</v>
      </c>
      <c r="D5266" t="inlineStr">
        <is>
          <t>JÄMTLANDS LÄN</t>
        </is>
      </c>
      <c r="E5266" t="inlineStr">
        <is>
          <t>RAGUNDA</t>
        </is>
      </c>
      <c r="G5266" t="n">
        <v>3</v>
      </c>
      <c r="H5266" t="n">
        <v>0</v>
      </c>
      <c r="I5266" t="n">
        <v>0</v>
      </c>
      <c r="J5266" t="n">
        <v>0</v>
      </c>
      <c r="K5266" t="n">
        <v>0</v>
      </c>
      <c r="L5266" t="n">
        <v>0</v>
      </c>
      <c r="M5266" t="n">
        <v>0</v>
      </c>
      <c r="N5266" t="n">
        <v>0</v>
      </c>
      <c r="O5266" t="n">
        <v>0</v>
      </c>
      <c r="P5266" t="n">
        <v>0</v>
      </c>
      <c r="Q5266" t="n">
        <v>0</v>
      </c>
      <c r="R5266" s="2" t="inlineStr"/>
    </row>
    <row r="5267" ht="15" customHeight="1">
      <c r="A5267" t="inlineStr">
        <is>
          <t>A 40269-2022</t>
        </is>
      </c>
      <c r="B5267" s="1" t="n">
        <v>44820</v>
      </c>
      <c r="C5267" s="1" t="n">
        <v>45182</v>
      </c>
      <c r="D5267" t="inlineStr">
        <is>
          <t>JÄMTLANDS LÄN</t>
        </is>
      </c>
      <c r="E5267" t="inlineStr">
        <is>
          <t>RAGUNDA</t>
        </is>
      </c>
      <c r="F5267" t="inlineStr">
        <is>
          <t>SCA</t>
        </is>
      </c>
      <c r="G5267" t="n">
        <v>77.8</v>
      </c>
      <c r="H5267" t="n">
        <v>0</v>
      </c>
      <c r="I5267" t="n">
        <v>0</v>
      </c>
      <c r="J5267" t="n">
        <v>0</v>
      </c>
      <c r="K5267" t="n">
        <v>0</v>
      </c>
      <c r="L5267" t="n">
        <v>0</v>
      </c>
      <c r="M5267" t="n">
        <v>0</v>
      </c>
      <c r="N5267" t="n">
        <v>0</v>
      </c>
      <c r="O5267" t="n">
        <v>0</v>
      </c>
      <c r="P5267" t="n">
        <v>0</v>
      </c>
      <c r="Q5267" t="n">
        <v>0</v>
      </c>
      <c r="R5267" s="2" t="inlineStr"/>
    </row>
    <row r="5268" ht="15" customHeight="1">
      <c r="A5268" t="inlineStr">
        <is>
          <t>A 40278-2022</t>
        </is>
      </c>
      <c r="B5268" s="1" t="n">
        <v>44820</v>
      </c>
      <c r="C5268" s="1" t="n">
        <v>45182</v>
      </c>
      <c r="D5268" t="inlineStr">
        <is>
          <t>JÄMTLANDS LÄN</t>
        </is>
      </c>
      <c r="E5268" t="inlineStr">
        <is>
          <t>BRÄCKE</t>
        </is>
      </c>
      <c r="F5268" t="inlineStr">
        <is>
          <t>SCA</t>
        </is>
      </c>
      <c r="G5268" t="n">
        <v>1.1</v>
      </c>
      <c r="H5268" t="n">
        <v>0</v>
      </c>
      <c r="I5268" t="n">
        <v>0</v>
      </c>
      <c r="J5268" t="n">
        <v>0</v>
      </c>
      <c r="K5268" t="n">
        <v>0</v>
      </c>
      <c r="L5268" t="n">
        <v>0</v>
      </c>
      <c r="M5268" t="n">
        <v>0</v>
      </c>
      <c r="N5268" t="n">
        <v>0</v>
      </c>
      <c r="O5268" t="n">
        <v>0</v>
      </c>
      <c r="P5268" t="n">
        <v>0</v>
      </c>
      <c r="Q5268" t="n">
        <v>0</v>
      </c>
      <c r="R5268" s="2" t="inlineStr"/>
    </row>
    <row r="5269" ht="15" customHeight="1">
      <c r="A5269" t="inlineStr">
        <is>
          <t>A 40711-2022</t>
        </is>
      </c>
      <c r="B5269" s="1" t="n">
        <v>44820</v>
      </c>
      <c r="C5269" s="1" t="n">
        <v>45182</v>
      </c>
      <c r="D5269" t="inlineStr">
        <is>
          <t>JÄMTLANDS LÄN</t>
        </is>
      </c>
      <c r="E5269" t="inlineStr">
        <is>
          <t>BRÄCKE</t>
        </is>
      </c>
      <c r="G5269" t="n">
        <v>5.4</v>
      </c>
      <c r="H5269" t="n">
        <v>0</v>
      </c>
      <c r="I5269" t="n">
        <v>0</v>
      </c>
      <c r="J5269" t="n">
        <v>0</v>
      </c>
      <c r="K5269" t="n">
        <v>0</v>
      </c>
      <c r="L5269" t="n">
        <v>0</v>
      </c>
      <c r="M5269" t="n">
        <v>0</v>
      </c>
      <c r="N5269" t="n">
        <v>0</v>
      </c>
      <c r="O5269" t="n">
        <v>0</v>
      </c>
      <c r="P5269" t="n">
        <v>0</v>
      </c>
      <c r="Q5269" t="n">
        <v>0</v>
      </c>
      <c r="R5269" s="2" t="inlineStr"/>
    </row>
    <row r="5270" ht="15" customHeight="1">
      <c r="A5270" t="inlineStr">
        <is>
          <t>A 40866-2022</t>
        </is>
      </c>
      <c r="B5270" s="1" t="n">
        <v>44820</v>
      </c>
      <c r="C5270" s="1" t="n">
        <v>45182</v>
      </c>
      <c r="D5270" t="inlineStr">
        <is>
          <t>JÄMTLANDS LÄN</t>
        </is>
      </c>
      <c r="E5270" t="inlineStr">
        <is>
          <t>KROKOM</t>
        </is>
      </c>
      <c r="G5270" t="n">
        <v>4.3</v>
      </c>
      <c r="H5270" t="n">
        <v>0</v>
      </c>
      <c r="I5270" t="n">
        <v>0</v>
      </c>
      <c r="J5270" t="n">
        <v>0</v>
      </c>
      <c r="K5270" t="n">
        <v>0</v>
      </c>
      <c r="L5270" t="n">
        <v>0</v>
      </c>
      <c r="M5270" t="n">
        <v>0</v>
      </c>
      <c r="N5270" t="n">
        <v>0</v>
      </c>
      <c r="O5270" t="n">
        <v>0</v>
      </c>
      <c r="P5270" t="n">
        <v>0</v>
      </c>
      <c r="Q5270" t="n">
        <v>0</v>
      </c>
      <c r="R5270" s="2" t="inlineStr"/>
    </row>
    <row r="5271" ht="15" customHeight="1">
      <c r="A5271" t="inlineStr">
        <is>
          <t>A 41015-2022</t>
        </is>
      </c>
      <c r="B5271" s="1" t="n">
        <v>44820</v>
      </c>
      <c r="C5271" s="1" t="n">
        <v>45182</v>
      </c>
      <c r="D5271" t="inlineStr">
        <is>
          <t>JÄMTLANDS LÄN</t>
        </is>
      </c>
      <c r="E5271" t="inlineStr">
        <is>
          <t>ÅRE</t>
        </is>
      </c>
      <c r="F5271" t="inlineStr">
        <is>
          <t>Övriga statliga verk och myndigheter</t>
        </is>
      </c>
      <c r="G5271" t="n">
        <v>8</v>
      </c>
      <c r="H5271" t="n">
        <v>0</v>
      </c>
      <c r="I5271" t="n">
        <v>0</v>
      </c>
      <c r="J5271" t="n">
        <v>0</v>
      </c>
      <c r="K5271" t="n">
        <v>0</v>
      </c>
      <c r="L5271" t="n">
        <v>0</v>
      </c>
      <c r="M5271" t="n">
        <v>0</v>
      </c>
      <c r="N5271" t="n">
        <v>0</v>
      </c>
      <c r="O5271" t="n">
        <v>0</v>
      </c>
      <c r="P5271" t="n">
        <v>0</v>
      </c>
      <c r="Q5271" t="n">
        <v>0</v>
      </c>
      <c r="R5271" s="2" t="inlineStr"/>
    </row>
    <row r="5272" ht="15" customHeight="1">
      <c r="A5272" t="inlineStr">
        <is>
          <t>A 40266-2022</t>
        </is>
      </c>
      <c r="B5272" s="1" t="n">
        <v>44820</v>
      </c>
      <c r="C5272" s="1" t="n">
        <v>45182</v>
      </c>
      <c r="D5272" t="inlineStr">
        <is>
          <t>JÄMTLANDS LÄN</t>
        </is>
      </c>
      <c r="E5272" t="inlineStr">
        <is>
          <t>RAGUNDA</t>
        </is>
      </c>
      <c r="F5272" t="inlineStr">
        <is>
          <t>SCA</t>
        </is>
      </c>
      <c r="G5272" t="n">
        <v>9</v>
      </c>
      <c r="H5272" t="n">
        <v>0</v>
      </c>
      <c r="I5272" t="n">
        <v>0</v>
      </c>
      <c r="J5272" t="n">
        <v>0</v>
      </c>
      <c r="K5272" t="n">
        <v>0</v>
      </c>
      <c r="L5272" t="n">
        <v>0</v>
      </c>
      <c r="M5272" t="n">
        <v>0</v>
      </c>
      <c r="N5272" t="n">
        <v>0</v>
      </c>
      <c r="O5272" t="n">
        <v>0</v>
      </c>
      <c r="P5272" t="n">
        <v>0</v>
      </c>
      <c r="Q5272" t="n">
        <v>0</v>
      </c>
      <c r="R5272" s="2" t="inlineStr"/>
    </row>
    <row r="5273" ht="15" customHeight="1">
      <c r="A5273" t="inlineStr">
        <is>
          <t>A 40885-2022</t>
        </is>
      </c>
      <c r="B5273" s="1" t="n">
        <v>44820</v>
      </c>
      <c r="C5273" s="1" t="n">
        <v>45182</v>
      </c>
      <c r="D5273" t="inlineStr">
        <is>
          <t>JÄMTLANDS LÄN</t>
        </is>
      </c>
      <c r="E5273" t="inlineStr">
        <is>
          <t>ÖSTERSUND</t>
        </is>
      </c>
      <c r="G5273" t="n">
        <v>0.8</v>
      </c>
      <c r="H5273" t="n">
        <v>0</v>
      </c>
      <c r="I5273" t="n">
        <v>0</v>
      </c>
      <c r="J5273" t="n">
        <v>0</v>
      </c>
      <c r="K5273" t="n">
        <v>0</v>
      </c>
      <c r="L5273" t="n">
        <v>0</v>
      </c>
      <c r="M5273" t="n">
        <v>0</v>
      </c>
      <c r="N5273" t="n">
        <v>0</v>
      </c>
      <c r="O5273" t="n">
        <v>0</v>
      </c>
      <c r="P5273" t="n">
        <v>0</v>
      </c>
      <c r="Q5273" t="n">
        <v>0</v>
      </c>
      <c r="R5273" s="2" t="inlineStr"/>
    </row>
    <row r="5274" ht="15" customHeight="1">
      <c r="A5274" t="inlineStr">
        <is>
          <t>A 40084-2022</t>
        </is>
      </c>
      <c r="B5274" s="1" t="n">
        <v>44820</v>
      </c>
      <c r="C5274" s="1" t="n">
        <v>45182</v>
      </c>
      <c r="D5274" t="inlineStr">
        <is>
          <t>JÄMTLANDS LÄN</t>
        </is>
      </c>
      <c r="E5274" t="inlineStr">
        <is>
          <t>HÄRJEDALEN</t>
        </is>
      </c>
      <c r="F5274" t="inlineStr">
        <is>
          <t>Bergvik skog väst AB</t>
        </is>
      </c>
      <c r="G5274" t="n">
        <v>6</v>
      </c>
      <c r="H5274" t="n">
        <v>0</v>
      </c>
      <c r="I5274" t="n">
        <v>0</v>
      </c>
      <c r="J5274" t="n">
        <v>0</v>
      </c>
      <c r="K5274" t="n">
        <v>0</v>
      </c>
      <c r="L5274" t="n">
        <v>0</v>
      </c>
      <c r="M5274" t="n">
        <v>0</v>
      </c>
      <c r="N5274" t="n">
        <v>0</v>
      </c>
      <c r="O5274" t="n">
        <v>0</v>
      </c>
      <c r="P5274" t="n">
        <v>0</v>
      </c>
      <c r="Q5274" t="n">
        <v>0</v>
      </c>
      <c r="R5274" s="2" t="inlineStr"/>
    </row>
    <row r="5275" ht="15" customHeight="1">
      <c r="A5275" t="inlineStr">
        <is>
          <t>A 40272-2022</t>
        </is>
      </c>
      <c r="B5275" s="1" t="n">
        <v>44820</v>
      </c>
      <c r="C5275" s="1" t="n">
        <v>45182</v>
      </c>
      <c r="D5275" t="inlineStr">
        <is>
          <t>JÄMTLANDS LÄN</t>
        </is>
      </c>
      <c r="E5275" t="inlineStr">
        <is>
          <t>STRÖMSUND</t>
        </is>
      </c>
      <c r="F5275" t="inlineStr">
        <is>
          <t>SCA</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40578-2022</t>
        </is>
      </c>
      <c r="B5276" s="1" t="n">
        <v>44823</v>
      </c>
      <c r="C5276" s="1" t="n">
        <v>45182</v>
      </c>
      <c r="D5276" t="inlineStr">
        <is>
          <t>JÄMTLANDS LÄN</t>
        </is>
      </c>
      <c r="E5276" t="inlineStr">
        <is>
          <t>HÄRJEDALEN</t>
        </is>
      </c>
      <c r="F5276" t="inlineStr">
        <is>
          <t>Sveaskog</t>
        </is>
      </c>
      <c r="G5276" t="n">
        <v>3.5</v>
      </c>
      <c r="H5276" t="n">
        <v>0</v>
      </c>
      <c r="I5276" t="n">
        <v>0</v>
      </c>
      <c r="J5276" t="n">
        <v>0</v>
      </c>
      <c r="K5276" t="n">
        <v>0</v>
      </c>
      <c r="L5276" t="n">
        <v>0</v>
      </c>
      <c r="M5276" t="n">
        <v>0</v>
      </c>
      <c r="N5276" t="n">
        <v>0</v>
      </c>
      <c r="O5276" t="n">
        <v>0</v>
      </c>
      <c r="P5276" t="n">
        <v>0</v>
      </c>
      <c r="Q5276" t="n">
        <v>0</v>
      </c>
      <c r="R5276" s="2" t="inlineStr"/>
    </row>
    <row r="5277" ht="15" customHeight="1">
      <c r="A5277" t="inlineStr">
        <is>
          <t>A 40440-2022</t>
        </is>
      </c>
      <c r="B5277" s="1" t="n">
        <v>44823</v>
      </c>
      <c r="C5277" s="1" t="n">
        <v>45182</v>
      </c>
      <c r="D5277" t="inlineStr">
        <is>
          <t>JÄMTLANDS LÄN</t>
        </is>
      </c>
      <c r="E5277" t="inlineStr">
        <is>
          <t>BRÄCKE</t>
        </is>
      </c>
      <c r="F5277" t="inlineStr">
        <is>
          <t>Övriga Aktiebolag</t>
        </is>
      </c>
      <c r="G5277" t="n">
        <v>1.5</v>
      </c>
      <c r="H5277" t="n">
        <v>0</v>
      </c>
      <c r="I5277" t="n">
        <v>0</v>
      </c>
      <c r="J5277" t="n">
        <v>0</v>
      </c>
      <c r="K5277" t="n">
        <v>0</v>
      </c>
      <c r="L5277" t="n">
        <v>0</v>
      </c>
      <c r="M5277" t="n">
        <v>0</v>
      </c>
      <c r="N5277" t="n">
        <v>0</v>
      </c>
      <c r="O5277" t="n">
        <v>0</v>
      </c>
      <c r="P5277" t="n">
        <v>0</v>
      </c>
      <c r="Q5277" t="n">
        <v>0</v>
      </c>
      <c r="R5277" s="2" t="inlineStr"/>
    </row>
    <row r="5278" ht="15" customHeight="1">
      <c r="A5278" t="inlineStr">
        <is>
          <t>A 40617-2022</t>
        </is>
      </c>
      <c r="B5278" s="1" t="n">
        <v>44823</v>
      </c>
      <c r="C5278" s="1" t="n">
        <v>45182</v>
      </c>
      <c r="D5278" t="inlineStr">
        <is>
          <t>JÄMTLANDS LÄN</t>
        </is>
      </c>
      <c r="E5278" t="inlineStr">
        <is>
          <t>STRÖMSUND</t>
        </is>
      </c>
      <c r="F5278" t="inlineStr">
        <is>
          <t>SCA</t>
        </is>
      </c>
      <c r="G5278" t="n">
        <v>9.199999999999999</v>
      </c>
      <c r="H5278" t="n">
        <v>0</v>
      </c>
      <c r="I5278" t="n">
        <v>0</v>
      </c>
      <c r="J5278" t="n">
        <v>0</v>
      </c>
      <c r="K5278" t="n">
        <v>0</v>
      </c>
      <c r="L5278" t="n">
        <v>0</v>
      </c>
      <c r="M5278" t="n">
        <v>0</v>
      </c>
      <c r="N5278" t="n">
        <v>0</v>
      </c>
      <c r="O5278" t="n">
        <v>0</v>
      </c>
      <c r="P5278" t="n">
        <v>0</v>
      </c>
      <c r="Q5278" t="n">
        <v>0</v>
      </c>
      <c r="R5278" s="2" t="inlineStr"/>
    </row>
    <row r="5279" ht="15" customHeight="1">
      <c r="A5279" t="inlineStr">
        <is>
          <t>A 40971-2022</t>
        </is>
      </c>
      <c r="B5279" s="1" t="n">
        <v>44823</v>
      </c>
      <c r="C5279" s="1" t="n">
        <v>45182</v>
      </c>
      <c r="D5279" t="inlineStr">
        <is>
          <t>JÄMTLANDS LÄN</t>
        </is>
      </c>
      <c r="E5279" t="inlineStr">
        <is>
          <t>RAGUNDA</t>
        </is>
      </c>
      <c r="G5279" t="n">
        <v>3.2</v>
      </c>
      <c r="H5279" t="n">
        <v>0</v>
      </c>
      <c r="I5279" t="n">
        <v>0</v>
      </c>
      <c r="J5279" t="n">
        <v>0</v>
      </c>
      <c r="K5279" t="n">
        <v>0</v>
      </c>
      <c r="L5279" t="n">
        <v>0</v>
      </c>
      <c r="M5279" t="n">
        <v>0</v>
      </c>
      <c r="N5279" t="n">
        <v>0</v>
      </c>
      <c r="O5279" t="n">
        <v>0</v>
      </c>
      <c r="P5279" t="n">
        <v>0</v>
      </c>
      <c r="Q5279" t="n">
        <v>0</v>
      </c>
      <c r="R5279" s="2" t="inlineStr"/>
    </row>
    <row r="5280" ht="15" customHeight="1">
      <c r="A5280" t="inlineStr">
        <is>
          <t>A 40602-2022</t>
        </is>
      </c>
      <c r="B5280" s="1" t="n">
        <v>44823</v>
      </c>
      <c r="C5280" s="1" t="n">
        <v>45182</v>
      </c>
      <c r="D5280" t="inlineStr">
        <is>
          <t>JÄMTLANDS LÄN</t>
        </is>
      </c>
      <c r="E5280" t="inlineStr">
        <is>
          <t>STRÖMSUND</t>
        </is>
      </c>
      <c r="G5280" t="n">
        <v>1.6</v>
      </c>
      <c r="H5280" t="n">
        <v>0</v>
      </c>
      <c r="I5280" t="n">
        <v>0</v>
      </c>
      <c r="J5280" t="n">
        <v>0</v>
      </c>
      <c r="K5280" t="n">
        <v>0</v>
      </c>
      <c r="L5280" t="n">
        <v>0</v>
      </c>
      <c r="M5280" t="n">
        <v>0</v>
      </c>
      <c r="N5280" t="n">
        <v>0</v>
      </c>
      <c r="O5280" t="n">
        <v>0</v>
      </c>
      <c r="P5280" t="n">
        <v>0</v>
      </c>
      <c r="Q5280" t="n">
        <v>0</v>
      </c>
      <c r="R5280" s="2" t="inlineStr"/>
    </row>
    <row r="5281" ht="15" customHeight="1">
      <c r="A5281" t="inlineStr">
        <is>
          <t>A 40936-2022</t>
        </is>
      </c>
      <c r="B5281" s="1" t="n">
        <v>44823</v>
      </c>
      <c r="C5281" s="1" t="n">
        <v>45182</v>
      </c>
      <c r="D5281" t="inlineStr">
        <is>
          <t>JÄMTLANDS LÄN</t>
        </is>
      </c>
      <c r="E5281" t="inlineStr">
        <is>
          <t>STRÖMSUND</t>
        </is>
      </c>
      <c r="G5281" t="n">
        <v>13</v>
      </c>
      <c r="H5281" t="n">
        <v>0</v>
      </c>
      <c r="I5281" t="n">
        <v>0</v>
      </c>
      <c r="J5281" t="n">
        <v>0</v>
      </c>
      <c r="K5281" t="n">
        <v>0</v>
      </c>
      <c r="L5281" t="n">
        <v>0</v>
      </c>
      <c r="M5281" t="n">
        <v>0</v>
      </c>
      <c r="N5281" t="n">
        <v>0</v>
      </c>
      <c r="O5281" t="n">
        <v>0</v>
      </c>
      <c r="P5281" t="n">
        <v>0</v>
      </c>
      <c r="Q5281" t="n">
        <v>0</v>
      </c>
      <c r="R5281" s="2" t="inlineStr"/>
    </row>
    <row r="5282" ht="15" customHeight="1">
      <c r="A5282" t="inlineStr">
        <is>
          <t>A 40978-2022</t>
        </is>
      </c>
      <c r="B5282" s="1" t="n">
        <v>44823</v>
      </c>
      <c r="C5282" s="1" t="n">
        <v>45182</v>
      </c>
      <c r="D5282" t="inlineStr">
        <is>
          <t>JÄMTLANDS LÄN</t>
        </is>
      </c>
      <c r="E5282" t="inlineStr">
        <is>
          <t>RAGUNDA</t>
        </is>
      </c>
      <c r="G5282" t="n">
        <v>1.5</v>
      </c>
      <c r="H5282" t="n">
        <v>0</v>
      </c>
      <c r="I5282" t="n">
        <v>0</v>
      </c>
      <c r="J5282" t="n">
        <v>0</v>
      </c>
      <c r="K5282" t="n">
        <v>0</v>
      </c>
      <c r="L5282" t="n">
        <v>0</v>
      </c>
      <c r="M5282" t="n">
        <v>0</v>
      </c>
      <c r="N5282" t="n">
        <v>0</v>
      </c>
      <c r="O5282" t="n">
        <v>0</v>
      </c>
      <c r="P5282" t="n">
        <v>0</v>
      </c>
      <c r="Q5282" t="n">
        <v>0</v>
      </c>
      <c r="R5282" s="2" t="inlineStr"/>
    </row>
    <row r="5283" ht="15" customHeight="1">
      <c r="A5283" t="inlineStr">
        <is>
          <t>A 40601-2022</t>
        </is>
      </c>
      <c r="B5283" s="1" t="n">
        <v>44823</v>
      </c>
      <c r="C5283" s="1" t="n">
        <v>45182</v>
      </c>
      <c r="D5283" t="inlineStr">
        <is>
          <t>JÄMTLANDS LÄN</t>
        </is>
      </c>
      <c r="E5283" t="inlineStr">
        <is>
          <t>BERG</t>
        </is>
      </c>
      <c r="G5283" t="n">
        <v>4</v>
      </c>
      <c r="H5283" t="n">
        <v>0</v>
      </c>
      <c r="I5283" t="n">
        <v>0</v>
      </c>
      <c r="J5283" t="n">
        <v>0</v>
      </c>
      <c r="K5283" t="n">
        <v>0</v>
      </c>
      <c r="L5283" t="n">
        <v>0</v>
      </c>
      <c r="M5283" t="n">
        <v>0</v>
      </c>
      <c r="N5283" t="n">
        <v>0</v>
      </c>
      <c r="O5283" t="n">
        <v>0</v>
      </c>
      <c r="P5283" t="n">
        <v>0</v>
      </c>
      <c r="Q5283" t="n">
        <v>0</v>
      </c>
      <c r="R5283" s="2" t="inlineStr"/>
    </row>
    <row r="5284" ht="15" customHeight="1">
      <c r="A5284" t="inlineStr">
        <is>
          <t>A 40990-2022</t>
        </is>
      </c>
      <c r="B5284" s="1" t="n">
        <v>44823</v>
      </c>
      <c r="C5284" s="1" t="n">
        <v>45182</v>
      </c>
      <c r="D5284" t="inlineStr">
        <is>
          <t>JÄMTLANDS LÄN</t>
        </is>
      </c>
      <c r="E5284" t="inlineStr">
        <is>
          <t>BERG</t>
        </is>
      </c>
      <c r="G5284" t="n">
        <v>11.7</v>
      </c>
      <c r="H5284" t="n">
        <v>0</v>
      </c>
      <c r="I5284" t="n">
        <v>0</v>
      </c>
      <c r="J5284" t="n">
        <v>0</v>
      </c>
      <c r="K5284" t="n">
        <v>0</v>
      </c>
      <c r="L5284" t="n">
        <v>0</v>
      </c>
      <c r="M5284" t="n">
        <v>0</v>
      </c>
      <c r="N5284" t="n">
        <v>0</v>
      </c>
      <c r="O5284" t="n">
        <v>0</v>
      </c>
      <c r="P5284" t="n">
        <v>0</v>
      </c>
      <c r="Q5284" t="n">
        <v>0</v>
      </c>
      <c r="R5284" s="2" t="inlineStr"/>
    </row>
    <row r="5285" ht="15" customHeight="1">
      <c r="A5285" t="inlineStr">
        <is>
          <t>A 41063-2022</t>
        </is>
      </c>
      <c r="B5285" s="1" t="n">
        <v>44824</v>
      </c>
      <c r="C5285" s="1" t="n">
        <v>45182</v>
      </c>
      <c r="D5285" t="inlineStr">
        <is>
          <t>JÄMTLANDS LÄN</t>
        </is>
      </c>
      <c r="E5285" t="inlineStr">
        <is>
          <t>BERG</t>
        </is>
      </c>
      <c r="G5285" t="n">
        <v>13.6</v>
      </c>
      <c r="H5285" t="n">
        <v>0</v>
      </c>
      <c r="I5285" t="n">
        <v>0</v>
      </c>
      <c r="J5285" t="n">
        <v>0</v>
      </c>
      <c r="K5285" t="n">
        <v>0</v>
      </c>
      <c r="L5285" t="n">
        <v>0</v>
      </c>
      <c r="M5285" t="n">
        <v>0</v>
      </c>
      <c r="N5285" t="n">
        <v>0</v>
      </c>
      <c r="O5285" t="n">
        <v>0</v>
      </c>
      <c r="P5285" t="n">
        <v>0</v>
      </c>
      <c r="Q5285" t="n">
        <v>0</v>
      </c>
      <c r="R5285" s="2" t="inlineStr"/>
    </row>
    <row r="5286" ht="15" customHeight="1">
      <c r="A5286" t="inlineStr">
        <is>
          <t>A 40840-2022</t>
        </is>
      </c>
      <c r="B5286" s="1" t="n">
        <v>44824</v>
      </c>
      <c r="C5286" s="1" t="n">
        <v>45182</v>
      </c>
      <c r="D5286" t="inlineStr">
        <is>
          <t>JÄMTLANDS LÄN</t>
        </is>
      </c>
      <c r="E5286" t="inlineStr">
        <is>
          <t>STRÖMSUND</t>
        </is>
      </c>
      <c r="F5286" t="inlineStr">
        <is>
          <t>SCA</t>
        </is>
      </c>
      <c r="G5286" t="n">
        <v>1.9</v>
      </c>
      <c r="H5286" t="n">
        <v>0</v>
      </c>
      <c r="I5286" t="n">
        <v>0</v>
      </c>
      <c r="J5286" t="n">
        <v>0</v>
      </c>
      <c r="K5286" t="n">
        <v>0</v>
      </c>
      <c r="L5286" t="n">
        <v>0</v>
      </c>
      <c r="M5286" t="n">
        <v>0</v>
      </c>
      <c r="N5286" t="n">
        <v>0</v>
      </c>
      <c r="O5286" t="n">
        <v>0</v>
      </c>
      <c r="P5286" t="n">
        <v>0</v>
      </c>
      <c r="Q5286" t="n">
        <v>0</v>
      </c>
      <c r="R5286" s="2" t="inlineStr"/>
    </row>
    <row r="5287" ht="15" customHeight="1">
      <c r="A5287" t="inlineStr">
        <is>
          <t>A 40847-2022</t>
        </is>
      </c>
      <c r="B5287" s="1" t="n">
        <v>44824</v>
      </c>
      <c r="C5287" s="1" t="n">
        <v>45182</v>
      </c>
      <c r="D5287" t="inlineStr">
        <is>
          <t>JÄMTLANDS LÄN</t>
        </is>
      </c>
      <c r="E5287" t="inlineStr">
        <is>
          <t>BERG</t>
        </is>
      </c>
      <c r="F5287" t="inlineStr">
        <is>
          <t>SCA</t>
        </is>
      </c>
      <c r="G5287" t="n">
        <v>2.4</v>
      </c>
      <c r="H5287" t="n">
        <v>0</v>
      </c>
      <c r="I5287" t="n">
        <v>0</v>
      </c>
      <c r="J5287" t="n">
        <v>0</v>
      </c>
      <c r="K5287" t="n">
        <v>0</v>
      </c>
      <c r="L5287" t="n">
        <v>0</v>
      </c>
      <c r="M5287" t="n">
        <v>0</v>
      </c>
      <c r="N5287" t="n">
        <v>0</v>
      </c>
      <c r="O5287" t="n">
        <v>0</v>
      </c>
      <c r="P5287" t="n">
        <v>0</v>
      </c>
      <c r="Q5287" t="n">
        <v>0</v>
      </c>
      <c r="R5287" s="2" t="inlineStr"/>
    </row>
    <row r="5288" ht="15" customHeight="1">
      <c r="A5288" t="inlineStr">
        <is>
          <t>A 41164-2022</t>
        </is>
      </c>
      <c r="B5288" s="1" t="n">
        <v>44825</v>
      </c>
      <c r="C5288" s="1" t="n">
        <v>45182</v>
      </c>
      <c r="D5288" t="inlineStr">
        <is>
          <t>JÄMTLANDS LÄN</t>
        </is>
      </c>
      <c r="E5288" t="inlineStr">
        <is>
          <t>HÄRJEDALEN</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41179-2022</t>
        </is>
      </c>
      <c r="B5289" s="1" t="n">
        <v>44825</v>
      </c>
      <c r="C5289" s="1" t="n">
        <v>45182</v>
      </c>
      <c r="D5289" t="inlineStr">
        <is>
          <t>JÄMTLANDS LÄN</t>
        </is>
      </c>
      <c r="E5289" t="inlineStr">
        <is>
          <t>RAGUNDA</t>
        </is>
      </c>
      <c r="F5289" t="inlineStr">
        <is>
          <t>SCA</t>
        </is>
      </c>
      <c r="G5289" t="n">
        <v>2.1</v>
      </c>
      <c r="H5289" t="n">
        <v>0</v>
      </c>
      <c r="I5289" t="n">
        <v>0</v>
      </c>
      <c r="J5289" t="n">
        <v>0</v>
      </c>
      <c r="K5289" t="n">
        <v>0</v>
      </c>
      <c r="L5289" t="n">
        <v>0</v>
      </c>
      <c r="M5289" t="n">
        <v>0</v>
      </c>
      <c r="N5289" t="n">
        <v>0</v>
      </c>
      <c r="O5289" t="n">
        <v>0</v>
      </c>
      <c r="P5289" t="n">
        <v>0</v>
      </c>
      <c r="Q5289" t="n">
        <v>0</v>
      </c>
      <c r="R5289" s="2" t="inlineStr"/>
    </row>
    <row r="5290" ht="15" customHeight="1">
      <c r="A5290" t="inlineStr">
        <is>
          <t>A 41209-2022</t>
        </is>
      </c>
      <c r="B5290" s="1" t="n">
        <v>44825</v>
      </c>
      <c r="C5290" s="1" t="n">
        <v>45182</v>
      </c>
      <c r="D5290" t="inlineStr">
        <is>
          <t>JÄMTLANDS LÄN</t>
        </is>
      </c>
      <c r="E5290" t="inlineStr">
        <is>
          <t>HÄRJEDALEN</t>
        </is>
      </c>
      <c r="G5290" t="n">
        <v>1</v>
      </c>
      <c r="H5290" t="n">
        <v>0</v>
      </c>
      <c r="I5290" t="n">
        <v>0</v>
      </c>
      <c r="J5290" t="n">
        <v>0</v>
      </c>
      <c r="K5290" t="n">
        <v>0</v>
      </c>
      <c r="L5290" t="n">
        <v>0</v>
      </c>
      <c r="M5290" t="n">
        <v>0</v>
      </c>
      <c r="N5290" t="n">
        <v>0</v>
      </c>
      <c r="O5290" t="n">
        <v>0</v>
      </c>
      <c r="P5290" t="n">
        <v>0</v>
      </c>
      <c r="Q5290" t="n">
        <v>0</v>
      </c>
      <c r="R5290" s="2" t="inlineStr"/>
    </row>
    <row r="5291" ht="15" customHeight="1">
      <c r="A5291" t="inlineStr">
        <is>
          <t>A 41180-2022</t>
        </is>
      </c>
      <c r="B5291" s="1" t="n">
        <v>44825</v>
      </c>
      <c r="C5291" s="1" t="n">
        <v>45182</v>
      </c>
      <c r="D5291" t="inlineStr">
        <is>
          <t>JÄMTLANDS LÄN</t>
        </is>
      </c>
      <c r="E5291" t="inlineStr">
        <is>
          <t>RAGUNDA</t>
        </is>
      </c>
      <c r="F5291" t="inlineStr">
        <is>
          <t>SCA</t>
        </is>
      </c>
      <c r="G5291" t="n">
        <v>1.4</v>
      </c>
      <c r="H5291" t="n">
        <v>0</v>
      </c>
      <c r="I5291" t="n">
        <v>0</v>
      </c>
      <c r="J5291" t="n">
        <v>0</v>
      </c>
      <c r="K5291" t="n">
        <v>0</v>
      </c>
      <c r="L5291" t="n">
        <v>0</v>
      </c>
      <c r="M5291" t="n">
        <v>0</v>
      </c>
      <c r="N5291" t="n">
        <v>0</v>
      </c>
      <c r="O5291" t="n">
        <v>0</v>
      </c>
      <c r="P5291" t="n">
        <v>0</v>
      </c>
      <c r="Q5291" t="n">
        <v>0</v>
      </c>
      <c r="R5291" s="2" t="inlineStr"/>
    </row>
    <row r="5292" ht="15" customHeight="1">
      <c r="A5292" t="inlineStr">
        <is>
          <t>A 41162-2022</t>
        </is>
      </c>
      <c r="B5292" s="1" t="n">
        <v>44825</v>
      </c>
      <c r="C5292" s="1" t="n">
        <v>45182</v>
      </c>
      <c r="D5292" t="inlineStr">
        <is>
          <t>JÄMTLANDS LÄN</t>
        </is>
      </c>
      <c r="E5292" t="inlineStr">
        <is>
          <t>ÅRE</t>
        </is>
      </c>
      <c r="G5292" t="n">
        <v>11.3</v>
      </c>
      <c r="H5292" t="n">
        <v>0</v>
      </c>
      <c r="I5292" t="n">
        <v>0</v>
      </c>
      <c r="J5292" t="n">
        <v>0</v>
      </c>
      <c r="K5292" t="n">
        <v>0</v>
      </c>
      <c r="L5292" t="n">
        <v>0</v>
      </c>
      <c r="M5292" t="n">
        <v>0</v>
      </c>
      <c r="N5292" t="n">
        <v>0</v>
      </c>
      <c r="O5292" t="n">
        <v>0</v>
      </c>
      <c r="P5292" t="n">
        <v>0</v>
      </c>
      <c r="Q5292" t="n">
        <v>0</v>
      </c>
      <c r="R5292" s="2" t="inlineStr"/>
    </row>
    <row r="5293" ht="15" customHeight="1">
      <c r="A5293" t="inlineStr">
        <is>
          <t>A 41170-2022</t>
        </is>
      </c>
      <c r="B5293" s="1" t="n">
        <v>44825</v>
      </c>
      <c r="C5293" s="1" t="n">
        <v>45182</v>
      </c>
      <c r="D5293" t="inlineStr">
        <is>
          <t>JÄMTLANDS LÄN</t>
        </is>
      </c>
      <c r="E5293" t="inlineStr">
        <is>
          <t>KROKOM</t>
        </is>
      </c>
      <c r="F5293" t="inlineStr">
        <is>
          <t>SCA</t>
        </is>
      </c>
      <c r="G5293" t="n">
        <v>3.6</v>
      </c>
      <c r="H5293" t="n">
        <v>0</v>
      </c>
      <c r="I5293" t="n">
        <v>0</v>
      </c>
      <c r="J5293" t="n">
        <v>0</v>
      </c>
      <c r="K5293" t="n">
        <v>0</v>
      </c>
      <c r="L5293" t="n">
        <v>0</v>
      </c>
      <c r="M5293" t="n">
        <v>0</v>
      </c>
      <c r="N5293" t="n">
        <v>0</v>
      </c>
      <c r="O5293" t="n">
        <v>0</v>
      </c>
      <c r="P5293" t="n">
        <v>0</v>
      </c>
      <c r="Q5293" t="n">
        <v>0</v>
      </c>
      <c r="R5293" s="2" t="inlineStr"/>
    </row>
    <row r="5294" ht="15" customHeight="1">
      <c r="A5294" t="inlineStr">
        <is>
          <t>A 41197-2022</t>
        </is>
      </c>
      <c r="B5294" s="1" t="n">
        <v>44825</v>
      </c>
      <c r="C5294" s="1" t="n">
        <v>45182</v>
      </c>
      <c r="D5294" t="inlineStr">
        <is>
          <t>JÄMTLANDS LÄN</t>
        </is>
      </c>
      <c r="E5294" t="inlineStr">
        <is>
          <t>KROKOM</t>
        </is>
      </c>
      <c r="G5294" t="n">
        <v>0.6</v>
      </c>
      <c r="H5294" t="n">
        <v>0</v>
      </c>
      <c r="I5294" t="n">
        <v>0</v>
      </c>
      <c r="J5294" t="n">
        <v>0</v>
      </c>
      <c r="K5294" t="n">
        <v>0</v>
      </c>
      <c r="L5294" t="n">
        <v>0</v>
      </c>
      <c r="M5294" t="n">
        <v>0</v>
      </c>
      <c r="N5294" t="n">
        <v>0</v>
      </c>
      <c r="O5294" t="n">
        <v>0</v>
      </c>
      <c r="P5294" t="n">
        <v>0</v>
      </c>
      <c r="Q5294" t="n">
        <v>0</v>
      </c>
      <c r="R5294" s="2" t="inlineStr"/>
    </row>
    <row r="5295" ht="15" customHeight="1">
      <c r="A5295" t="inlineStr">
        <is>
          <t>A 41307-2022</t>
        </is>
      </c>
      <c r="B5295" s="1" t="n">
        <v>44826</v>
      </c>
      <c r="C5295" s="1" t="n">
        <v>45182</v>
      </c>
      <c r="D5295" t="inlineStr">
        <is>
          <t>JÄMTLANDS LÄN</t>
        </is>
      </c>
      <c r="E5295" t="inlineStr">
        <is>
          <t>HÄRJEDALEN</t>
        </is>
      </c>
      <c r="F5295" t="inlineStr">
        <is>
          <t>Bergvik skog väst AB</t>
        </is>
      </c>
      <c r="G5295" t="n">
        <v>1.1</v>
      </c>
      <c r="H5295" t="n">
        <v>0</v>
      </c>
      <c r="I5295" t="n">
        <v>0</v>
      </c>
      <c r="J5295" t="n">
        <v>0</v>
      </c>
      <c r="K5295" t="n">
        <v>0</v>
      </c>
      <c r="L5295" t="n">
        <v>0</v>
      </c>
      <c r="M5295" t="n">
        <v>0</v>
      </c>
      <c r="N5295" t="n">
        <v>0</v>
      </c>
      <c r="O5295" t="n">
        <v>0</v>
      </c>
      <c r="P5295" t="n">
        <v>0</v>
      </c>
      <c r="Q5295" t="n">
        <v>0</v>
      </c>
      <c r="R5295" s="2" t="inlineStr"/>
    </row>
    <row r="5296" ht="15" customHeight="1">
      <c r="A5296" t="inlineStr">
        <is>
          <t>A 41293-2022</t>
        </is>
      </c>
      <c r="B5296" s="1" t="n">
        <v>44826</v>
      </c>
      <c r="C5296" s="1" t="n">
        <v>45182</v>
      </c>
      <c r="D5296" t="inlineStr">
        <is>
          <t>JÄMTLANDS LÄN</t>
        </is>
      </c>
      <c r="E5296" t="inlineStr">
        <is>
          <t>HÄRJEDALEN</t>
        </is>
      </c>
      <c r="F5296" t="inlineStr">
        <is>
          <t>Bergvik skog väst AB</t>
        </is>
      </c>
      <c r="G5296" t="n">
        <v>0.6</v>
      </c>
      <c r="H5296" t="n">
        <v>0</v>
      </c>
      <c r="I5296" t="n">
        <v>0</v>
      </c>
      <c r="J5296" t="n">
        <v>0</v>
      </c>
      <c r="K5296" t="n">
        <v>0</v>
      </c>
      <c r="L5296" t="n">
        <v>0</v>
      </c>
      <c r="M5296" t="n">
        <v>0</v>
      </c>
      <c r="N5296" t="n">
        <v>0</v>
      </c>
      <c r="O5296" t="n">
        <v>0</v>
      </c>
      <c r="P5296" t="n">
        <v>0</v>
      </c>
      <c r="Q5296" t="n">
        <v>0</v>
      </c>
      <c r="R5296" s="2" t="inlineStr"/>
    </row>
    <row r="5297" ht="15" customHeight="1">
      <c r="A5297" t="inlineStr">
        <is>
          <t>A 41655-2022</t>
        </is>
      </c>
      <c r="B5297" s="1" t="n">
        <v>44827</v>
      </c>
      <c r="C5297" s="1" t="n">
        <v>45182</v>
      </c>
      <c r="D5297" t="inlineStr">
        <is>
          <t>JÄMTLANDS LÄN</t>
        </is>
      </c>
      <c r="E5297" t="inlineStr">
        <is>
          <t>ÅRE</t>
        </is>
      </c>
      <c r="G5297" t="n">
        <v>2.4</v>
      </c>
      <c r="H5297" t="n">
        <v>0</v>
      </c>
      <c r="I5297" t="n">
        <v>0</v>
      </c>
      <c r="J5297" t="n">
        <v>0</v>
      </c>
      <c r="K5297" t="n">
        <v>0</v>
      </c>
      <c r="L5297" t="n">
        <v>0</v>
      </c>
      <c r="M5297" t="n">
        <v>0</v>
      </c>
      <c r="N5297" t="n">
        <v>0</v>
      </c>
      <c r="O5297" t="n">
        <v>0</v>
      </c>
      <c r="P5297" t="n">
        <v>0</v>
      </c>
      <c r="Q5297" t="n">
        <v>0</v>
      </c>
      <c r="R5297" s="2" t="inlineStr"/>
    </row>
    <row r="5298" ht="15" customHeight="1">
      <c r="A5298" t="inlineStr">
        <is>
          <t>A 41771-2022</t>
        </is>
      </c>
      <c r="B5298" s="1" t="n">
        <v>44827</v>
      </c>
      <c r="C5298" s="1" t="n">
        <v>45182</v>
      </c>
      <c r="D5298" t="inlineStr">
        <is>
          <t>JÄMTLANDS LÄN</t>
        </is>
      </c>
      <c r="E5298" t="inlineStr">
        <is>
          <t>HÄRJEDALEN</t>
        </is>
      </c>
      <c r="G5298" t="n">
        <v>1.4</v>
      </c>
      <c r="H5298" t="n">
        <v>0</v>
      </c>
      <c r="I5298" t="n">
        <v>0</v>
      </c>
      <c r="J5298" t="n">
        <v>0</v>
      </c>
      <c r="K5298" t="n">
        <v>0</v>
      </c>
      <c r="L5298" t="n">
        <v>0</v>
      </c>
      <c r="M5298" t="n">
        <v>0</v>
      </c>
      <c r="N5298" t="n">
        <v>0</v>
      </c>
      <c r="O5298" t="n">
        <v>0</v>
      </c>
      <c r="P5298" t="n">
        <v>0</v>
      </c>
      <c r="Q5298" t="n">
        <v>0</v>
      </c>
      <c r="R5298" s="2" t="inlineStr"/>
    </row>
    <row r="5299" ht="15" customHeight="1">
      <c r="A5299" t="inlineStr">
        <is>
          <t>A 41817-2022</t>
        </is>
      </c>
      <c r="B5299" s="1" t="n">
        <v>44827</v>
      </c>
      <c r="C5299" s="1" t="n">
        <v>45182</v>
      </c>
      <c r="D5299" t="inlineStr">
        <is>
          <t>JÄMTLANDS LÄN</t>
        </is>
      </c>
      <c r="E5299" t="inlineStr">
        <is>
          <t>BRÄCKE</t>
        </is>
      </c>
      <c r="F5299" t="inlineStr">
        <is>
          <t>SCA</t>
        </is>
      </c>
      <c r="G5299" t="n">
        <v>1.3</v>
      </c>
      <c r="H5299" t="n">
        <v>0</v>
      </c>
      <c r="I5299" t="n">
        <v>0</v>
      </c>
      <c r="J5299" t="n">
        <v>0</v>
      </c>
      <c r="K5299" t="n">
        <v>0</v>
      </c>
      <c r="L5299" t="n">
        <v>0</v>
      </c>
      <c r="M5299" t="n">
        <v>0</v>
      </c>
      <c r="N5299" t="n">
        <v>0</v>
      </c>
      <c r="O5299" t="n">
        <v>0</v>
      </c>
      <c r="P5299" t="n">
        <v>0</v>
      </c>
      <c r="Q5299" t="n">
        <v>0</v>
      </c>
      <c r="R5299" s="2" t="inlineStr"/>
    </row>
    <row r="5300" ht="15" customHeight="1">
      <c r="A5300" t="inlineStr">
        <is>
          <t>A 41711-2022</t>
        </is>
      </c>
      <c r="B5300" s="1" t="n">
        <v>44827</v>
      </c>
      <c r="C5300" s="1" t="n">
        <v>45182</v>
      </c>
      <c r="D5300" t="inlineStr">
        <is>
          <t>JÄMTLANDS LÄN</t>
        </is>
      </c>
      <c r="E5300" t="inlineStr">
        <is>
          <t>HÄRJEDALEN</t>
        </is>
      </c>
      <c r="G5300" t="n">
        <v>18.3</v>
      </c>
      <c r="H5300" t="n">
        <v>0</v>
      </c>
      <c r="I5300" t="n">
        <v>0</v>
      </c>
      <c r="J5300" t="n">
        <v>0</v>
      </c>
      <c r="K5300" t="n">
        <v>0</v>
      </c>
      <c r="L5300" t="n">
        <v>0</v>
      </c>
      <c r="M5300" t="n">
        <v>0</v>
      </c>
      <c r="N5300" t="n">
        <v>0</v>
      </c>
      <c r="O5300" t="n">
        <v>0</v>
      </c>
      <c r="P5300" t="n">
        <v>0</v>
      </c>
      <c r="Q5300" t="n">
        <v>0</v>
      </c>
      <c r="R5300" s="2" t="inlineStr"/>
    </row>
    <row r="5301" ht="15" customHeight="1">
      <c r="A5301" t="inlineStr">
        <is>
          <t>A 41821-2022</t>
        </is>
      </c>
      <c r="B5301" s="1" t="n">
        <v>44827</v>
      </c>
      <c r="C5301" s="1" t="n">
        <v>45182</v>
      </c>
      <c r="D5301" t="inlineStr">
        <is>
          <t>JÄMTLANDS LÄN</t>
        </is>
      </c>
      <c r="E5301" t="inlineStr">
        <is>
          <t>STRÖMSUND</t>
        </is>
      </c>
      <c r="F5301" t="inlineStr">
        <is>
          <t>SCA</t>
        </is>
      </c>
      <c r="G5301" t="n">
        <v>1.2</v>
      </c>
      <c r="H5301" t="n">
        <v>0</v>
      </c>
      <c r="I5301" t="n">
        <v>0</v>
      </c>
      <c r="J5301" t="n">
        <v>0</v>
      </c>
      <c r="K5301" t="n">
        <v>0</v>
      </c>
      <c r="L5301" t="n">
        <v>0</v>
      </c>
      <c r="M5301" t="n">
        <v>0</v>
      </c>
      <c r="N5301" t="n">
        <v>0</v>
      </c>
      <c r="O5301" t="n">
        <v>0</v>
      </c>
      <c r="P5301" t="n">
        <v>0</v>
      </c>
      <c r="Q5301" t="n">
        <v>0</v>
      </c>
      <c r="R5301" s="2" t="inlineStr"/>
    </row>
    <row r="5302" ht="15" customHeight="1">
      <c r="A5302" t="inlineStr">
        <is>
          <t>A 41654-2022</t>
        </is>
      </c>
      <c r="B5302" s="1" t="n">
        <v>44827</v>
      </c>
      <c r="C5302" s="1" t="n">
        <v>45182</v>
      </c>
      <c r="D5302" t="inlineStr">
        <is>
          <t>JÄMTLANDS LÄN</t>
        </is>
      </c>
      <c r="E5302" t="inlineStr">
        <is>
          <t>ÅRE</t>
        </is>
      </c>
      <c r="G5302" t="n">
        <v>1.2</v>
      </c>
      <c r="H5302" t="n">
        <v>0</v>
      </c>
      <c r="I5302" t="n">
        <v>0</v>
      </c>
      <c r="J5302" t="n">
        <v>0</v>
      </c>
      <c r="K5302" t="n">
        <v>0</v>
      </c>
      <c r="L5302" t="n">
        <v>0</v>
      </c>
      <c r="M5302" t="n">
        <v>0</v>
      </c>
      <c r="N5302" t="n">
        <v>0</v>
      </c>
      <c r="O5302" t="n">
        <v>0</v>
      </c>
      <c r="P5302" t="n">
        <v>0</v>
      </c>
      <c r="Q5302" t="n">
        <v>0</v>
      </c>
      <c r="R5302" s="2" t="inlineStr"/>
    </row>
    <row r="5303" ht="15" customHeight="1">
      <c r="A5303" t="inlineStr">
        <is>
          <t>A 41759-2022</t>
        </is>
      </c>
      <c r="B5303" s="1" t="n">
        <v>44827</v>
      </c>
      <c r="C5303" s="1" t="n">
        <v>45182</v>
      </c>
      <c r="D5303" t="inlineStr">
        <is>
          <t>JÄMTLANDS LÄN</t>
        </is>
      </c>
      <c r="E5303" t="inlineStr">
        <is>
          <t>HÄRJEDALEN</t>
        </is>
      </c>
      <c r="G5303" t="n">
        <v>20</v>
      </c>
      <c r="H5303" t="n">
        <v>0</v>
      </c>
      <c r="I5303" t="n">
        <v>0</v>
      </c>
      <c r="J5303" t="n">
        <v>0</v>
      </c>
      <c r="K5303" t="n">
        <v>0</v>
      </c>
      <c r="L5303" t="n">
        <v>0</v>
      </c>
      <c r="M5303" t="n">
        <v>0</v>
      </c>
      <c r="N5303" t="n">
        <v>0</v>
      </c>
      <c r="O5303" t="n">
        <v>0</v>
      </c>
      <c r="P5303" t="n">
        <v>0</v>
      </c>
      <c r="Q5303" t="n">
        <v>0</v>
      </c>
      <c r="R5303" s="2" t="inlineStr"/>
    </row>
    <row r="5304" ht="15" customHeight="1">
      <c r="A5304" t="inlineStr">
        <is>
          <t>A 41766-2022</t>
        </is>
      </c>
      <c r="B5304" s="1" t="n">
        <v>44827</v>
      </c>
      <c r="C5304" s="1" t="n">
        <v>45182</v>
      </c>
      <c r="D5304" t="inlineStr">
        <is>
          <t>JÄMTLANDS LÄN</t>
        </is>
      </c>
      <c r="E5304" t="inlineStr">
        <is>
          <t>HÄRJEDALEN</t>
        </is>
      </c>
      <c r="G5304" t="n">
        <v>12.5</v>
      </c>
      <c r="H5304" t="n">
        <v>0</v>
      </c>
      <c r="I5304" t="n">
        <v>0</v>
      </c>
      <c r="J5304" t="n">
        <v>0</v>
      </c>
      <c r="K5304" t="n">
        <v>0</v>
      </c>
      <c r="L5304" t="n">
        <v>0</v>
      </c>
      <c r="M5304" t="n">
        <v>0</v>
      </c>
      <c r="N5304" t="n">
        <v>0</v>
      </c>
      <c r="O5304" t="n">
        <v>0</v>
      </c>
      <c r="P5304" t="n">
        <v>0</v>
      </c>
      <c r="Q5304" t="n">
        <v>0</v>
      </c>
      <c r="R5304" s="2" t="inlineStr"/>
    </row>
    <row r="5305" ht="15" customHeight="1">
      <c r="A5305" t="inlineStr">
        <is>
          <t>A 41972-2022</t>
        </is>
      </c>
      <c r="B5305" s="1" t="n">
        <v>44830</v>
      </c>
      <c r="C5305" s="1" t="n">
        <v>45182</v>
      </c>
      <c r="D5305" t="inlineStr">
        <is>
          <t>JÄMTLANDS LÄN</t>
        </is>
      </c>
      <c r="E5305" t="inlineStr">
        <is>
          <t>STRÖMSUND</t>
        </is>
      </c>
      <c r="F5305" t="inlineStr">
        <is>
          <t>Sveaskog</t>
        </is>
      </c>
      <c r="G5305" t="n">
        <v>13</v>
      </c>
      <c r="H5305" t="n">
        <v>0</v>
      </c>
      <c r="I5305" t="n">
        <v>0</v>
      </c>
      <c r="J5305" t="n">
        <v>0</v>
      </c>
      <c r="K5305" t="n">
        <v>0</v>
      </c>
      <c r="L5305" t="n">
        <v>0</v>
      </c>
      <c r="M5305" t="n">
        <v>0</v>
      </c>
      <c r="N5305" t="n">
        <v>0</v>
      </c>
      <c r="O5305" t="n">
        <v>0</v>
      </c>
      <c r="P5305" t="n">
        <v>0</v>
      </c>
      <c r="Q5305" t="n">
        <v>0</v>
      </c>
      <c r="R5305" s="2" t="inlineStr"/>
    </row>
    <row r="5306" ht="15" customHeight="1">
      <c r="A5306" t="inlineStr">
        <is>
          <t>A 42101-2022</t>
        </is>
      </c>
      <c r="B5306" s="1" t="n">
        <v>44830</v>
      </c>
      <c r="C5306" s="1" t="n">
        <v>45182</v>
      </c>
      <c r="D5306" t="inlineStr">
        <is>
          <t>JÄMTLANDS LÄN</t>
        </is>
      </c>
      <c r="E5306" t="inlineStr">
        <is>
          <t>ÅRE</t>
        </is>
      </c>
      <c r="F5306" t="inlineStr">
        <is>
          <t>Bergvik skog öst AB</t>
        </is>
      </c>
      <c r="G5306" t="n">
        <v>8.6</v>
      </c>
      <c r="H5306" t="n">
        <v>0</v>
      </c>
      <c r="I5306" t="n">
        <v>0</v>
      </c>
      <c r="J5306" t="n">
        <v>0</v>
      </c>
      <c r="K5306" t="n">
        <v>0</v>
      </c>
      <c r="L5306" t="n">
        <v>0</v>
      </c>
      <c r="M5306" t="n">
        <v>0</v>
      </c>
      <c r="N5306" t="n">
        <v>0</v>
      </c>
      <c r="O5306" t="n">
        <v>0</v>
      </c>
      <c r="P5306" t="n">
        <v>0</v>
      </c>
      <c r="Q5306" t="n">
        <v>0</v>
      </c>
      <c r="R5306" s="2" t="inlineStr"/>
    </row>
    <row r="5307" ht="15" customHeight="1">
      <c r="A5307" t="inlineStr">
        <is>
          <t>A 42210-2022</t>
        </is>
      </c>
      <c r="B5307" s="1" t="n">
        <v>44830</v>
      </c>
      <c r="C5307" s="1" t="n">
        <v>45182</v>
      </c>
      <c r="D5307" t="inlineStr">
        <is>
          <t>JÄMTLANDS LÄN</t>
        </is>
      </c>
      <c r="E5307" t="inlineStr">
        <is>
          <t>KROKOM</t>
        </is>
      </c>
      <c r="F5307" t="inlineStr">
        <is>
          <t>Övriga Aktiebolag</t>
        </is>
      </c>
      <c r="G5307" t="n">
        <v>11.6</v>
      </c>
      <c r="H5307" t="n">
        <v>0</v>
      </c>
      <c r="I5307" t="n">
        <v>0</v>
      </c>
      <c r="J5307" t="n">
        <v>0</v>
      </c>
      <c r="K5307" t="n">
        <v>0</v>
      </c>
      <c r="L5307" t="n">
        <v>0</v>
      </c>
      <c r="M5307" t="n">
        <v>0</v>
      </c>
      <c r="N5307" t="n">
        <v>0</v>
      </c>
      <c r="O5307" t="n">
        <v>0</v>
      </c>
      <c r="P5307" t="n">
        <v>0</v>
      </c>
      <c r="Q5307" t="n">
        <v>0</v>
      </c>
      <c r="R5307" s="2" t="inlineStr"/>
    </row>
    <row r="5308" ht="15" customHeight="1">
      <c r="A5308" t="inlineStr">
        <is>
          <t>A 42136-2022</t>
        </is>
      </c>
      <c r="B5308" s="1" t="n">
        <v>44830</v>
      </c>
      <c r="C5308" s="1" t="n">
        <v>45182</v>
      </c>
      <c r="D5308" t="inlineStr">
        <is>
          <t>JÄMTLANDS LÄN</t>
        </is>
      </c>
      <c r="E5308" t="inlineStr">
        <is>
          <t>ÅRE</t>
        </is>
      </c>
      <c r="F5308" t="inlineStr">
        <is>
          <t>Bergvik skog öst AB</t>
        </is>
      </c>
      <c r="G5308" t="n">
        <v>3.1</v>
      </c>
      <c r="H5308" t="n">
        <v>0</v>
      </c>
      <c r="I5308" t="n">
        <v>0</v>
      </c>
      <c r="J5308" t="n">
        <v>0</v>
      </c>
      <c r="K5308" t="n">
        <v>0</v>
      </c>
      <c r="L5308" t="n">
        <v>0</v>
      </c>
      <c r="M5308" t="n">
        <v>0</v>
      </c>
      <c r="N5308" t="n">
        <v>0</v>
      </c>
      <c r="O5308" t="n">
        <v>0</v>
      </c>
      <c r="P5308" t="n">
        <v>0</v>
      </c>
      <c r="Q5308" t="n">
        <v>0</v>
      </c>
      <c r="R5308" s="2" t="inlineStr"/>
    </row>
    <row r="5309" ht="15" customHeight="1">
      <c r="A5309" t="inlineStr">
        <is>
          <t>A 42237-2022</t>
        </is>
      </c>
      <c r="B5309" s="1" t="n">
        <v>44830</v>
      </c>
      <c r="C5309" s="1" t="n">
        <v>45182</v>
      </c>
      <c r="D5309" t="inlineStr">
        <is>
          <t>JÄMTLANDS LÄN</t>
        </is>
      </c>
      <c r="E5309" t="inlineStr">
        <is>
          <t>STRÖMSUND</t>
        </is>
      </c>
      <c r="G5309" t="n">
        <v>3.7</v>
      </c>
      <c r="H5309" t="n">
        <v>0</v>
      </c>
      <c r="I5309" t="n">
        <v>0</v>
      </c>
      <c r="J5309" t="n">
        <v>0</v>
      </c>
      <c r="K5309" t="n">
        <v>0</v>
      </c>
      <c r="L5309" t="n">
        <v>0</v>
      </c>
      <c r="M5309" t="n">
        <v>0</v>
      </c>
      <c r="N5309" t="n">
        <v>0</v>
      </c>
      <c r="O5309" t="n">
        <v>0</v>
      </c>
      <c r="P5309" t="n">
        <v>0</v>
      </c>
      <c r="Q5309" t="n">
        <v>0</v>
      </c>
      <c r="R5309" s="2" t="inlineStr"/>
    </row>
    <row r="5310" ht="15" customHeight="1">
      <c r="A5310" t="inlineStr">
        <is>
          <t>A 42267-2022</t>
        </is>
      </c>
      <c r="B5310" s="1" t="n">
        <v>44830</v>
      </c>
      <c r="C5310" s="1" t="n">
        <v>45182</v>
      </c>
      <c r="D5310" t="inlineStr">
        <is>
          <t>JÄMTLANDS LÄN</t>
        </is>
      </c>
      <c r="E5310" t="inlineStr">
        <is>
          <t>RAGUNDA</t>
        </is>
      </c>
      <c r="F5310" t="inlineStr">
        <is>
          <t>SCA</t>
        </is>
      </c>
      <c r="G5310" t="n">
        <v>2</v>
      </c>
      <c r="H5310" t="n">
        <v>0</v>
      </c>
      <c r="I5310" t="n">
        <v>0</v>
      </c>
      <c r="J5310" t="n">
        <v>0</v>
      </c>
      <c r="K5310" t="n">
        <v>0</v>
      </c>
      <c r="L5310" t="n">
        <v>0</v>
      </c>
      <c r="M5310" t="n">
        <v>0</v>
      </c>
      <c r="N5310" t="n">
        <v>0</v>
      </c>
      <c r="O5310" t="n">
        <v>0</v>
      </c>
      <c r="P5310" t="n">
        <v>0</v>
      </c>
      <c r="Q5310" t="n">
        <v>0</v>
      </c>
      <c r="R5310" s="2" t="inlineStr"/>
    </row>
    <row r="5311" ht="15" customHeight="1">
      <c r="A5311" t="inlineStr">
        <is>
          <t>A 42290-2022</t>
        </is>
      </c>
      <c r="B5311" s="1" t="n">
        <v>44830</v>
      </c>
      <c r="C5311" s="1" t="n">
        <v>45182</v>
      </c>
      <c r="D5311" t="inlineStr">
        <is>
          <t>JÄMTLANDS LÄN</t>
        </is>
      </c>
      <c r="E5311" t="inlineStr">
        <is>
          <t>BRÄCKE</t>
        </is>
      </c>
      <c r="F5311" t="inlineStr">
        <is>
          <t>SCA</t>
        </is>
      </c>
      <c r="G5311" t="n">
        <v>5.4</v>
      </c>
      <c r="H5311" t="n">
        <v>0</v>
      </c>
      <c r="I5311" t="n">
        <v>0</v>
      </c>
      <c r="J5311" t="n">
        <v>0</v>
      </c>
      <c r="K5311" t="n">
        <v>0</v>
      </c>
      <c r="L5311" t="n">
        <v>0</v>
      </c>
      <c r="M5311" t="n">
        <v>0</v>
      </c>
      <c r="N5311" t="n">
        <v>0</v>
      </c>
      <c r="O5311" t="n">
        <v>0</v>
      </c>
      <c r="P5311" t="n">
        <v>0</v>
      </c>
      <c r="Q5311" t="n">
        <v>0</v>
      </c>
      <c r="R5311" s="2" t="inlineStr"/>
    </row>
    <row r="5312" ht="15" customHeight="1">
      <c r="A5312" t="inlineStr">
        <is>
          <t>A 42288-2022</t>
        </is>
      </c>
      <c r="B5312" s="1" t="n">
        <v>44830</v>
      </c>
      <c r="C5312" s="1" t="n">
        <v>45182</v>
      </c>
      <c r="D5312" t="inlineStr">
        <is>
          <t>JÄMTLANDS LÄN</t>
        </is>
      </c>
      <c r="E5312" t="inlineStr">
        <is>
          <t>BRÄCKE</t>
        </is>
      </c>
      <c r="F5312" t="inlineStr">
        <is>
          <t>SCA</t>
        </is>
      </c>
      <c r="G5312" t="n">
        <v>1.9</v>
      </c>
      <c r="H5312" t="n">
        <v>0</v>
      </c>
      <c r="I5312" t="n">
        <v>0</v>
      </c>
      <c r="J5312" t="n">
        <v>0</v>
      </c>
      <c r="K5312" t="n">
        <v>0</v>
      </c>
      <c r="L5312" t="n">
        <v>0</v>
      </c>
      <c r="M5312" t="n">
        <v>0</v>
      </c>
      <c r="N5312" t="n">
        <v>0</v>
      </c>
      <c r="O5312" t="n">
        <v>0</v>
      </c>
      <c r="P5312" t="n">
        <v>0</v>
      </c>
      <c r="Q5312" t="n">
        <v>0</v>
      </c>
      <c r="R5312" s="2" t="inlineStr"/>
    </row>
    <row r="5313" ht="15" customHeight="1">
      <c r="A5313" t="inlineStr">
        <is>
          <t>A 42576-2022</t>
        </is>
      </c>
      <c r="B5313" s="1" t="n">
        <v>44831</v>
      </c>
      <c r="C5313" s="1" t="n">
        <v>45182</v>
      </c>
      <c r="D5313" t="inlineStr">
        <is>
          <t>JÄMTLANDS LÄN</t>
        </is>
      </c>
      <c r="E5313" t="inlineStr">
        <is>
          <t>HÄRJEDALEN</t>
        </is>
      </c>
      <c r="F5313" t="inlineStr">
        <is>
          <t>Sveaskog</t>
        </is>
      </c>
      <c r="G5313" t="n">
        <v>24.4</v>
      </c>
      <c r="H5313" t="n">
        <v>0</v>
      </c>
      <c r="I5313" t="n">
        <v>0</v>
      </c>
      <c r="J5313" t="n">
        <v>0</v>
      </c>
      <c r="K5313" t="n">
        <v>0</v>
      </c>
      <c r="L5313" t="n">
        <v>0</v>
      </c>
      <c r="M5313" t="n">
        <v>0</v>
      </c>
      <c r="N5313" t="n">
        <v>0</v>
      </c>
      <c r="O5313" t="n">
        <v>0</v>
      </c>
      <c r="P5313" t="n">
        <v>0</v>
      </c>
      <c r="Q5313" t="n">
        <v>0</v>
      </c>
      <c r="R5313" s="2" t="inlineStr"/>
    </row>
    <row r="5314" ht="15" customHeight="1">
      <c r="A5314" t="inlineStr">
        <is>
          <t>A 42655-2022</t>
        </is>
      </c>
      <c r="B5314" s="1" t="n">
        <v>44831</v>
      </c>
      <c r="C5314" s="1" t="n">
        <v>45182</v>
      </c>
      <c r="D5314" t="inlineStr">
        <is>
          <t>JÄMTLANDS LÄN</t>
        </is>
      </c>
      <c r="E5314" t="inlineStr">
        <is>
          <t>RAGUNDA</t>
        </is>
      </c>
      <c r="F5314" t="inlineStr">
        <is>
          <t>Naturvårdsverket</t>
        </is>
      </c>
      <c r="G5314" t="n">
        <v>2</v>
      </c>
      <c r="H5314" t="n">
        <v>0</v>
      </c>
      <c r="I5314" t="n">
        <v>0</v>
      </c>
      <c r="J5314" t="n">
        <v>0</v>
      </c>
      <c r="K5314" t="n">
        <v>0</v>
      </c>
      <c r="L5314" t="n">
        <v>0</v>
      </c>
      <c r="M5314" t="n">
        <v>0</v>
      </c>
      <c r="N5314" t="n">
        <v>0</v>
      </c>
      <c r="O5314" t="n">
        <v>0</v>
      </c>
      <c r="P5314" t="n">
        <v>0</v>
      </c>
      <c r="Q5314" t="n">
        <v>0</v>
      </c>
      <c r="R5314" s="2" t="inlineStr"/>
    </row>
    <row r="5315" ht="15" customHeight="1">
      <c r="A5315" t="inlineStr">
        <is>
          <t>A 42580-2022</t>
        </is>
      </c>
      <c r="B5315" s="1" t="n">
        <v>44831</v>
      </c>
      <c r="C5315" s="1" t="n">
        <v>45182</v>
      </c>
      <c r="D5315" t="inlineStr">
        <is>
          <t>JÄMTLANDS LÄN</t>
        </is>
      </c>
      <c r="E5315" t="inlineStr">
        <is>
          <t>HÄRJEDALEN</t>
        </is>
      </c>
      <c r="G5315" t="n">
        <v>23.1</v>
      </c>
      <c r="H5315" t="n">
        <v>0</v>
      </c>
      <c r="I5315" t="n">
        <v>0</v>
      </c>
      <c r="J5315" t="n">
        <v>0</v>
      </c>
      <c r="K5315" t="n">
        <v>0</v>
      </c>
      <c r="L5315" t="n">
        <v>0</v>
      </c>
      <c r="M5315" t="n">
        <v>0</v>
      </c>
      <c r="N5315" t="n">
        <v>0</v>
      </c>
      <c r="O5315" t="n">
        <v>0</v>
      </c>
      <c r="P5315" t="n">
        <v>0</v>
      </c>
      <c r="Q5315" t="n">
        <v>0</v>
      </c>
      <c r="R5315" s="2" t="inlineStr"/>
    </row>
    <row r="5316" ht="15" customHeight="1">
      <c r="A5316" t="inlineStr">
        <is>
          <t>A 42644-2022</t>
        </is>
      </c>
      <c r="B5316" s="1" t="n">
        <v>44831</v>
      </c>
      <c r="C5316" s="1" t="n">
        <v>45182</v>
      </c>
      <c r="D5316" t="inlineStr">
        <is>
          <t>JÄMTLANDS LÄN</t>
        </is>
      </c>
      <c r="E5316" t="inlineStr">
        <is>
          <t>RAGUNDA</t>
        </is>
      </c>
      <c r="F5316" t="inlineStr">
        <is>
          <t>SCA</t>
        </is>
      </c>
      <c r="G5316" t="n">
        <v>2</v>
      </c>
      <c r="H5316" t="n">
        <v>0</v>
      </c>
      <c r="I5316" t="n">
        <v>0</v>
      </c>
      <c r="J5316" t="n">
        <v>0</v>
      </c>
      <c r="K5316" t="n">
        <v>0</v>
      </c>
      <c r="L5316" t="n">
        <v>0</v>
      </c>
      <c r="M5316" t="n">
        <v>0</v>
      </c>
      <c r="N5316" t="n">
        <v>0</v>
      </c>
      <c r="O5316" t="n">
        <v>0</v>
      </c>
      <c r="P5316" t="n">
        <v>0</v>
      </c>
      <c r="Q5316" t="n">
        <v>0</v>
      </c>
      <c r="R5316" s="2" t="inlineStr"/>
    </row>
    <row r="5317" ht="15" customHeight="1">
      <c r="A5317" t="inlineStr">
        <is>
          <t>A 42656-2022</t>
        </is>
      </c>
      <c r="B5317" s="1" t="n">
        <v>44831</v>
      </c>
      <c r="C5317" s="1" t="n">
        <v>45182</v>
      </c>
      <c r="D5317" t="inlineStr">
        <is>
          <t>JÄMTLANDS LÄN</t>
        </is>
      </c>
      <c r="E5317" t="inlineStr">
        <is>
          <t>BRÄCKE</t>
        </is>
      </c>
      <c r="F5317" t="inlineStr">
        <is>
          <t>SCA</t>
        </is>
      </c>
      <c r="G5317" t="n">
        <v>3.6</v>
      </c>
      <c r="H5317" t="n">
        <v>0</v>
      </c>
      <c r="I5317" t="n">
        <v>0</v>
      </c>
      <c r="J5317" t="n">
        <v>0</v>
      </c>
      <c r="K5317" t="n">
        <v>0</v>
      </c>
      <c r="L5317" t="n">
        <v>0</v>
      </c>
      <c r="M5317" t="n">
        <v>0</v>
      </c>
      <c r="N5317" t="n">
        <v>0</v>
      </c>
      <c r="O5317" t="n">
        <v>0</v>
      </c>
      <c r="P5317" t="n">
        <v>0</v>
      </c>
      <c r="Q5317" t="n">
        <v>0</v>
      </c>
      <c r="R5317" s="2" t="inlineStr"/>
    </row>
    <row r="5318" ht="15" customHeight="1">
      <c r="A5318" t="inlineStr">
        <is>
          <t>A 42673-2022</t>
        </is>
      </c>
      <c r="B5318" s="1" t="n">
        <v>44832</v>
      </c>
      <c r="C5318" s="1" t="n">
        <v>45182</v>
      </c>
      <c r="D5318" t="inlineStr">
        <is>
          <t>JÄMTLANDS LÄN</t>
        </is>
      </c>
      <c r="E5318" t="inlineStr">
        <is>
          <t>HÄRJEDALEN</t>
        </is>
      </c>
      <c r="F5318" t="inlineStr">
        <is>
          <t>Bergvik skog väst AB</t>
        </is>
      </c>
      <c r="G5318" t="n">
        <v>18.6</v>
      </c>
      <c r="H5318" t="n">
        <v>0</v>
      </c>
      <c r="I5318" t="n">
        <v>0</v>
      </c>
      <c r="J5318" t="n">
        <v>0</v>
      </c>
      <c r="K5318" t="n">
        <v>0</v>
      </c>
      <c r="L5318" t="n">
        <v>0</v>
      </c>
      <c r="M5318" t="n">
        <v>0</v>
      </c>
      <c r="N5318" t="n">
        <v>0</v>
      </c>
      <c r="O5318" t="n">
        <v>0</v>
      </c>
      <c r="P5318" t="n">
        <v>0</v>
      </c>
      <c r="Q5318" t="n">
        <v>0</v>
      </c>
      <c r="R5318" s="2" t="inlineStr"/>
    </row>
    <row r="5319" ht="15" customHeight="1">
      <c r="A5319" t="inlineStr">
        <is>
          <t>A 42806-2022</t>
        </is>
      </c>
      <c r="B5319" s="1" t="n">
        <v>44832</v>
      </c>
      <c r="C5319" s="1" t="n">
        <v>45182</v>
      </c>
      <c r="D5319" t="inlineStr">
        <is>
          <t>JÄMTLANDS LÄN</t>
        </is>
      </c>
      <c r="E5319" t="inlineStr">
        <is>
          <t>STRÖMSUND</t>
        </is>
      </c>
      <c r="G5319" t="n">
        <v>4.9</v>
      </c>
      <c r="H5319" t="n">
        <v>0</v>
      </c>
      <c r="I5319" t="n">
        <v>0</v>
      </c>
      <c r="J5319" t="n">
        <v>0</v>
      </c>
      <c r="K5319" t="n">
        <v>0</v>
      </c>
      <c r="L5319" t="n">
        <v>0</v>
      </c>
      <c r="M5319" t="n">
        <v>0</v>
      </c>
      <c r="N5319" t="n">
        <v>0</v>
      </c>
      <c r="O5319" t="n">
        <v>0</v>
      </c>
      <c r="P5319" t="n">
        <v>0</v>
      </c>
      <c r="Q5319" t="n">
        <v>0</v>
      </c>
      <c r="R5319" s="2" t="inlineStr"/>
    </row>
    <row r="5320" ht="15" customHeight="1">
      <c r="A5320" t="inlineStr">
        <is>
          <t>A 42893-2022</t>
        </is>
      </c>
      <c r="B5320" s="1" t="n">
        <v>44832</v>
      </c>
      <c r="C5320" s="1" t="n">
        <v>45182</v>
      </c>
      <c r="D5320" t="inlineStr">
        <is>
          <t>JÄMTLANDS LÄN</t>
        </is>
      </c>
      <c r="E5320" t="inlineStr">
        <is>
          <t>RAGUNDA</t>
        </is>
      </c>
      <c r="F5320" t="inlineStr">
        <is>
          <t>SCA</t>
        </is>
      </c>
      <c r="G5320" t="n">
        <v>28.4</v>
      </c>
      <c r="H5320" t="n">
        <v>0</v>
      </c>
      <c r="I5320" t="n">
        <v>0</v>
      </c>
      <c r="J5320" t="n">
        <v>0</v>
      </c>
      <c r="K5320" t="n">
        <v>0</v>
      </c>
      <c r="L5320" t="n">
        <v>0</v>
      </c>
      <c r="M5320" t="n">
        <v>0</v>
      </c>
      <c r="N5320" t="n">
        <v>0</v>
      </c>
      <c r="O5320" t="n">
        <v>0</v>
      </c>
      <c r="P5320" t="n">
        <v>0</v>
      </c>
      <c r="Q5320" t="n">
        <v>0</v>
      </c>
      <c r="R5320" s="2" t="inlineStr"/>
    </row>
    <row r="5321" ht="15" customHeight="1">
      <c r="A5321" t="inlineStr">
        <is>
          <t>A 42902-2022</t>
        </is>
      </c>
      <c r="B5321" s="1" t="n">
        <v>44832</v>
      </c>
      <c r="C5321" s="1" t="n">
        <v>45182</v>
      </c>
      <c r="D5321" t="inlineStr">
        <is>
          <t>JÄMTLANDS LÄN</t>
        </is>
      </c>
      <c r="E5321" t="inlineStr">
        <is>
          <t>STRÖMSUND</t>
        </is>
      </c>
      <c r="F5321" t="inlineStr">
        <is>
          <t>SCA</t>
        </is>
      </c>
      <c r="G5321" t="n">
        <v>0.7</v>
      </c>
      <c r="H5321" t="n">
        <v>0</v>
      </c>
      <c r="I5321" t="n">
        <v>0</v>
      </c>
      <c r="J5321" t="n">
        <v>0</v>
      </c>
      <c r="K5321" t="n">
        <v>0</v>
      </c>
      <c r="L5321" t="n">
        <v>0</v>
      </c>
      <c r="M5321" t="n">
        <v>0</v>
      </c>
      <c r="N5321" t="n">
        <v>0</v>
      </c>
      <c r="O5321" t="n">
        <v>0</v>
      </c>
      <c r="P5321" t="n">
        <v>0</v>
      </c>
      <c r="Q5321" t="n">
        <v>0</v>
      </c>
      <c r="R5321" s="2" t="inlineStr"/>
    </row>
    <row r="5322" ht="15" customHeight="1">
      <c r="A5322" t="inlineStr">
        <is>
          <t>A 42790-2022</t>
        </is>
      </c>
      <c r="B5322" s="1" t="n">
        <v>44832</v>
      </c>
      <c r="C5322" s="1" t="n">
        <v>45182</v>
      </c>
      <c r="D5322" t="inlineStr">
        <is>
          <t>JÄMTLANDS LÄN</t>
        </is>
      </c>
      <c r="E5322" t="inlineStr">
        <is>
          <t>STRÖMSUND</t>
        </is>
      </c>
      <c r="G5322" t="n">
        <v>2.5</v>
      </c>
      <c r="H5322" t="n">
        <v>0</v>
      </c>
      <c r="I5322" t="n">
        <v>0</v>
      </c>
      <c r="J5322" t="n">
        <v>0</v>
      </c>
      <c r="K5322" t="n">
        <v>0</v>
      </c>
      <c r="L5322" t="n">
        <v>0</v>
      </c>
      <c r="M5322" t="n">
        <v>0</v>
      </c>
      <c r="N5322" t="n">
        <v>0</v>
      </c>
      <c r="O5322" t="n">
        <v>0</v>
      </c>
      <c r="P5322" t="n">
        <v>0</v>
      </c>
      <c r="Q5322" t="n">
        <v>0</v>
      </c>
      <c r="R5322" s="2" t="inlineStr"/>
    </row>
    <row r="5323" ht="15" customHeight="1">
      <c r="A5323" t="inlineStr">
        <is>
          <t>A 42892-2022</t>
        </is>
      </c>
      <c r="B5323" s="1" t="n">
        <v>44832</v>
      </c>
      <c r="C5323" s="1" t="n">
        <v>45182</v>
      </c>
      <c r="D5323" t="inlineStr">
        <is>
          <t>JÄMTLANDS LÄN</t>
        </is>
      </c>
      <c r="E5323" t="inlineStr">
        <is>
          <t>RAGUNDA</t>
        </is>
      </c>
      <c r="F5323" t="inlineStr">
        <is>
          <t>SCA</t>
        </is>
      </c>
      <c r="G5323" t="n">
        <v>84</v>
      </c>
      <c r="H5323" t="n">
        <v>0</v>
      </c>
      <c r="I5323" t="n">
        <v>0</v>
      </c>
      <c r="J5323" t="n">
        <v>0</v>
      </c>
      <c r="K5323" t="n">
        <v>0</v>
      </c>
      <c r="L5323" t="n">
        <v>0</v>
      </c>
      <c r="M5323" t="n">
        <v>0</v>
      </c>
      <c r="N5323" t="n">
        <v>0</v>
      </c>
      <c r="O5323" t="n">
        <v>0</v>
      </c>
      <c r="P5323" t="n">
        <v>0</v>
      </c>
      <c r="Q5323" t="n">
        <v>0</v>
      </c>
      <c r="R5323" s="2" t="inlineStr"/>
    </row>
    <row r="5324" ht="15" customHeight="1">
      <c r="A5324" t="inlineStr">
        <is>
          <t>A 42901-2022</t>
        </is>
      </c>
      <c r="B5324" s="1" t="n">
        <v>44832</v>
      </c>
      <c r="C5324" s="1" t="n">
        <v>45182</v>
      </c>
      <c r="D5324" t="inlineStr">
        <is>
          <t>JÄMTLANDS LÄN</t>
        </is>
      </c>
      <c r="E5324" t="inlineStr">
        <is>
          <t>RAGUNDA</t>
        </is>
      </c>
      <c r="F5324" t="inlineStr">
        <is>
          <t>SCA</t>
        </is>
      </c>
      <c r="G5324" t="n">
        <v>1.7</v>
      </c>
      <c r="H5324" t="n">
        <v>0</v>
      </c>
      <c r="I5324" t="n">
        <v>0</v>
      </c>
      <c r="J5324" t="n">
        <v>0</v>
      </c>
      <c r="K5324" t="n">
        <v>0</v>
      </c>
      <c r="L5324" t="n">
        <v>0</v>
      </c>
      <c r="M5324" t="n">
        <v>0</v>
      </c>
      <c r="N5324" t="n">
        <v>0</v>
      </c>
      <c r="O5324" t="n">
        <v>0</v>
      </c>
      <c r="P5324" t="n">
        <v>0</v>
      </c>
      <c r="Q5324" t="n">
        <v>0</v>
      </c>
      <c r="R5324" s="2" t="inlineStr"/>
    </row>
    <row r="5325" ht="15" customHeight="1">
      <c r="A5325" t="inlineStr">
        <is>
          <t>A 42770-2022</t>
        </is>
      </c>
      <c r="B5325" s="1" t="n">
        <v>44832</v>
      </c>
      <c r="C5325" s="1" t="n">
        <v>45182</v>
      </c>
      <c r="D5325" t="inlineStr">
        <is>
          <t>JÄMTLANDS LÄN</t>
        </is>
      </c>
      <c r="E5325" t="inlineStr">
        <is>
          <t>STRÖMSUND</t>
        </is>
      </c>
      <c r="G5325" t="n">
        <v>4.4</v>
      </c>
      <c r="H5325" t="n">
        <v>0</v>
      </c>
      <c r="I5325" t="n">
        <v>0</v>
      </c>
      <c r="J5325" t="n">
        <v>0</v>
      </c>
      <c r="K5325" t="n">
        <v>0</v>
      </c>
      <c r="L5325" t="n">
        <v>0</v>
      </c>
      <c r="M5325" t="n">
        <v>0</v>
      </c>
      <c r="N5325" t="n">
        <v>0</v>
      </c>
      <c r="O5325" t="n">
        <v>0</v>
      </c>
      <c r="P5325" t="n">
        <v>0</v>
      </c>
      <c r="Q5325" t="n">
        <v>0</v>
      </c>
      <c r="R5325" s="2" t="inlineStr"/>
    </row>
    <row r="5326" ht="15" customHeight="1">
      <c r="A5326" t="inlineStr">
        <is>
          <t>A 42896-2022</t>
        </is>
      </c>
      <c r="B5326" s="1" t="n">
        <v>44832</v>
      </c>
      <c r="C5326" s="1" t="n">
        <v>45182</v>
      </c>
      <c r="D5326" t="inlineStr">
        <is>
          <t>JÄMTLANDS LÄN</t>
        </is>
      </c>
      <c r="E5326" t="inlineStr">
        <is>
          <t>STRÖMSUND</t>
        </is>
      </c>
      <c r="F5326" t="inlineStr">
        <is>
          <t>SCA</t>
        </is>
      </c>
      <c r="G5326" t="n">
        <v>7.2</v>
      </c>
      <c r="H5326" t="n">
        <v>0</v>
      </c>
      <c r="I5326" t="n">
        <v>0</v>
      </c>
      <c r="J5326" t="n">
        <v>0</v>
      </c>
      <c r="K5326" t="n">
        <v>0</v>
      </c>
      <c r="L5326" t="n">
        <v>0</v>
      </c>
      <c r="M5326" t="n">
        <v>0</v>
      </c>
      <c r="N5326" t="n">
        <v>0</v>
      </c>
      <c r="O5326" t="n">
        <v>0</v>
      </c>
      <c r="P5326" t="n">
        <v>0</v>
      </c>
      <c r="Q5326" t="n">
        <v>0</v>
      </c>
      <c r="R5326" s="2" t="inlineStr"/>
    </row>
    <row r="5327" ht="15" customHeight="1">
      <c r="A5327" t="inlineStr">
        <is>
          <t>A 43146-2022</t>
        </is>
      </c>
      <c r="B5327" s="1" t="n">
        <v>44833</v>
      </c>
      <c r="C5327" s="1" t="n">
        <v>45182</v>
      </c>
      <c r="D5327" t="inlineStr">
        <is>
          <t>JÄMTLANDS LÄN</t>
        </is>
      </c>
      <c r="E5327" t="inlineStr">
        <is>
          <t>STRÖMSUND</t>
        </is>
      </c>
      <c r="F5327" t="inlineStr">
        <is>
          <t>SCA</t>
        </is>
      </c>
      <c r="G5327" t="n">
        <v>33.3</v>
      </c>
      <c r="H5327" t="n">
        <v>0</v>
      </c>
      <c r="I5327" t="n">
        <v>0</v>
      </c>
      <c r="J5327" t="n">
        <v>0</v>
      </c>
      <c r="K5327" t="n">
        <v>0</v>
      </c>
      <c r="L5327" t="n">
        <v>0</v>
      </c>
      <c r="M5327" t="n">
        <v>0</v>
      </c>
      <c r="N5327" t="n">
        <v>0</v>
      </c>
      <c r="O5327" t="n">
        <v>0</v>
      </c>
      <c r="P5327" t="n">
        <v>0</v>
      </c>
      <c r="Q5327" t="n">
        <v>0</v>
      </c>
      <c r="R5327" s="2" t="inlineStr"/>
    </row>
    <row r="5328" ht="15" customHeight="1">
      <c r="A5328" t="inlineStr">
        <is>
          <t>A 43180-2022</t>
        </is>
      </c>
      <c r="B5328" s="1" t="n">
        <v>44833</v>
      </c>
      <c r="C5328" s="1" t="n">
        <v>45182</v>
      </c>
      <c r="D5328" t="inlineStr">
        <is>
          <t>JÄMTLANDS LÄN</t>
        </is>
      </c>
      <c r="E5328" t="inlineStr">
        <is>
          <t>ÅRE</t>
        </is>
      </c>
      <c r="G5328" t="n">
        <v>17.9</v>
      </c>
      <c r="H5328" t="n">
        <v>0</v>
      </c>
      <c r="I5328" t="n">
        <v>0</v>
      </c>
      <c r="J5328" t="n">
        <v>0</v>
      </c>
      <c r="K5328" t="n">
        <v>0</v>
      </c>
      <c r="L5328" t="n">
        <v>0</v>
      </c>
      <c r="M5328" t="n">
        <v>0</v>
      </c>
      <c r="N5328" t="n">
        <v>0</v>
      </c>
      <c r="O5328" t="n">
        <v>0</v>
      </c>
      <c r="P5328" t="n">
        <v>0</v>
      </c>
      <c r="Q5328" t="n">
        <v>0</v>
      </c>
      <c r="R5328" s="2" t="inlineStr"/>
    </row>
    <row r="5329" ht="15" customHeight="1">
      <c r="A5329" t="inlineStr">
        <is>
          <t>A 42980-2022</t>
        </is>
      </c>
      <c r="B5329" s="1" t="n">
        <v>44833</v>
      </c>
      <c r="C5329" s="1" t="n">
        <v>45182</v>
      </c>
      <c r="D5329" t="inlineStr">
        <is>
          <t>JÄMTLANDS LÄN</t>
        </is>
      </c>
      <c r="E5329" t="inlineStr">
        <is>
          <t>KROKOM</t>
        </is>
      </c>
      <c r="G5329" t="n">
        <v>7.7</v>
      </c>
      <c r="H5329" t="n">
        <v>0</v>
      </c>
      <c r="I5329" t="n">
        <v>0</v>
      </c>
      <c r="J5329" t="n">
        <v>0</v>
      </c>
      <c r="K5329" t="n">
        <v>0</v>
      </c>
      <c r="L5329" t="n">
        <v>0</v>
      </c>
      <c r="M5329" t="n">
        <v>0</v>
      </c>
      <c r="N5329" t="n">
        <v>0</v>
      </c>
      <c r="O5329" t="n">
        <v>0</v>
      </c>
      <c r="P5329" t="n">
        <v>0</v>
      </c>
      <c r="Q5329" t="n">
        <v>0</v>
      </c>
      <c r="R5329" s="2" t="inlineStr"/>
    </row>
    <row r="5330" ht="15" customHeight="1">
      <c r="A5330" t="inlineStr">
        <is>
          <t>A 42916-2022</t>
        </is>
      </c>
      <c r="B5330" s="1" t="n">
        <v>44833</v>
      </c>
      <c r="C5330" s="1" t="n">
        <v>45182</v>
      </c>
      <c r="D5330" t="inlineStr">
        <is>
          <t>JÄMTLANDS LÄN</t>
        </is>
      </c>
      <c r="E5330" t="inlineStr">
        <is>
          <t>HÄRJEDALEN</t>
        </is>
      </c>
      <c r="F5330" t="inlineStr">
        <is>
          <t>Bergvik skog väst AB</t>
        </is>
      </c>
      <c r="G5330" t="n">
        <v>8.6</v>
      </c>
      <c r="H5330" t="n">
        <v>0</v>
      </c>
      <c r="I5330" t="n">
        <v>0</v>
      </c>
      <c r="J5330" t="n">
        <v>0</v>
      </c>
      <c r="K5330" t="n">
        <v>0</v>
      </c>
      <c r="L5330" t="n">
        <v>0</v>
      </c>
      <c r="M5330" t="n">
        <v>0</v>
      </c>
      <c r="N5330" t="n">
        <v>0</v>
      </c>
      <c r="O5330" t="n">
        <v>0</v>
      </c>
      <c r="P5330" t="n">
        <v>0</v>
      </c>
      <c r="Q5330" t="n">
        <v>0</v>
      </c>
      <c r="R5330" s="2" t="inlineStr"/>
    </row>
    <row r="5331" ht="15" customHeight="1">
      <c r="A5331" t="inlineStr">
        <is>
          <t>A 43126-2022</t>
        </is>
      </c>
      <c r="B5331" s="1" t="n">
        <v>44833</v>
      </c>
      <c r="C5331" s="1" t="n">
        <v>45182</v>
      </c>
      <c r="D5331" t="inlineStr">
        <is>
          <t>JÄMTLANDS LÄN</t>
        </is>
      </c>
      <c r="E5331" t="inlineStr">
        <is>
          <t>BRÄCKE</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43165-2022</t>
        </is>
      </c>
      <c r="B5332" s="1" t="n">
        <v>44833</v>
      </c>
      <c r="C5332" s="1" t="n">
        <v>45182</v>
      </c>
      <c r="D5332" t="inlineStr">
        <is>
          <t>JÄMTLANDS LÄN</t>
        </is>
      </c>
      <c r="E5332" t="inlineStr">
        <is>
          <t>STRÖMSUND</t>
        </is>
      </c>
      <c r="F5332" t="inlineStr">
        <is>
          <t>SCA</t>
        </is>
      </c>
      <c r="G5332" t="n">
        <v>1.8</v>
      </c>
      <c r="H5332" t="n">
        <v>0</v>
      </c>
      <c r="I5332" t="n">
        <v>0</v>
      </c>
      <c r="J5332" t="n">
        <v>0</v>
      </c>
      <c r="K5332" t="n">
        <v>0</v>
      </c>
      <c r="L5332" t="n">
        <v>0</v>
      </c>
      <c r="M5332" t="n">
        <v>0</v>
      </c>
      <c r="N5332" t="n">
        <v>0</v>
      </c>
      <c r="O5332" t="n">
        <v>0</v>
      </c>
      <c r="P5332" t="n">
        <v>0</v>
      </c>
      <c r="Q5332" t="n">
        <v>0</v>
      </c>
      <c r="R5332" s="2" t="inlineStr"/>
    </row>
    <row r="5333" ht="15" customHeight="1">
      <c r="A5333" t="inlineStr">
        <is>
          <t>A 43293-2022</t>
        </is>
      </c>
      <c r="B5333" s="1" t="n">
        <v>44834</v>
      </c>
      <c r="C5333" s="1" t="n">
        <v>45182</v>
      </c>
      <c r="D5333" t="inlineStr">
        <is>
          <t>JÄMTLANDS LÄN</t>
        </is>
      </c>
      <c r="E5333" t="inlineStr">
        <is>
          <t>HÄRJEDALEN</t>
        </is>
      </c>
      <c r="F5333" t="inlineStr">
        <is>
          <t>Bergvik skog väst AB</t>
        </is>
      </c>
      <c r="G5333" t="n">
        <v>6.7</v>
      </c>
      <c r="H5333" t="n">
        <v>0</v>
      </c>
      <c r="I5333" t="n">
        <v>0</v>
      </c>
      <c r="J5333" t="n">
        <v>0</v>
      </c>
      <c r="K5333" t="n">
        <v>0</v>
      </c>
      <c r="L5333" t="n">
        <v>0</v>
      </c>
      <c r="M5333" t="n">
        <v>0</v>
      </c>
      <c r="N5333" t="n">
        <v>0</v>
      </c>
      <c r="O5333" t="n">
        <v>0</v>
      </c>
      <c r="P5333" t="n">
        <v>0</v>
      </c>
      <c r="Q5333" t="n">
        <v>0</v>
      </c>
      <c r="R5333" s="2" t="inlineStr"/>
    </row>
    <row r="5334" ht="15" customHeight="1">
      <c r="A5334" t="inlineStr">
        <is>
          <t>A 43324-2022</t>
        </is>
      </c>
      <c r="B5334" s="1" t="n">
        <v>44834</v>
      </c>
      <c r="C5334" s="1" t="n">
        <v>45182</v>
      </c>
      <c r="D5334" t="inlineStr">
        <is>
          <t>JÄMTLANDS LÄN</t>
        </is>
      </c>
      <c r="E5334" t="inlineStr">
        <is>
          <t>ÅRE</t>
        </is>
      </c>
      <c r="F5334" t="inlineStr">
        <is>
          <t>Bergvik skog öst AB</t>
        </is>
      </c>
      <c r="G5334" t="n">
        <v>8.699999999999999</v>
      </c>
      <c r="H5334" t="n">
        <v>0</v>
      </c>
      <c r="I5334" t="n">
        <v>0</v>
      </c>
      <c r="J5334" t="n">
        <v>0</v>
      </c>
      <c r="K5334" t="n">
        <v>0</v>
      </c>
      <c r="L5334" t="n">
        <v>0</v>
      </c>
      <c r="M5334" t="n">
        <v>0</v>
      </c>
      <c r="N5334" t="n">
        <v>0</v>
      </c>
      <c r="O5334" t="n">
        <v>0</v>
      </c>
      <c r="P5334" t="n">
        <v>0</v>
      </c>
      <c r="Q5334" t="n">
        <v>0</v>
      </c>
      <c r="R5334" s="2" t="inlineStr"/>
    </row>
    <row r="5335" ht="15" customHeight="1">
      <c r="A5335" t="inlineStr">
        <is>
          <t>A 43583-2022</t>
        </is>
      </c>
      <c r="B5335" s="1" t="n">
        <v>44834</v>
      </c>
      <c r="C5335" s="1" t="n">
        <v>45182</v>
      </c>
      <c r="D5335" t="inlineStr">
        <is>
          <t>JÄMTLANDS LÄN</t>
        </is>
      </c>
      <c r="E5335" t="inlineStr">
        <is>
          <t>ÅRE</t>
        </is>
      </c>
      <c r="G5335" t="n">
        <v>6.7</v>
      </c>
      <c r="H5335" t="n">
        <v>0</v>
      </c>
      <c r="I5335" t="n">
        <v>0</v>
      </c>
      <c r="J5335" t="n">
        <v>0</v>
      </c>
      <c r="K5335" t="n">
        <v>0</v>
      </c>
      <c r="L5335" t="n">
        <v>0</v>
      </c>
      <c r="M5335" t="n">
        <v>0</v>
      </c>
      <c r="N5335" t="n">
        <v>0</v>
      </c>
      <c r="O5335" t="n">
        <v>0</v>
      </c>
      <c r="P5335" t="n">
        <v>0</v>
      </c>
      <c r="Q5335" t="n">
        <v>0</v>
      </c>
      <c r="R5335" s="2" t="inlineStr"/>
    </row>
    <row r="5336" ht="15" customHeight="1">
      <c r="A5336" t="inlineStr">
        <is>
          <t>A 43298-2022</t>
        </is>
      </c>
      <c r="B5336" s="1" t="n">
        <v>44834</v>
      </c>
      <c r="C5336" s="1" t="n">
        <v>45182</v>
      </c>
      <c r="D5336" t="inlineStr">
        <is>
          <t>JÄMTLANDS LÄN</t>
        </is>
      </c>
      <c r="E5336" t="inlineStr">
        <is>
          <t>BERG</t>
        </is>
      </c>
      <c r="G5336" t="n">
        <v>2.1</v>
      </c>
      <c r="H5336" t="n">
        <v>0</v>
      </c>
      <c r="I5336" t="n">
        <v>0</v>
      </c>
      <c r="J5336" t="n">
        <v>0</v>
      </c>
      <c r="K5336" t="n">
        <v>0</v>
      </c>
      <c r="L5336" t="n">
        <v>0</v>
      </c>
      <c r="M5336" t="n">
        <v>0</v>
      </c>
      <c r="N5336" t="n">
        <v>0</v>
      </c>
      <c r="O5336" t="n">
        <v>0</v>
      </c>
      <c r="P5336" t="n">
        <v>0</v>
      </c>
      <c r="Q5336" t="n">
        <v>0</v>
      </c>
      <c r="R5336" s="2" t="inlineStr"/>
    </row>
    <row r="5337" ht="15" customHeight="1">
      <c r="A5337" t="inlineStr">
        <is>
          <t>A 43580-2022</t>
        </is>
      </c>
      <c r="B5337" s="1" t="n">
        <v>44834</v>
      </c>
      <c r="C5337" s="1" t="n">
        <v>45182</v>
      </c>
      <c r="D5337" t="inlineStr">
        <is>
          <t>JÄMTLANDS LÄN</t>
        </is>
      </c>
      <c r="E5337" t="inlineStr">
        <is>
          <t>ÅRE</t>
        </is>
      </c>
      <c r="G5337" t="n">
        <v>3</v>
      </c>
      <c r="H5337" t="n">
        <v>0</v>
      </c>
      <c r="I5337" t="n">
        <v>0</v>
      </c>
      <c r="J5337" t="n">
        <v>0</v>
      </c>
      <c r="K5337" t="n">
        <v>0</v>
      </c>
      <c r="L5337" t="n">
        <v>0</v>
      </c>
      <c r="M5337" t="n">
        <v>0</v>
      </c>
      <c r="N5337" t="n">
        <v>0</v>
      </c>
      <c r="O5337" t="n">
        <v>0</v>
      </c>
      <c r="P5337" t="n">
        <v>0</v>
      </c>
      <c r="Q5337" t="n">
        <v>0</v>
      </c>
      <c r="R5337" s="2" t="inlineStr"/>
    </row>
    <row r="5338" ht="15" customHeight="1">
      <c r="A5338" t="inlineStr">
        <is>
          <t>A 43607-2022</t>
        </is>
      </c>
      <c r="B5338" s="1" t="n">
        <v>44834</v>
      </c>
      <c r="C5338" s="1" t="n">
        <v>45182</v>
      </c>
      <c r="D5338" t="inlineStr">
        <is>
          <t>JÄMTLANDS LÄN</t>
        </is>
      </c>
      <c r="E5338" t="inlineStr">
        <is>
          <t>STRÖMSUND</t>
        </is>
      </c>
      <c r="G5338" t="n">
        <v>7</v>
      </c>
      <c r="H5338" t="n">
        <v>0</v>
      </c>
      <c r="I5338" t="n">
        <v>0</v>
      </c>
      <c r="J5338" t="n">
        <v>0</v>
      </c>
      <c r="K5338" t="n">
        <v>0</v>
      </c>
      <c r="L5338" t="n">
        <v>0</v>
      </c>
      <c r="M5338" t="n">
        <v>0</v>
      </c>
      <c r="N5338" t="n">
        <v>0</v>
      </c>
      <c r="O5338" t="n">
        <v>0</v>
      </c>
      <c r="P5338" t="n">
        <v>0</v>
      </c>
      <c r="Q5338" t="n">
        <v>0</v>
      </c>
      <c r="R5338" s="2" t="inlineStr"/>
    </row>
    <row r="5339" ht="15" customHeight="1">
      <c r="A5339" t="inlineStr">
        <is>
          <t>A 43296-2022</t>
        </is>
      </c>
      <c r="B5339" s="1" t="n">
        <v>44834</v>
      </c>
      <c r="C5339" s="1" t="n">
        <v>45182</v>
      </c>
      <c r="D5339" t="inlineStr">
        <is>
          <t>JÄMTLANDS LÄN</t>
        </is>
      </c>
      <c r="E5339" t="inlineStr">
        <is>
          <t>BERG</t>
        </is>
      </c>
      <c r="G5339" t="n">
        <v>3.7</v>
      </c>
      <c r="H5339" t="n">
        <v>0</v>
      </c>
      <c r="I5339" t="n">
        <v>0</v>
      </c>
      <c r="J5339" t="n">
        <v>0</v>
      </c>
      <c r="K5339" t="n">
        <v>0</v>
      </c>
      <c r="L5339" t="n">
        <v>0</v>
      </c>
      <c r="M5339" t="n">
        <v>0</v>
      </c>
      <c r="N5339" t="n">
        <v>0</v>
      </c>
      <c r="O5339" t="n">
        <v>0</v>
      </c>
      <c r="P5339" t="n">
        <v>0</v>
      </c>
      <c r="Q5339" t="n">
        <v>0</v>
      </c>
      <c r="R5339" s="2" t="inlineStr"/>
    </row>
    <row r="5340" ht="15" customHeight="1">
      <c r="A5340" t="inlineStr">
        <is>
          <t>A 43421-2022</t>
        </is>
      </c>
      <c r="B5340" s="1" t="n">
        <v>44834</v>
      </c>
      <c r="C5340" s="1" t="n">
        <v>45182</v>
      </c>
      <c r="D5340" t="inlineStr">
        <is>
          <t>JÄMTLANDS LÄN</t>
        </is>
      </c>
      <c r="E5340" t="inlineStr">
        <is>
          <t>BRÄCKE</t>
        </is>
      </c>
      <c r="F5340" t="inlineStr">
        <is>
          <t>SCA</t>
        </is>
      </c>
      <c r="G5340" t="n">
        <v>1.2</v>
      </c>
      <c r="H5340" t="n">
        <v>0</v>
      </c>
      <c r="I5340" t="n">
        <v>0</v>
      </c>
      <c r="J5340" t="n">
        <v>0</v>
      </c>
      <c r="K5340" t="n">
        <v>0</v>
      </c>
      <c r="L5340" t="n">
        <v>0</v>
      </c>
      <c r="M5340" t="n">
        <v>0</v>
      </c>
      <c r="N5340" t="n">
        <v>0</v>
      </c>
      <c r="O5340" t="n">
        <v>0</v>
      </c>
      <c r="P5340" t="n">
        <v>0</v>
      </c>
      <c r="Q5340" t="n">
        <v>0</v>
      </c>
      <c r="R5340" s="2" t="inlineStr"/>
    </row>
    <row r="5341" ht="15" customHeight="1">
      <c r="A5341" t="inlineStr">
        <is>
          <t>A 43432-2022</t>
        </is>
      </c>
      <c r="B5341" s="1" t="n">
        <v>44834</v>
      </c>
      <c r="C5341" s="1" t="n">
        <v>45182</v>
      </c>
      <c r="D5341" t="inlineStr">
        <is>
          <t>JÄMTLANDS LÄN</t>
        </is>
      </c>
      <c r="E5341" t="inlineStr">
        <is>
          <t>STRÖMSUND</t>
        </is>
      </c>
      <c r="F5341" t="inlineStr">
        <is>
          <t>SCA</t>
        </is>
      </c>
      <c r="G5341" t="n">
        <v>4</v>
      </c>
      <c r="H5341" t="n">
        <v>0</v>
      </c>
      <c r="I5341" t="n">
        <v>0</v>
      </c>
      <c r="J5341" t="n">
        <v>0</v>
      </c>
      <c r="K5341" t="n">
        <v>0</v>
      </c>
      <c r="L5341" t="n">
        <v>0</v>
      </c>
      <c r="M5341" t="n">
        <v>0</v>
      </c>
      <c r="N5341" t="n">
        <v>0</v>
      </c>
      <c r="O5341" t="n">
        <v>0</v>
      </c>
      <c r="P5341" t="n">
        <v>0</v>
      </c>
      <c r="Q5341" t="n">
        <v>0</v>
      </c>
      <c r="R5341" s="2" t="inlineStr"/>
    </row>
    <row r="5342" ht="15" customHeight="1">
      <c r="A5342" t="inlineStr">
        <is>
          <t>A 43622-2022</t>
        </is>
      </c>
      <c r="B5342" s="1" t="n">
        <v>44834</v>
      </c>
      <c r="C5342" s="1" t="n">
        <v>45182</v>
      </c>
      <c r="D5342" t="inlineStr">
        <is>
          <t>JÄMTLANDS LÄN</t>
        </is>
      </c>
      <c r="E5342" t="inlineStr">
        <is>
          <t>STRÖMSUND</t>
        </is>
      </c>
      <c r="G5342" t="n">
        <v>8.6</v>
      </c>
      <c r="H5342" t="n">
        <v>0</v>
      </c>
      <c r="I5342" t="n">
        <v>0</v>
      </c>
      <c r="J5342" t="n">
        <v>0</v>
      </c>
      <c r="K5342" t="n">
        <v>0</v>
      </c>
      <c r="L5342" t="n">
        <v>0</v>
      </c>
      <c r="M5342" t="n">
        <v>0</v>
      </c>
      <c r="N5342" t="n">
        <v>0</v>
      </c>
      <c r="O5342" t="n">
        <v>0</v>
      </c>
      <c r="P5342" t="n">
        <v>0</v>
      </c>
      <c r="Q5342" t="n">
        <v>0</v>
      </c>
      <c r="R5342" s="2" t="inlineStr"/>
    </row>
    <row r="5343" ht="15" customHeight="1">
      <c r="A5343" t="inlineStr">
        <is>
          <t>A 45969-2022</t>
        </is>
      </c>
      <c r="B5343" s="1" t="n">
        <v>44834</v>
      </c>
      <c r="C5343" s="1" t="n">
        <v>45182</v>
      </c>
      <c r="D5343" t="inlineStr">
        <is>
          <t>JÄMTLANDS LÄN</t>
        </is>
      </c>
      <c r="E5343" t="inlineStr">
        <is>
          <t>STRÖMSUND</t>
        </is>
      </c>
      <c r="G5343" t="n">
        <v>1.6</v>
      </c>
      <c r="H5343" t="n">
        <v>0</v>
      </c>
      <c r="I5343" t="n">
        <v>0</v>
      </c>
      <c r="J5343" t="n">
        <v>0</v>
      </c>
      <c r="K5343" t="n">
        <v>0</v>
      </c>
      <c r="L5343" t="n">
        <v>0</v>
      </c>
      <c r="M5343" t="n">
        <v>0</v>
      </c>
      <c r="N5343" t="n">
        <v>0</v>
      </c>
      <c r="O5343" t="n">
        <v>0</v>
      </c>
      <c r="P5343" t="n">
        <v>0</v>
      </c>
      <c r="Q5343" t="n">
        <v>0</v>
      </c>
      <c r="R5343" s="2" t="inlineStr"/>
    </row>
    <row r="5344" ht="15" customHeight="1">
      <c r="A5344" t="inlineStr">
        <is>
          <t>A 43445-2022</t>
        </is>
      </c>
      <c r="B5344" s="1" t="n">
        <v>44835</v>
      </c>
      <c r="C5344" s="1" t="n">
        <v>45182</v>
      </c>
      <c r="D5344" t="inlineStr">
        <is>
          <t>JÄMTLANDS LÄN</t>
        </is>
      </c>
      <c r="E5344" t="inlineStr">
        <is>
          <t>ÅRE</t>
        </is>
      </c>
      <c r="G5344" t="n">
        <v>6.7</v>
      </c>
      <c r="H5344" t="n">
        <v>0</v>
      </c>
      <c r="I5344" t="n">
        <v>0</v>
      </c>
      <c r="J5344" t="n">
        <v>0</v>
      </c>
      <c r="K5344" t="n">
        <v>0</v>
      </c>
      <c r="L5344" t="n">
        <v>0</v>
      </c>
      <c r="M5344" t="n">
        <v>0</v>
      </c>
      <c r="N5344" t="n">
        <v>0</v>
      </c>
      <c r="O5344" t="n">
        <v>0</v>
      </c>
      <c r="P5344" t="n">
        <v>0</v>
      </c>
      <c r="Q5344" t="n">
        <v>0</v>
      </c>
      <c r="R5344" s="2" t="inlineStr"/>
    </row>
    <row r="5345" ht="15" customHeight="1">
      <c r="A5345" t="inlineStr">
        <is>
          <t>A 43453-2022</t>
        </is>
      </c>
      <c r="B5345" s="1" t="n">
        <v>44835</v>
      </c>
      <c r="C5345" s="1" t="n">
        <v>45182</v>
      </c>
      <c r="D5345" t="inlineStr">
        <is>
          <t>JÄMTLANDS LÄN</t>
        </is>
      </c>
      <c r="E5345" t="inlineStr">
        <is>
          <t>STRÖMSUND</t>
        </is>
      </c>
      <c r="F5345" t="inlineStr">
        <is>
          <t>SCA</t>
        </is>
      </c>
      <c r="G5345" t="n">
        <v>10.9</v>
      </c>
      <c r="H5345" t="n">
        <v>0</v>
      </c>
      <c r="I5345" t="n">
        <v>0</v>
      </c>
      <c r="J5345" t="n">
        <v>0</v>
      </c>
      <c r="K5345" t="n">
        <v>0</v>
      </c>
      <c r="L5345" t="n">
        <v>0</v>
      </c>
      <c r="M5345" t="n">
        <v>0</v>
      </c>
      <c r="N5345" t="n">
        <v>0</v>
      </c>
      <c r="O5345" t="n">
        <v>0</v>
      </c>
      <c r="P5345" t="n">
        <v>0</v>
      </c>
      <c r="Q5345" t="n">
        <v>0</v>
      </c>
      <c r="R5345" s="2" t="inlineStr"/>
    </row>
    <row r="5346" ht="15" customHeight="1">
      <c r="A5346" t="inlineStr">
        <is>
          <t>A 43785-2022</t>
        </is>
      </c>
      <c r="B5346" s="1" t="n">
        <v>44837</v>
      </c>
      <c r="C5346" s="1" t="n">
        <v>45182</v>
      </c>
      <c r="D5346" t="inlineStr">
        <is>
          <t>JÄMTLANDS LÄN</t>
        </is>
      </c>
      <c r="E5346" t="inlineStr">
        <is>
          <t>BRÄCKE</t>
        </is>
      </c>
      <c r="F5346" t="inlineStr">
        <is>
          <t>SCA</t>
        </is>
      </c>
      <c r="G5346" t="n">
        <v>1.2</v>
      </c>
      <c r="H5346" t="n">
        <v>0</v>
      </c>
      <c r="I5346" t="n">
        <v>0</v>
      </c>
      <c r="J5346" t="n">
        <v>0</v>
      </c>
      <c r="K5346" t="n">
        <v>0</v>
      </c>
      <c r="L5346" t="n">
        <v>0</v>
      </c>
      <c r="M5346" t="n">
        <v>0</v>
      </c>
      <c r="N5346" t="n">
        <v>0</v>
      </c>
      <c r="O5346" t="n">
        <v>0</v>
      </c>
      <c r="P5346" t="n">
        <v>0</v>
      </c>
      <c r="Q5346" t="n">
        <v>0</v>
      </c>
      <c r="R5346" s="2" t="inlineStr"/>
    </row>
    <row r="5347" ht="15" customHeight="1">
      <c r="A5347" t="inlineStr">
        <is>
          <t>A 43790-2022</t>
        </is>
      </c>
      <c r="B5347" s="1" t="n">
        <v>44837</v>
      </c>
      <c r="C5347" s="1" t="n">
        <v>45182</v>
      </c>
      <c r="D5347" t="inlineStr">
        <is>
          <t>JÄMTLANDS LÄN</t>
        </is>
      </c>
      <c r="E5347" t="inlineStr">
        <is>
          <t>STRÖMSUND</t>
        </is>
      </c>
      <c r="F5347" t="inlineStr">
        <is>
          <t>SCA</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43794-2022</t>
        </is>
      </c>
      <c r="B5348" s="1" t="n">
        <v>44837</v>
      </c>
      <c r="C5348" s="1" t="n">
        <v>45182</v>
      </c>
      <c r="D5348" t="inlineStr">
        <is>
          <t>JÄMTLANDS LÄN</t>
        </is>
      </c>
      <c r="E5348" t="inlineStr">
        <is>
          <t>RAGUNDA</t>
        </is>
      </c>
      <c r="F5348" t="inlineStr">
        <is>
          <t>SCA</t>
        </is>
      </c>
      <c r="G5348" t="n">
        <v>1.8</v>
      </c>
      <c r="H5348" t="n">
        <v>0</v>
      </c>
      <c r="I5348" t="n">
        <v>0</v>
      </c>
      <c r="J5348" t="n">
        <v>0</v>
      </c>
      <c r="K5348" t="n">
        <v>0</v>
      </c>
      <c r="L5348" t="n">
        <v>0</v>
      </c>
      <c r="M5348" t="n">
        <v>0</v>
      </c>
      <c r="N5348" t="n">
        <v>0</v>
      </c>
      <c r="O5348" t="n">
        <v>0</v>
      </c>
      <c r="P5348" t="n">
        <v>0</v>
      </c>
      <c r="Q5348" t="n">
        <v>0</v>
      </c>
      <c r="R5348" s="2" t="inlineStr"/>
    </row>
    <row r="5349" ht="15" customHeight="1">
      <c r="A5349" t="inlineStr">
        <is>
          <t>A 43789-2022</t>
        </is>
      </c>
      <c r="B5349" s="1" t="n">
        <v>44837</v>
      </c>
      <c r="C5349" s="1" t="n">
        <v>45182</v>
      </c>
      <c r="D5349" t="inlineStr">
        <is>
          <t>JÄMTLANDS LÄN</t>
        </is>
      </c>
      <c r="E5349" t="inlineStr">
        <is>
          <t>BRÄCKE</t>
        </is>
      </c>
      <c r="F5349" t="inlineStr">
        <is>
          <t>SCA</t>
        </is>
      </c>
      <c r="G5349" t="n">
        <v>6.5</v>
      </c>
      <c r="H5349" t="n">
        <v>0</v>
      </c>
      <c r="I5349" t="n">
        <v>0</v>
      </c>
      <c r="J5349" t="n">
        <v>0</v>
      </c>
      <c r="K5349" t="n">
        <v>0</v>
      </c>
      <c r="L5349" t="n">
        <v>0</v>
      </c>
      <c r="M5349" t="n">
        <v>0</v>
      </c>
      <c r="N5349" t="n">
        <v>0</v>
      </c>
      <c r="O5349" t="n">
        <v>0</v>
      </c>
      <c r="P5349" t="n">
        <v>0</v>
      </c>
      <c r="Q5349" t="n">
        <v>0</v>
      </c>
      <c r="R5349" s="2" t="inlineStr"/>
    </row>
    <row r="5350" ht="15" customHeight="1">
      <c r="A5350" t="inlineStr">
        <is>
          <t>A 43793-2022</t>
        </is>
      </c>
      <c r="B5350" s="1" t="n">
        <v>44837</v>
      </c>
      <c r="C5350" s="1" t="n">
        <v>45182</v>
      </c>
      <c r="D5350" t="inlineStr">
        <is>
          <t>JÄMTLANDS LÄN</t>
        </is>
      </c>
      <c r="E5350" t="inlineStr">
        <is>
          <t>RAGUNDA</t>
        </is>
      </c>
      <c r="F5350" t="inlineStr">
        <is>
          <t>SCA</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44110-2022</t>
        </is>
      </c>
      <c r="B5351" s="1" t="n">
        <v>44837</v>
      </c>
      <c r="C5351" s="1" t="n">
        <v>45182</v>
      </c>
      <c r="D5351" t="inlineStr">
        <is>
          <t>JÄMTLANDS LÄN</t>
        </is>
      </c>
      <c r="E5351" t="inlineStr">
        <is>
          <t>BERG</t>
        </is>
      </c>
      <c r="G5351" t="n">
        <v>1.9</v>
      </c>
      <c r="H5351" t="n">
        <v>0</v>
      </c>
      <c r="I5351" t="n">
        <v>0</v>
      </c>
      <c r="J5351" t="n">
        <v>0</v>
      </c>
      <c r="K5351" t="n">
        <v>0</v>
      </c>
      <c r="L5351" t="n">
        <v>0</v>
      </c>
      <c r="M5351" t="n">
        <v>0</v>
      </c>
      <c r="N5351" t="n">
        <v>0</v>
      </c>
      <c r="O5351" t="n">
        <v>0</v>
      </c>
      <c r="P5351" t="n">
        <v>0</v>
      </c>
      <c r="Q5351" t="n">
        <v>0</v>
      </c>
      <c r="R5351" s="2" t="inlineStr"/>
    </row>
    <row r="5352" ht="15" customHeight="1">
      <c r="A5352" t="inlineStr">
        <is>
          <t>A 43825-2022</t>
        </is>
      </c>
      <c r="B5352" s="1" t="n">
        <v>44838</v>
      </c>
      <c r="C5352" s="1" t="n">
        <v>45182</v>
      </c>
      <c r="D5352" t="inlineStr">
        <is>
          <t>JÄMTLANDS LÄN</t>
        </is>
      </c>
      <c r="E5352" t="inlineStr">
        <is>
          <t>HÄRJEDALEN</t>
        </is>
      </c>
      <c r="F5352" t="inlineStr">
        <is>
          <t>Bergvik skog väst AB</t>
        </is>
      </c>
      <c r="G5352" t="n">
        <v>0.4</v>
      </c>
      <c r="H5352" t="n">
        <v>0</v>
      </c>
      <c r="I5352" t="n">
        <v>0</v>
      </c>
      <c r="J5352" t="n">
        <v>0</v>
      </c>
      <c r="K5352" t="n">
        <v>0</v>
      </c>
      <c r="L5352" t="n">
        <v>0</v>
      </c>
      <c r="M5352" t="n">
        <v>0</v>
      </c>
      <c r="N5352" t="n">
        <v>0</v>
      </c>
      <c r="O5352" t="n">
        <v>0</v>
      </c>
      <c r="P5352" t="n">
        <v>0</v>
      </c>
      <c r="Q5352" t="n">
        <v>0</v>
      </c>
      <c r="R5352" s="2" t="inlineStr"/>
    </row>
    <row r="5353" ht="15" customHeight="1">
      <c r="A5353" t="inlineStr">
        <is>
          <t>A 43947-2022</t>
        </is>
      </c>
      <c r="B5353" s="1" t="n">
        <v>44838</v>
      </c>
      <c r="C5353" s="1" t="n">
        <v>45182</v>
      </c>
      <c r="D5353" t="inlineStr">
        <is>
          <t>JÄMTLANDS LÄN</t>
        </is>
      </c>
      <c r="E5353" t="inlineStr">
        <is>
          <t>ÖSTERSUND</t>
        </is>
      </c>
      <c r="F5353" t="inlineStr">
        <is>
          <t>Övriga Aktiebolag</t>
        </is>
      </c>
      <c r="G5353" t="n">
        <v>15.7</v>
      </c>
      <c r="H5353" t="n">
        <v>0</v>
      </c>
      <c r="I5353" t="n">
        <v>0</v>
      </c>
      <c r="J5353" t="n">
        <v>0</v>
      </c>
      <c r="K5353" t="n">
        <v>0</v>
      </c>
      <c r="L5353" t="n">
        <v>0</v>
      </c>
      <c r="M5353" t="n">
        <v>0</v>
      </c>
      <c r="N5353" t="n">
        <v>0</v>
      </c>
      <c r="O5353" t="n">
        <v>0</v>
      </c>
      <c r="P5353" t="n">
        <v>0</v>
      </c>
      <c r="Q5353" t="n">
        <v>0</v>
      </c>
      <c r="R5353" s="2" t="inlineStr"/>
    </row>
    <row r="5354" ht="15" customHeight="1">
      <c r="A5354" t="inlineStr">
        <is>
          <t>A 43951-2022</t>
        </is>
      </c>
      <c r="B5354" s="1" t="n">
        <v>44838</v>
      </c>
      <c r="C5354" s="1" t="n">
        <v>45182</v>
      </c>
      <c r="D5354" t="inlineStr">
        <is>
          <t>JÄMTLANDS LÄN</t>
        </is>
      </c>
      <c r="E5354" t="inlineStr">
        <is>
          <t>ÖSTERSUND</t>
        </is>
      </c>
      <c r="F5354" t="inlineStr">
        <is>
          <t>Övriga Aktiebolag</t>
        </is>
      </c>
      <c r="G5354" t="n">
        <v>2.9</v>
      </c>
      <c r="H5354" t="n">
        <v>0</v>
      </c>
      <c r="I5354" t="n">
        <v>0</v>
      </c>
      <c r="J5354" t="n">
        <v>0</v>
      </c>
      <c r="K5354" t="n">
        <v>0</v>
      </c>
      <c r="L5354" t="n">
        <v>0</v>
      </c>
      <c r="M5354" t="n">
        <v>0</v>
      </c>
      <c r="N5354" t="n">
        <v>0</v>
      </c>
      <c r="O5354" t="n">
        <v>0</v>
      </c>
      <c r="P5354" t="n">
        <v>0</v>
      </c>
      <c r="Q5354" t="n">
        <v>0</v>
      </c>
      <c r="R5354" s="2" t="inlineStr"/>
    </row>
    <row r="5355" ht="15" customHeight="1">
      <c r="A5355" t="inlineStr">
        <is>
          <t>A 43935-2022</t>
        </is>
      </c>
      <c r="B5355" s="1" t="n">
        <v>44838</v>
      </c>
      <c r="C5355" s="1" t="n">
        <v>45182</v>
      </c>
      <c r="D5355" t="inlineStr">
        <is>
          <t>JÄMTLANDS LÄN</t>
        </is>
      </c>
      <c r="E5355" t="inlineStr">
        <is>
          <t>ÖSTERSUND</t>
        </is>
      </c>
      <c r="F5355" t="inlineStr">
        <is>
          <t>Övriga Aktiebolag</t>
        </is>
      </c>
      <c r="G5355" t="n">
        <v>19.2</v>
      </c>
      <c r="H5355" t="n">
        <v>0</v>
      </c>
      <c r="I5355" t="n">
        <v>0</v>
      </c>
      <c r="J5355" t="n">
        <v>0</v>
      </c>
      <c r="K5355" t="n">
        <v>0</v>
      </c>
      <c r="L5355" t="n">
        <v>0</v>
      </c>
      <c r="M5355" t="n">
        <v>0</v>
      </c>
      <c r="N5355" t="n">
        <v>0</v>
      </c>
      <c r="O5355" t="n">
        <v>0</v>
      </c>
      <c r="P5355" t="n">
        <v>0</v>
      </c>
      <c r="Q5355" t="n">
        <v>0</v>
      </c>
      <c r="R5355" s="2" t="inlineStr"/>
    </row>
    <row r="5356" ht="15" customHeight="1">
      <c r="A5356" t="inlineStr">
        <is>
          <t>A 44050-2022</t>
        </is>
      </c>
      <c r="B5356" s="1" t="n">
        <v>44838</v>
      </c>
      <c r="C5356" s="1" t="n">
        <v>45182</v>
      </c>
      <c r="D5356" t="inlineStr">
        <is>
          <t>JÄMTLANDS LÄN</t>
        </is>
      </c>
      <c r="E5356" t="inlineStr">
        <is>
          <t>RAGUNDA</t>
        </is>
      </c>
      <c r="F5356" t="inlineStr">
        <is>
          <t>SCA</t>
        </is>
      </c>
      <c r="G5356" t="n">
        <v>9.6</v>
      </c>
      <c r="H5356" t="n">
        <v>0</v>
      </c>
      <c r="I5356" t="n">
        <v>0</v>
      </c>
      <c r="J5356" t="n">
        <v>0</v>
      </c>
      <c r="K5356" t="n">
        <v>0</v>
      </c>
      <c r="L5356" t="n">
        <v>0</v>
      </c>
      <c r="M5356" t="n">
        <v>0</v>
      </c>
      <c r="N5356" t="n">
        <v>0</v>
      </c>
      <c r="O5356" t="n">
        <v>0</v>
      </c>
      <c r="P5356" t="n">
        <v>0</v>
      </c>
      <c r="Q5356" t="n">
        <v>0</v>
      </c>
      <c r="R5356" s="2" t="inlineStr"/>
    </row>
    <row r="5357" ht="15" customHeight="1">
      <c r="A5357" t="inlineStr">
        <is>
          <t>A 43833-2022</t>
        </is>
      </c>
      <c r="B5357" s="1" t="n">
        <v>44838</v>
      </c>
      <c r="C5357" s="1" t="n">
        <v>45182</v>
      </c>
      <c r="D5357" t="inlineStr">
        <is>
          <t>JÄMTLANDS LÄN</t>
        </is>
      </c>
      <c r="E5357" t="inlineStr">
        <is>
          <t>HÄRJEDALEN</t>
        </is>
      </c>
      <c r="G5357" t="n">
        <v>5.6</v>
      </c>
      <c r="H5357" t="n">
        <v>0</v>
      </c>
      <c r="I5357" t="n">
        <v>0</v>
      </c>
      <c r="J5357" t="n">
        <v>0</v>
      </c>
      <c r="K5357" t="n">
        <v>0</v>
      </c>
      <c r="L5357" t="n">
        <v>0</v>
      </c>
      <c r="M5357" t="n">
        <v>0</v>
      </c>
      <c r="N5357" t="n">
        <v>0</v>
      </c>
      <c r="O5357" t="n">
        <v>0</v>
      </c>
      <c r="P5357" t="n">
        <v>0</v>
      </c>
      <c r="Q5357" t="n">
        <v>0</v>
      </c>
      <c r="R5357" s="2" t="inlineStr"/>
    </row>
    <row r="5358" ht="15" customHeight="1">
      <c r="A5358" t="inlineStr">
        <is>
          <t>A 44450-2022</t>
        </is>
      </c>
      <c r="B5358" s="1" t="n">
        <v>44839</v>
      </c>
      <c r="C5358" s="1" t="n">
        <v>45182</v>
      </c>
      <c r="D5358" t="inlineStr">
        <is>
          <t>JÄMTLANDS LÄN</t>
        </is>
      </c>
      <c r="E5358" t="inlineStr">
        <is>
          <t>STRÖMSUND</t>
        </is>
      </c>
      <c r="F5358" t="inlineStr">
        <is>
          <t>SCA</t>
        </is>
      </c>
      <c r="G5358" t="n">
        <v>1.3</v>
      </c>
      <c r="H5358" t="n">
        <v>0</v>
      </c>
      <c r="I5358" t="n">
        <v>0</v>
      </c>
      <c r="J5358" t="n">
        <v>0</v>
      </c>
      <c r="K5358" t="n">
        <v>0</v>
      </c>
      <c r="L5358" t="n">
        <v>0</v>
      </c>
      <c r="M5358" t="n">
        <v>0</v>
      </c>
      <c r="N5358" t="n">
        <v>0</v>
      </c>
      <c r="O5358" t="n">
        <v>0</v>
      </c>
      <c r="P5358" t="n">
        <v>0</v>
      </c>
      <c r="Q5358" t="n">
        <v>0</v>
      </c>
      <c r="R5358" s="2" t="inlineStr"/>
    </row>
    <row r="5359" ht="15" customHeight="1">
      <c r="A5359" t="inlineStr">
        <is>
          <t>A 44452-2022</t>
        </is>
      </c>
      <c r="B5359" s="1" t="n">
        <v>44839</v>
      </c>
      <c r="C5359" s="1" t="n">
        <v>45182</v>
      </c>
      <c r="D5359" t="inlineStr">
        <is>
          <t>JÄMTLANDS LÄN</t>
        </is>
      </c>
      <c r="E5359" t="inlineStr">
        <is>
          <t>STRÖMSUND</t>
        </is>
      </c>
      <c r="F5359" t="inlineStr">
        <is>
          <t>SCA</t>
        </is>
      </c>
      <c r="G5359" t="n">
        <v>1.4</v>
      </c>
      <c r="H5359" t="n">
        <v>0</v>
      </c>
      <c r="I5359" t="n">
        <v>0</v>
      </c>
      <c r="J5359" t="n">
        <v>0</v>
      </c>
      <c r="K5359" t="n">
        <v>0</v>
      </c>
      <c r="L5359" t="n">
        <v>0</v>
      </c>
      <c r="M5359" t="n">
        <v>0</v>
      </c>
      <c r="N5359" t="n">
        <v>0</v>
      </c>
      <c r="O5359" t="n">
        <v>0</v>
      </c>
      <c r="P5359" t="n">
        <v>0</v>
      </c>
      <c r="Q5359" t="n">
        <v>0</v>
      </c>
      <c r="R5359" s="2" t="inlineStr"/>
    </row>
    <row r="5360" ht="15" customHeight="1">
      <c r="A5360" t="inlineStr">
        <is>
          <t>A 44429-2022</t>
        </is>
      </c>
      <c r="B5360" s="1" t="n">
        <v>44839</v>
      </c>
      <c r="C5360" s="1" t="n">
        <v>45182</v>
      </c>
      <c r="D5360" t="inlineStr">
        <is>
          <t>JÄMTLANDS LÄN</t>
        </is>
      </c>
      <c r="E5360" t="inlineStr">
        <is>
          <t>STRÖMSUND</t>
        </is>
      </c>
      <c r="F5360" t="inlineStr">
        <is>
          <t>SCA</t>
        </is>
      </c>
      <c r="G5360" t="n">
        <v>52.1</v>
      </c>
      <c r="H5360" t="n">
        <v>0</v>
      </c>
      <c r="I5360" t="n">
        <v>0</v>
      </c>
      <c r="J5360" t="n">
        <v>0</v>
      </c>
      <c r="K5360" t="n">
        <v>0</v>
      </c>
      <c r="L5360" t="n">
        <v>0</v>
      </c>
      <c r="M5360" t="n">
        <v>0</v>
      </c>
      <c r="N5360" t="n">
        <v>0</v>
      </c>
      <c r="O5360" t="n">
        <v>0</v>
      </c>
      <c r="P5360" t="n">
        <v>0</v>
      </c>
      <c r="Q5360" t="n">
        <v>0</v>
      </c>
      <c r="R5360" s="2" t="inlineStr"/>
    </row>
    <row r="5361" ht="15" customHeight="1">
      <c r="A5361" t="inlineStr">
        <is>
          <t>A 44442-2022</t>
        </is>
      </c>
      <c r="B5361" s="1" t="n">
        <v>44839</v>
      </c>
      <c r="C5361" s="1" t="n">
        <v>45182</v>
      </c>
      <c r="D5361" t="inlineStr">
        <is>
          <t>JÄMTLANDS LÄN</t>
        </is>
      </c>
      <c r="E5361" t="inlineStr">
        <is>
          <t>BERG</t>
        </is>
      </c>
      <c r="F5361" t="inlineStr">
        <is>
          <t>SCA</t>
        </is>
      </c>
      <c r="G5361" t="n">
        <v>3.5</v>
      </c>
      <c r="H5361" t="n">
        <v>0</v>
      </c>
      <c r="I5361" t="n">
        <v>0</v>
      </c>
      <c r="J5361" t="n">
        <v>0</v>
      </c>
      <c r="K5361" t="n">
        <v>0</v>
      </c>
      <c r="L5361" t="n">
        <v>0</v>
      </c>
      <c r="M5361" t="n">
        <v>0</v>
      </c>
      <c r="N5361" t="n">
        <v>0</v>
      </c>
      <c r="O5361" t="n">
        <v>0</v>
      </c>
      <c r="P5361" t="n">
        <v>0</v>
      </c>
      <c r="Q5361" t="n">
        <v>0</v>
      </c>
      <c r="R5361" s="2" t="inlineStr"/>
    </row>
    <row r="5362" ht="15" customHeight="1">
      <c r="A5362" t="inlineStr">
        <is>
          <t>A 44536-2022</t>
        </is>
      </c>
      <c r="B5362" s="1" t="n">
        <v>44839</v>
      </c>
      <c r="C5362" s="1" t="n">
        <v>45182</v>
      </c>
      <c r="D5362" t="inlineStr">
        <is>
          <t>JÄMTLANDS LÄN</t>
        </is>
      </c>
      <c r="E5362" t="inlineStr">
        <is>
          <t>RAGUNDA</t>
        </is>
      </c>
      <c r="G5362" t="n">
        <v>4</v>
      </c>
      <c r="H5362" t="n">
        <v>0</v>
      </c>
      <c r="I5362" t="n">
        <v>0</v>
      </c>
      <c r="J5362" t="n">
        <v>0</v>
      </c>
      <c r="K5362" t="n">
        <v>0</v>
      </c>
      <c r="L5362" t="n">
        <v>0</v>
      </c>
      <c r="M5362" t="n">
        <v>0</v>
      </c>
      <c r="N5362" t="n">
        <v>0</v>
      </c>
      <c r="O5362" t="n">
        <v>0</v>
      </c>
      <c r="P5362" t="n">
        <v>0</v>
      </c>
      <c r="Q5362" t="n">
        <v>0</v>
      </c>
      <c r="R5362" s="2" t="inlineStr"/>
    </row>
    <row r="5363" ht="15" customHeight="1">
      <c r="A5363" t="inlineStr">
        <is>
          <t>A 44600-2022</t>
        </is>
      </c>
      <c r="B5363" s="1" t="n">
        <v>44839</v>
      </c>
      <c r="C5363" s="1" t="n">
        <v>45182</v>
      </c>
      <c r="D5363" t="inlineStr">
        <is>
          <t>JÄMTLANDS LÄN</t>
        </is>
      </c>
      <c r="E5363" t="inlineStr">
        <is>
          <t>RAGUNDA</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44641-2022</t>
        </is>
      </c>
      <c r="B5364" s="1" t="n">
        <v>44839</v>
      </c>
      <c r="C5364" s="1" t="n">
        <v>45182</v>
      </c>
      <c r="D5364" t="inlineStr">
        <is>
          <t>JÄMTLANDS LÄN</t>
        </is>
      </c>
      <c r="E5364" t="inlineStr">
        <is>
          <t>STRÖMSUND</t>
        </is>
      </c>
      <c r="F5364" t="inlineStr">
        <is>
          <t>Kommuner</t>
        </is>
      </c>
      <c r="G5364" t="n">
        <v>2</v>
      </c>
      <c r="H5364" t="n">
        <v>0</v>
      </c>
      <c r="I5364" t="n">
        <v>0</v>
      </c>
      <c r="J5364" t="n">
        <v>0</v>
      </c>
      <c r="K5364" t="n">
        <v>0</v>
      </c>
      <c r="L5364" t="n">
        <v>0</v>
      </c>
      <c r="M5364" t="n">
        <v>0</v>
      </c>
      <c r="N5364" t="n">
        <v>0</v>
      </c>
      <c r="O5364" t="n">
        <v>0</v>
      </c>
      <c r="P5364" t="n">
        <v>0</v>
      </c>
      <c r="Q5364" t="n">
        <v>0</v>
      </c>
      <c r="R5364" s="2" t="inlineStr"/>
    </row>
    <row r="5365" ht="15" customHeight="1">
      <c r="A5365" t="inlineStr">
        <is>
          <t>A 44449-2022</t>
        </is>
      </c>
      <c r="B5365" s="1" t="n">
        <v>44839</v>
      </c>
      <c r="C5365" s="1" t="n">
        <v>45182</v>
      </c>
      <c r="D5365" t="inlineStr">
        <is>
          <t>JÄMTLANDS LÄN</t>
        </is>
      </c>
      <c r="E5365" t="inlineStr">
        <is>
          <t>STRÖMSUND</t>
        </is>
      </c>
      <c r="F5365" t="inlineStr">
        <is>
          <t>SCA</t>
        </is>
      </c>
      <c r="G5365" t="n">
        <v>0.9</v>
      </c>
      <c r="H5365" t="n">
        <v>0</v>
      </c>
      <c r="I5365" t="n">
        <v>0</v>
      </c>
      <c r="J5365" t="n">
        <v>0</v>
      </c>
      <c r="K5365" t="n">
        <v>0</v>
      </c>
      <c r="L5365" t="n">
        <v>0</v>
      </c>
      <c r="M5365" t="n">
        <v>0</v>
      </c>
      <c r="N5365" t="n">
        <v>0</v>
      </c>
      <c r="O5365" t="n">
        <v>0</v>
      </c>
      <c r="P5365" t="n">
        <v>0</v>
      </c>
      <c r="Q5365" t="n">
        <v>0</v>
      </c>
      <c r="R5365" s="2" t="inlineStr"/>
    </row>
    <row r="5366" ht="15" customHeight="1">
      <c r="A5366" t="inlineStr">
        <is>
          <t>A 44096-2022</t>
        </is>
      </c>
      <c r="B5366" s="1" t="n">
        <v>44839</v>
      </c>
      <c r="C5366" s="1" t="n">
        <v>45182</v>
      </c>
      <c r="D5366" t="inlineStr">
        <is>
          <t>JÄMTLANDS LÄN</t>
        </is>
      </c>
      <c r="E5366" t="inlineStr">
        <is>
          <t>STRÖMSUND</t>
        </is>
      </c>
      <c r="F5366" t="inlineStr">
        <is>
          <t>Holmen skog AB</t>
        </is>
      </c>
      <c r="G5366" t="n">
        <v>6.2</v>
      </c>
      <c r="H5366" t="n">
        <v>0</v>
      </c>
      <c r="I5366" t="n">
        <v>0</v>
      </c>
      <c r="J5366" t="n">
        <v>0</v>
      </c>
      <c r="K5366" t="n">
        <v>0</v>
      </c>
      <c r="L5366" t="n">
        <v>0</v>
      </c>
      <c r="M5366" t="n">
        <v>0</v>
      </c>
      <c r="N5366" t="n">
        <v>0</v>
      </c>
      <c r="O5366" t="n">
        <v>0</v>
      </c>
      <c r="P5366" t="n">
        <v>0</v>
      </c>
      <c r="Q5366" t="n">
        <v>0</v>
      </c>
      <c r="R5366" s="2" t="inlineStr"/>
    </row>
    <row r="5367" ht="15" customHeight="1">
      <c r="A5367" t="inlineStr">
        <is>
          <t>A 44249-2022</t>
        </is>
      </c>
      <c r="B5367" s="1" t="n">
        <v>44839</v>
      </c>
      <c r="C5367" s="1" t="n">
        <v>45182</v>
      </c>
      <c r="D5367" t="inlineStr">
        <is>
          <t>JÄMTLANDS LÄN</t>
        </is>
      </c>
      <c r="E5367" t="inlineStr">
        <is>
          <t>STRÖMSUND</t>
        </is>
      </c>
      <c r="G5367" t="n">
        <v>1.4</v>
      </c>
      <c r="H5367" t="n">
        <v>0</v>
      </c>
      <c r="I5367" t="n">
        <v>0</v>
      </c>
      <c r="J5367" t="n">
        <v>0</v>
      </c>
      <c r="K5367" t="n">
        <v>0</v>
      </c>
      <c r="L5367" t="n">
        <v>0</v>
      </c>
      <c r="M5367" t="n">
        <v>0</v>
      </c>
      <c r="N5367" t="n">
        <v>0</v>
      </c>
      <c r="O5367" t="n">
        <v>0</v>
      </c>
      <c r="P5367" t="n">
        <v>0</v>
      </c>
      <c r="Q5367" t="n">
        <v>0</v>
      </c>
      <c r="R5367" s="2" t="inlineStr"/>
    </row>
    <row r="5368" ht="15" customHeight="1">
      <c r="A5368" t="inlineStr">
        <is>
          <t>A 44744-2022</t>
        </is>
      </c>
      <c r="B5368" s="1" t="n">
        <v>44840</v>
      </c>
      <c r="C5368" s="1" t="n">
        <v>45182</v>
      </c>
      <c r="D5368" t="inlineStr">
        <is>
          <t>JÄMTLANDS LÄN</t>
        </is>
      </c>
      <c r="E5368" t="inlineStr">
        <is>
          <t>STRÖMSUND</t>
        </is>
      </c>
      <c r="F5368" t="inlineStr">
        <is>
          <t>SCA</t>
        </is>
      </c>
      <c r="G5368" t="n">
        <v>3.3</v>
      </c>
      <c r="H5368" t="n">
        <v>0</v>
      </c>
      <c r="I5368" t="n">
        <v>0</v>
      </c>
      <c r="J5368" t="n">
        <v>0</v>
      </c>
      <c r="K5368" t="n">
        <v>0</v>
      </c>
      <c r="L5368" t="n">
        <v>0</v>
      </c>
      <c r="M5368" t="n">
        <v>0</v>
      </c>
      <c r="N5368" t="n">
        <v>0</v>
      </c>
      <c r="O5368" t="n">
        <v>0</v>
      </c>
      <c r="P5368" t="n">
        <v>0</v>
      </c>
      <c r="Q5368" t="n">
        <v>0</v>
      </c>
      <c r="R5368" s="2" t="inlineStr"/>
    </row>
    <row r="5369" ht="15" customHeight="1">
      <c r="A5369" t="inlineStr">
        <is>
          <t>A 44767-2022</t>
        </is>
      </c>
      <c r="B5369" s="1" t="n">
        <v>44840</v>
      </c>
      <c r="C5369" s="1" t="n">
        <v>45182</v>
      </c>
      <c r="D5369" t="inlineStr">
        <is>
          <t>JÄMTLANDS LÄN</t>
        </is>
      </c>
      <c r="E5369" t="inlineStr">
        <is>
          <t>RAGUNDA</t>
        </is>
      </c>
      <c r="F5369" t="inlineStr">
        <is>
          <t>SCA</t>
        </is>
      </c>
      <c r="G5369" t="n">
        <v>4.5</v>
      </c>
      <c r="H5369" t="n">
        <v>0</v>
      </c>
      <c r="I5369" t="n">
        <v>0</v>
      </c>
      <c r="J5369" t="n">
        <v>0</v>
      </c>
      <c r="K5369" t="n">
        <v>0</v>
      </c>
      <c r="L5369" t="n">
        <v>0</v>
      </c>
      <c r="M5369" t="n">
        <v>0</v>
      </c>
      <c r="N5369" t="n">
        <v>0</v>
      </c>
      <c r="O5369" t="n">
        <v>0</v>
      </c>
      <c r="P5369" t="n">
        <v>0</v>
      </c>
      <c r="Q5369" t="n">
        <v>0</v>
      </c>
      <c r="R5369" s="2" t="inlineStr"/>
    </row>
    <row r="5370" ht="15" customHeight="1">
      <c r="A5370" t="inlineStr">
        <is>
          <t>A 45004-2022</t>
        </is>
      </c>
      <c r="B5370" s="1" t="n">
        <v>44840</v>
      </c>
      <c r="C5370" s="1" t="n">
        <v>45182</v>
      </c>
      <c r="D5370" t="inlineStr">
        <is>
          <t>JÄMTLANDS LÄN</t>
        </is>
      </c>
      <c r="E5370" t="inlineStr">
        <is>
          <t>ÖSTERSUND</t>
        </is>
      </c>
      <c r="G5370" t="n">
        <v>2.5</v>
      </c>
      <c r="H5370" t="n">
        <v>0</v>
      </c>
      <c r="I5370" t="n">
        <v>0</v>
      </c>
      <c r="J5370" t="n">
        <v>0</v>
      </c>
      <c r="K5370" t="n">
        <v>0</v>
      </c>
      <c r="L5370" t="n">
        <v>0</v>
      </c>
      <c r="M5370" t="n">
        <v>0</v>
      </c>
      <c r="N5370" t="n">
        <v>0</v>
      </c>
      <c r="O5370" t="n">
        <v>0</v>
      </c>
      <c r="P5370" t="n">
        <v>0</v>
      </c>
      <c r="Q5370" t="n">
        <v>0</v>
      </c>
      <c r="R5370" s="2" t="inlineStr"/>
    </row>
    <row r="5371" ht="15" customHeight="1">
      <c r="A5371" t="inlineStr">
        <is>
          <t>A 44502-2022</t>
        </is>
      </c>
      <c r="B5371" s="1" t="n">
        <v>44840</v>
      </c>
      <c r="C5371" s="1" t="n">
        <v>45182</v>
      </c>
      <c r="D5371" t="inlineStr">
        <is>
          <t>JÄMTLANDS LÄN</t>
        </is>
      </c>
      <c r="E5371" t="inlineStr">
        <is>
          <t>ÅRE</t>
        </is>
      </c>
      <c r="G5371" t="n">
        <v>2.6</v>
      </c>
      <c r="H5371" t="n">
        <v>0</v>
      </c>
      <c r="I5371" t="n">
        <v>0</v>
      </c>
      <c r="J5371" t="n">
        <v>0</v>
      </c>
      <c r="K5371" t="n">
        <v>0</v>
      </c>
      <c r="L5371" t="n">
        <v>0</v>
      </c>
      <c r="M5371" t="n">
        <v>0</v>
      </c>
      <c r="N5371" t="n">
        <v>0</v>
      </c>
      <c r="O5371" t="n">
        <v>0</v>
      </c>
      <c r="P5371" t="n">
        <v>0</v>
      </c>
      <c r="Q5371" t="n">
        <v>0</v>
      </c>
      <c r="R5371" s="2" t="inlineStr"/>
    </row>
    <row r="5372" ht="15" customHeight="1">
      <c r="A5372" t="inlineStr">
        <is>
          <t>A 44607-2022</t>
        </is>
      </c>
      <c r="B5372" s="1" t="n">
        <v>44840</v>
      </c>
      <c r="C5372" s="1" t="n">
        <v>45182</v>
      </c>
      <c r="D5372" t="inlineStr">
        <is>
          <t>JÄMTLANDS LÄN</t>
        </is>
      </c>
      <c r="E5372" t="inlineStr">
        <is>
          <t>BRÄCKE</t>
        </is>
      </c>
      <c r="G5372" t="n">
        <v>2.8</v>
      </c>
      <c r="H5372" t="n">
        <v>0</v>
      </c>
      <c r="I5372" t="n">
        <v>0</v>
      </c>
      <c r="J5372" t="n">
        <v>0</v>
      </c>
      <c r="K5372" t="n">
        <v>0</v>
      </c>
      <c r="L5372" t="n">
        <v>0</v>
      </c>
      <c r="M5372" t="n">
        <v>0</v>
      </c>
      <c r="N5372" t="n">
        <v>0</v>
      </c>
      <c r="O5372" t="n">
        <v>0</v>
      </c>
      <c r="P5372" t="n">
        <v>0</v>
      </c>
      <c r="Q5372" t="n">
        <v>0</v>
      </c>
      <c r="R5372" s="2" t="inlineStr"/>
    </row>
    <row r="5373" ht="15" customHeight="1">
      <c r="A5373" t="inlineStr">
        <is>
          <t>A 44752-2022</t>
        </is>
      </c>
      <c r="B5373" s="1" t="n">
        <v>44840</v>
      </c>
      <c r="C5373" s="1" t="n">
        <v>45182</v>
      </c>
      <c r="D5373" t="inlineStr">
        <is>
          <t>JÄMTLANDS LÄN</t>
        </is>
      </c>
      <c r="E5373" t="inlineStr">
        <is>
          <t>BRÄCKE</t>
        </is>
      </c>
      <c r="F5373" t="inlineStr">
        <is>
          <t>SCA</t>
        </is>
      </c>
      <c r="G5373" t="n">
        <v>1.4</v>
      </c>
      <c r="H5373" t="n">
        <v>0</v>
      </c>
      <c r="I5373" t="n">
        <v>0</v>
      </c>
      <c r="J5373" t="n">
        <v>0</v>
      </c>
      <c r="K5373" t="n">
        <v>0</v>
      </c>
      <c r="L5373" t="n">
        <v>0</v>
      </c>
      <c r="M5373" t="n">
        <v>0</v>
      </c>
      <c r="N5373" t="n">
        <v>0</v>
      </c>
      <c r="O5373" t="n">
        <v>0</v>
      </c>
      <c r="P5373" t="n">
        <v>0</v>
      </c>
      <c r="Q5373" t="n">
        <v>0</v>
      </c>
      <c r="R5373" s="2" t="inlineStr"/>
    </row>
    <row r="5374" ht="15" customHeight="1">
      <c r="A5374" t="inlineStr">
        <is>
          <t>A 45140-2022</t>
        </is>
      </c>
      <c r="B5374" s="1" t="n">
        <v>44840</v>
      </c>
      <c r="C5374" s="1" t="n">
        <v>45182</v>
      </c>
      <c r="D5374" t="inlineStr">
        <is>
          <t>JÄMTLANDS LÄN</t>
        </is>
      </c>
      <c r="E5374" t="inlineStr">
        <is>
          <t>STRÖMSUND</t>
        </is>
      </c>
      <c r="G5374" t="n">
        <v>10.7</v>
      </c>
      <c r="H5374" t="n">
        <v>0</v>
      </c>
      <c r="I5374" t="n">
        <v>0</v>
      </c>
      <c r="J5374" t="n">
        <v>0</v>
      </c>
      <c r="K5374" t="n">
        <v>0</v>
      </c>
      <c r="L5374" t="n">
        <v>0</v>
      </c>
      <c r="M5374" t="n">
        <v>0</v>
      </c>
      <c r="N5374" t="n">
        <v>0</v>
      </c>
      <c r="O5374" t="n">
        <v>0</v>
      </c>
      <c r="P5374" t="n">
        <v>0</v>
      </c>
      <c r="Q5374" t="n">
        <v>0</v>
      </c>
      <c r="R5374" s="2" t="inlineStr"/>
    </row>
    <row r="5375" ht="15" customHeight="1">
      <c r="A5375" t="inlineStr">
        <is>
          <t>A 44753-2022</t>
        </is>
      </c>
      <c r="B5375" s="1" t="n">
        <v>44840</v>
      </c>
      <c r="C5375" s="1" t="n">
        <v>45182</v>
      </c>
      <c r="D5375" t="inlineStr">
        <is>
          <t>JÄMTLANDS LÄN</t>
        </is>
      </c>
      <c r="E5375" t="inlineStr">
        <is>
          <t>BRÄCKE</t>
        </is>
      </c>
      <c r="F5375" t="inlineStr">
        <is>
          <t>SCA</t>
        </is>
      </c>
      <c r="G5375" t="n">
        <v>6.5</v>
      </c>
      <c r="H5375" t="n">
        <v>0</v>
      </c>
      <c r="I5375" t="n">
        <v>0</v>
      </c>
      <c r="J5375" t="n">
        <v>0</v>
      </c>
      <c r="K5375" t="n">
        <v>0</v>
      </c>
      <c r="L5375" t="n">
        <v>0</v>
      </c>
      <c r="M5375" t="n">
        <v>0</v>
      </c>
      <c r="N5375" t="n">
        <v>0</v>
      </c>
      <c r="O5375" t="n">
        <v>0</v>
      </c>
      <c r="P5375" t="n">
        <v>0</v>
      </c>
      <c r="Q5375" t="n">
        <v>0</v>
      </c>
      <c r="R5375" s="2" t="inlineStr"/>
    </row>
    <row r="5376" ht="15" customHeight="1">
      <c r="A5376" t="inlineStr">
        <is>
          <t>A 44909-2022</t>
        </is>
      </c>
      <c r="B5376" s="1" t="n">
        <v>44840</v>
      </c>
      <c r="C5376" s="1" t="n">
        <v>45182</v>
      </c>
      <c r="D5376" t="inlineStr">
        <is>
          <t>JÄMTLANDS LÄN</t>
        </is>
      </c>
      <c r="E5376" t="inlineStr">
        <is>
          <t>ÖSTERSUND</t>
        </is>
      </c>
      <c r="G5376" t="n">
        <v>1.5</v>
      </c>
      <c r="H5376" t="n">
        <v>0</v>
      </c>
      <c r="I5376" t="n">
        <v>0</v>
      </c>
      <c r="J5376" t="n">
        <v>0</v>
      </c>
      <c r="K5376" t="n">
        <v>0</v>
      </c>
      <c r="L5376" t="n">
        <v>0</v>
      </c>
      <c r="M5376" t="n">
        <v>0</v>
      </c>
      <c r="N5376" t="n">
        <v>0</v>
      </c>
      <c r="O5376" t="n">
        <v>0</v>
      </c>
      <c r="P5376" t="n">
        <v>0</v>
      </c>
      <c r="Q5376" t="n">
        <v>0</v>
      </c>
      <c r="R5376" s="2" t="inlineStr"/>
    </row>
    <row r="5377" ht="15" customHeight="1">
      <c r="A5377" t="inlineStr">
        <is>
          <t>A 44743-2022</t>
        </is>
      </c>
      <c r="B5377" s="1" t="n">
        <v>44840</v>
      </c>
      <c r="C5377" s="1" t="n">
        <v>45182</v>
      </c>
      <c r="D5377" t="inlineStr">
        <is>
          <t>JÄMTLANDS LÄN</t>
        </is>
      </c>
      <c r="E5377" t="inlineStr">
        <is>
          <t>BRÄCKE</t>
        </is>
      </c>
      <c r="F5377" t="inlineStr">
        <is>
          <t>SCA</t>
        </is>
      </c>
      <c r="G5377" t="n">
        <v>2</v>
      </c>
      <c r="H5377" t="n">
        <v>0</v>
      </c>
      <c r="I5377" t="n">
        <v>0</v>
      </c>
      <c r="J5377" t="n">
        <v>0</v>
      </c>
      <c r="K5377" t="n">
        <v>0</v>
      </c>
      <c r="L5377" t="n">
        <v>0</v>
      </c>
      <c r="M5377" t="n">
        <v>0</v>
      </c>
      <c r="N5377" t="n">
        <v>0</v>
      </c>
      <c r="O5377" t="n">
        <v>0</v>
      </c>
      <c r="P5377" t="n">
        <v>0</v>
      </c>
      <c r="Q5377" t="n">
        <v>0</v>
      </c>
      <c r="R5377" s="2" t="inlineStr"/>
    </row>
    <row r="5378" ht="15" customHeight="1">
      <c r="A5378" t="inlineStr">
        <is>
          <t>A 44999-2022</t>
        </is>
      </c>
      <c r="B5378" s="1" t="n">
        <v>44840</v>
      </c>
      <c r="C5378" s="1" t="n">
        <v>45182</v>
      </c>
      <c r="D5378" t="inlineStr">
        <is>
          <t>JÄMTLANDS LÄN</t>
        </is>
      </c>
      <c r="E5378" t="inlineStr">
        <is>
          <t>ÖSTERSUND</t>
        </is>
      </c>
      <c r="G5378" t="n">
        <v>9</v>
      </c>
      <c r="H5378" t="n">
        <v>0</v>
      </c>
      <c r="I5378" t="n">
        <v>0</v>
      </c>
      <c r="J5378" t="n">
        <v>0</v>
      </c>
      <c r="K5378" t="n">
        <v>0</v>
      </c>
      <c r="L5378" t="n">
        <v>0</v>
      </c>
      <c r="M5378" t="n">
        <v>0</v>
      </c>
      <c r="N5378" t="n">
        <v>0</v>
      </c>
      <c r="O5378" t="n">
        <v>0</v>
      </c>
      <c r="P5378" t="n">
        <v>0</v>
      </c>
      <c r="Q5378" t="n">
        <v>0</v>
      </c>
      <c r="R5378" s="2" t="inlineStr"/>
    </row>
    <row r="5379" ht="15" customHeight="1">
      <c r="A5379" t="inlineStr">
        <is>
          <t>A 45017-2022</t>
        </is>
      </c>
      <c r="B5379" s="1" t="n">
        <v>44841</v>
      </c>
      <c r="C5379" s="1" t="n">
        <v>45182</v>
      </c>
      <c r="D5379" t="inlineStr">
        <is>
          <t>JÄMTLANDS LÄN</t>
        </is>
      </c>
      <c r="E5379" t="inlineStr">
        <is>
          <t>HÄRJEDALEN</t>
        </is>
      </c>
      <c r="F5379" t="inlineStr">
        <is>
          <t>Bergvik skog väst AB</t>
        </is>
      </c>
      <c r="G5379" t="n">
        <v>5.4</v>
      </c>
      <c r="H5379" t="n">
        <v>0</v>
      </c>
      <c r="I5379" t="n">
        <v>0</v>
      </c>
      <c r="J5379" t="n">
        <v>0</v>
      </c>
      <c r="K5379" t="n">
        <v>0</v>
      </c>
      <c r="L5379" t="n">
        <v>0</v>
      </c>
      <c r="M5379" t="n">
        <v>0</v>
      </c>
      <c r="N5379" t="n">
        <v>0</v>
      </c>
      <c r="O5379" t="n">
        <v>0</v>
      </c>
      <c r="P5379" t="n">
        <v>0</v>
      </c>
      <c r="Q5379" t="n">
        <v>0</v>
      </c>
      <c r="R5379" s="2" t="inlineStr"/>
    </row>
    <row r="5380" ht="15" customHeight="1">
      <c r="A5380" t="inlineStr">
        <is>
          <t>A 45081-2022</t>
        </is>
      </c>
      <c r="B5380" s="1" t="n">
        <v>44841</v>
      </c>
      <c r="C5380" s="1" t="n">
        <v>45182</v>
      </c>
      <c r="D5380" t="inlineStr">
        <is>
          <t>JÄMTLANDS LÄN</t>
        </is>
      </c>
      <c r="E5380" t="inlineStr">
        <is>
          <t>BERG</t>
        </is>
      </c>
      <c r="F5380" t="inlineStr">
        <is>
          <t>SCA</t>
        </is>
      </c>
      <c r="G5380" t="n">
        <v>5.7</v>
      </c>
      <c r="H5380" t="n">
        <v>0</v>
      </c>
      <c r="I5380" t="n">
        <v>0</v>
      </c>
      <c r="J5380" t="n">
        <v>0</v>
      </c>
      <c r="K5380" t="n">
        <v>0</v>
      </c>
      <c r="L5380" t="n">
        <v>0</v>
      </c>
      <c r="M5380" t="n">
        <v>0</v>
      </c>
      <c r="N5380" t="n">
        <v>0</v>
      </c>
      <c r="O5380" t="n">
        <v>0</v>
      </c>
      <c r="P5380" t="n">
        <v>0</v>
      </c>
      <c r="Q5380" t="n">
        <v>0</v>
      </c>
      <c r="R5380" s="2" t="inlineStr"/>
    </row>
    <row r="5381" ht="15" customHeight="1">
      <c r="A5381" t="inlineStr">
        <is>
          <t>A 45308-2022</t>
        </is>
      </c>
      <c r="B5381" s="1" t="n">
        <v>44841</v>
      </c>
      <c r="C5381" s="1" t="n">
        <v>45182</v>
      </c>
      <c r="D5381" t="inlineStr">
        <is>
          <t>JÄMTLANDS LÄN</t>
        </is>
      </c>
      <c r="E5381" t="inlineStr">
        <is>
          <t>STRÖMSUND</t>
        </is>
      </c>
      <c r="G5381" t="n">
        <v>1.1</v>
      </c>
      <c r="H5381" t="n">
        <v>0</v>
      </c>
      <c r="I5381" t="n">
        <v>0</v>
      </c>
      <c r="J5381" t="n">
        <v>0</v>
      </c>
      <c r="K5381" t="n">
        <v>0</v>
      </c>
      <c r="L5381" t="n">
        <v>0</v>
      </c>
      <c r="M5381" t="n">
        <v>0</v>
      </c>
      <c r="N5381" t="n">
        <v>0</v>
      </c>
      <c r="O5381" t="n">
        <v>0</v>
      </c>
      <c r="P5381" t="n">
        <v>0</v>
      </c>
      <c r="Q5381" t="n">
        <v>0</v>
      </c>
      <c r="R5381" s="2" t="inlineStr"/>
    </row>
    <row r="5382" ht="15" customHeight="1">
      <c r="A5382" t="inlineStr">
        <is>
          <t>A 45461-2022</t>
        </is>
      </c>
      <c r="B5382" s="1" t="n">
        <v>44841</v>
      </c>
      <c r="C5382" s="1" t="n">
        <v>45182</v>
      </c>
      <c r="D5382" t="inlineStr">
        <is>
          <t>JÄMTLANDS LÄN</t>
        </is>
      </c>
      <c r="E5382" t="inlineStr">
        <is>
          <t>ÅRE</t>
        </is>
      </c>
      <c r="G5382" t="n">
        <v>1</v>
      </c>
      <c r="H5382" t="n">
        <v>0</v>
      </c>
      <c r="I5382" t="n">
        <v>0</v>
      </c>
      <c r="J5382" t="n">
        <v>0</v>
      </c>
      <c r="K5382" t="n">
        <v>0</v>
      </c>
      <c r="L5382" t="n">
        <v>0</v>
      </c>
      <c r="M5382" t="n">
        <v>0</v>
      </c>
      <c r="N5382" t="n">
        <v>0</v>
      </c>
      <c r="O5382" t="n">
        <v>0</v>
      </c>
      <c r="P5382" t="n">
        <v>0</v>
      </c>
      <c r="Q5382" t="n">
        <v>0</v>
      </c>
      <c r="R5382" s="2" t="inlineStr"/>
    </row>
    <row r="5383" ht="15" customHeight="1">
      <c r="A5383" t="inlineStr">
        <is>
          <t>A 45477-2022</t>
        </is>
      </c>
      <c r="B5383" s="1" t="n">
        <v>44841</v>
      </c>
      <c r="C5383" s="1" t="n">
        <v>45182</v>
      </c>
      <c r="D5383" t="inlineStr">
        <is>
          <t>JÄMTLANDS LÄN</t>
        </is>
      </c>
      <c r="E5383" t="inlineStr">
        <is>
          <t>RAGUNDA</t>
        </is>
      </c>
      <c r="G5383" t="n">
        <v>2.3</v>
      </c>
      <c r="H5383" t="n">
        <v>0</v>
      </c>
      <c r="I5383" t="n">
        <v>0</v>
      </c>
      <c r="J5383" t="n">
        <v>0</v>
      </c>
      <c r="K5383" t="n">
        <v>0</v>
      </c>
      <c r="L5383" t="n">
        <v>0</v>
      </c>
      <c r="M5383" t="n">
        <v>0</v>
      </c>
      <c r="N5383" t="n">
        <v>0</v>
      </c>
      <c r="O5383" t="n">
        <v>0</v>
      </c>
      <c r="P5383" t="n">
        <v>0</v>
      </c>
      <c r="Q5383" t="n">
        <v>0</v>
      </c>
      <c r="R5383" s="2" t="inlineStr"/>
    </row>
    <row r="5384" ht="15" customHeight="1">
      <c r="A5384" t="inlineStr">
        <is>
          <t>A 45530-2022</t>
        </is>
      </c>
      <c r="B5384" s="1" t="n">
        <v>44841</v>
      </c>
      <c r="C5384" s="1" t="n">
        <v>45182</v>
      </c>
      <c r="D5384" t="inlineStr">
        <is>
          <t>JÄMTLANDS LÄN</t>
        </is>
      </c>
      <c r="E5384" t="inlineStr">
        <is>
          <t>KROKOM</t>
        </is>
      </c>
      <c r="G5384" t="n">
        <v>5.4</v>
      </c>
      <c r="H5384" t="n">
        <v>0</v>
      </c>
      <c r="I5384" t="n">
        <v>0</v>
      </c>
      <c r="J5384" t="n">
        <v>0</v>
      </c>
      <c r="K5384" t="n">
        <v>0</v>
      </c>
      <c r="L5384" t="n">
        <v>0</v>
      </c>
      <c r="M5384" t="n">
        <v>0</v>
      </c>
      <c r="N5384" t="n">
        <v>0</v>
      </c>
      <c r="O5384" t="n">
        <v>0</v>
      </c>
      <c r="P5384" t="n">
        <v>0</v>
      </c>
      <c r="Q5384" t="n">
        <v>0</v>
      </c>
      <c r="R5384" s="2" t="inlineStr"/>
    </row>
    <row r="5385" ht="15" customHeight="1">
      <c r="A5385" t="inlineStr">
        <is>
          <t>A 45072-2022</t>
        </is>
      </c>
      <c r="B5385" s="1" t="n">
        <v>44841</v>
      </c>
      <c r="C5385" s="1" t="n">
        <v>45182</v>
      </c>
      <c r="D5385" t="inlineStr">
        <is>
          <t>JÄMTLANDS LÄN</t>
        </is>
      </c>
      <c r="E5385" t="inlineStr">
        <is>
          <t>STRÖMSUND</t>
        </is>
      </c>
      <c r="F5385" t="inlineStr">
        <is>
          <t>SCA</t>
        </is>
      </c>
      <c r="G5385" t="n">
        <v>2.5</v>
      </c>
      <c r="H5385" t="n">
        <v>0</v>
      </c>
      <c r="I5385" t="n">
        <v>0</v>
      </c>
      <c r="J5385" t="n">
        <v>0</v>
      </c>
      <c r="K5385" t="n">
        <v>0</v>
      </c>
      <c r="L5385" t="n">
        <v>0</v>
      </c>
      <c r="M5385" t="n">
        <v>0</v>
      </c>
      <c r="N5385" t="n">
        <v>0</v>
      </c>
      <c r="O5385" t="n">
        <v>0</v>
      </c>
      <c r="P5385" t="n">
        <v>0</v>
      </c>
      <c r="Q5385" t="n">
        <v>0</v>
      </c>
      <c r="R5385" s="2" t="inlineStr"/>
    </row>
    <row r="5386" ht="15" customHeight="1">
      <c r="A5386" t="inlineStr">
        <is>
          <t>A 45326-2022</t>
        </is>
      </c>
      <c r="B5386" s="1" t="n">
        <v>44841</v>
      </c>
      <c r="C5386" s="1" t="n">
        <v>45182</v>
      </c>
      <c r="D5386" t="inlineStr">
        <is>
          <t>JÄMTLANDS LÄN</t>
        </is>
      </c>
      <c r="E5386" t="inlineStr">
        <is>
          <t>STRÖMSUND</t>
        </is>
      </c>
      <c r="G5386" t="n">
        <v>1.5</v>
      </c>
      <c r="H5386" t="n">
        <v>0</v>
      </c>
      <c r="I5386" t="n">
        <v>0</v>
      </c>
      <c r="J5386" t="n">
        <v>0</v>
      </c>
      <c r="K5386" t="n">
        <v>0</v>
      </c>
      <c r="L5386" t="n">
        <v>0</v>
      </c>
      <c r="M5386" t="n">
        <v>0</v>
      </c>
      <c r="N5386" t="n">
        <v>0</v>
      </c>
      <c r="O5386" t="n">
        <v>0</v>
      </c>
      <c r="P5386" t="n">
        <v>0</v>
      </c>
      <c r="Q5386" t="n">
        <v>0</v>
      </c>
      <c r="R5386" s="2" t="inlineStr"/>
    </row>
    <row r="5387" ht="15" customHeight="1">
      <c r="A5387" t="inlineStr">
        <is>
          <t>A 45398-2022</t>
        </is>
      </c>
      <c r="B5387" s="1" t="n">
        <v>44841</v>
      </c>
      <c r="C5387" s="1" t="n">
        <v>45182</v>
      </c>
      <c r="D5387" t="inlineStr">
        <is>
          <t>JÄMTLANDS LÄN</t>
        </is>
      </c>
      <c r="E5387" t="inlineStr">
        <is>
          <t>STRÖMSUND</t>
        </is>
      </c>
      <c r="G5387" t="n">
        <v>11.6</v>
      </c>
      <c r="H5387" t="n">
        <v>0</v>
      </c>
      <c r="I5387" t="n">
        <v>0</v>
      </c>
      <c r="J5387" t="n">
        <v>0</v>
      </c>
      <c r="K5387" t="n">
        <v>0</v>
      </c>
      <c r="L5387" t="n">
        <v>0</v>
      </c>
      <c r="M5387" t="n">
        <v>0</v>
      </c>
      <c r="N5387" t="n">
        <v>0</v>
      </c>
      <c r="O5387" t="n">
        <v>0</v>
      </c>
      <c r="P5387" t="n">
        <v>0</v>
      </c>
      <c r="Q5387" t="n">
        <v>0</v>
      </c>
      <c r="R5387" s="2" t="inlineStr"/>
    </row>
    <row r="5388" ht="15" customHeight="1">
      <c r="A5388" t="inlineStr">
        <is>
          <t>A 45304-2022</t>
        </is>
      </c>
      <c r="B5388" s="1" t="n">
        <v>44841</v>
      </c>
      <c r="C5388" s="1" t="n">
        <v>45182</v>
      </c>
      <c r="D5388" t="inlineStr">
        <is>
          <t>JÄMTLANDS LÄN</t>
        </is>
      </c>
      <c r="E5388" t="inlineStr">
        <is>
          <t>BRÄCKE</t>
        </is>
      </c>
      <c r="G5388" t="n">
        <v>3.8</v>
      </c>
      <c r="H5388" t="n">
        <v>0</v>
      </c>
      <c r="I5388" t="n">
        <v>0</v>
      </c>
      <c r="J5388" t="n">
        <v>0</v>
      </c>
      <c r="K5388" t="n">
        <v>0</v>
      </c>
      <c r="L5388" t="n">
        <v>0</v>
      </c>
      <c r="M5388" t="n">
        <v>0</v>
      </c>
      <c r="N5388" t="n">
        <v>0</v>
      </c>
      <c r="O5388" t="n">
        <v>0</v>
      </c>
      <c r="P5388" t="n">
        <v>0</v>
      </c>
      <c r="Q5388" t="n">
        <v>0</v>
      </c>
      <c r="R5388" s="2" t="inlineStr"/>
    </row>
    <row r="5389" ht="15" customHeight="1">
      <c r="A5389" t="inlineStr">
        <is>
          <t>A 45331-2022</t>
        </is>
      </c>
      <c r="B5389" s="1" t="n">
        <v>44841</v>
      </c>
      <c r="C5389" s="1" t="n">
        <v>45182</v>
      </c>
      <c r="D5389" t="inlineStr">
        <is>
          <t>JÄMTLANDS LÄN</t>
        </is>
      </c>
      <c r="E5389" t="inlineStr">
        <is>
          <t>STRÖMSUND</t>
        </is>
      </c>
      <c r="G5389" t="n">
        <v>1.9</v>
      </c>
      <c r="H5389" t="n">
        <v>0</v>
      </c>
      <c r="I5389" t="n">
        <v>0</v>
      </c>
      <c r="J5389" t="n">
        <v>0</v>
      </c>
      <c r="K5389" t="n">
        <v>0</v>
      </c>
      <c r="L5389" t="n">
        <v>0</v>
      </c>
      <c r="M5389" t="n">
        <v>0</v>
      </c>
      <c r="N5389" t="n">
        <v>0</v>
      </c>
      <c r="O5389" t="n">
        <v>0</v>
      </c>
      <c r="P5389" t="n">
        <v>0</v>
      </c>
      <c r="Q5389" t="n">
        <v>0</v>
      </c>
      <c r="R5389" s="2" t="inlineStr"/>
    </row>
    <row r="5390" ht="15" customHeight="1">
      <c r="A5390" t="inlineStr">
        <is>
          <t>A 45437-2022</t>
        </is>
      </c>
      <c r="B5390" s="1" t="n">
        <v>44844</v>
      </c>
      <c r="C5390" s="1" t="n">
        <v>45182</v>
      </c>
      <c r="D5390" t="inlineStr">
        <is>
          <t>JÄMTLANDS LÄN</t>
        </is>
      </c>
      <c r="E5390" t="inlineStr">
        <is>
          <t>RAGUNDA</t>
        </is>
      </c>
      <c r="F5390" t="inlineStr">
        <is>
          <t>SCA</t>
        </is>
      </c>
      <c r="G5390" t="n">
        <v>12</v>
      </c>
      <c r="H5390" t="n">
        <v>0</v>
      </c>
      <c r="I5390" t="n">
        <v>0</v>
      </c>
      <c r="J5390" t="n">
        <v>0</v>
      </c>
      <c r="K5390" t="n">
        <v>0</v>
      </c>
      <c r="L5390" t="n">
        <v>0</v>
      </c>
      <c r="M5390" t="n">
        <v>0</v>
      </c>
      <c r="N5390" t="n">
        <v>0</v>
      </c>
      <c r="O5390" t="n">
        <v>0</v>
      </c>
      <c r="P5390" t="n">
        <v>0</v>
      </c>
      <c r="Q5390" t="n">
        <v>0</v>
      </c>
      <c r="R5390" s="2" t="inlineStr"/>
    </row>
    <row r="5391" ht="15" customHeight="1">
      <c r="A5391" t="inlineStr">
        <is>
          <t>A 45426-2022</t>
        </is>
      </c>
      <c r="B5391" s="1" t="n">
        <v>44844</v>
      </c>
      <c r="C5391" s="1" t="n">
        <v>45182</v>
      </c>
      <c r="D5391" t="inlineStr">
        <is>
          <t>JÄMTLANDS LÄN</t>
        </is>
      </c>
      <c r="E5391" t="inlineStr">
        <is>
          <t>BRÄCKE</t>
        </is>
      </c>
      <c r="F5391" t="inlineStr">
        <is>
          <t>SCA</t>
        </is>
      </c>
      <c r="G5391" t="n">
        <v>0.4</v>
      </c>
      <c r="H5391" t="n">
        <v>0</v>
      </c>
      <c r="I5391" t="n">
        <v>0</v>
      </c>
      <c r="J5391" t="n">
        <v>0</v>
      </c>
      <c r="K5391" t="n">
        <v>0</v>
      </c>
      <c r="L5391" t="n">
        <v>0</v>
      </c>
      <c r="M5391" t="n">
        <v>0</v>
      </c>
      <c r="N5391" t="n">
        <v>0</v>
      </c>
      <c r="O5391" t="n">
        <v>0</v>
      </c>
      <c r="P5391" t="n">
        <v>0</v>
      </c>
      <c r="Q5391" t="n">
        <v>0</v>
      </c>
      <c r="R5391" s="2" t="inlineStr"/>
    </row>
    <row r="5392" ht="15" customHeight="1">
      <c r="A5392" t="inlineStr">
        <is>
          <t>A 45701-2022</t>
        </is>
      </c>
      <c r="B5392" s="1" t="n">
        <v>44845</v>
      </c>
      <c r="C5392" s="1" t="n">
        <v>45182</v>
      </c>
      <c r="D5392" t="inlineStr">
        <is>
          <t>JÄMTLANDS LÄN</t>
        </is>
      </c>
      <c r="E5392" t="inlineStr">
        <is>
          <t>BRÄCKE</t>
        </is>
      </c>
      <c r="F5392" t="inlineStr">
        <is>
          <t>SCA</t>
        </is>
      </c>
      <c r="G5392" t="n">
        <v>2.9</v>
      </c>
      <c r="H5392" t="n">
        <v>0</v>
      </c>
      <c r="I5392" t="n">
        <v>0</v>
      </c>
      <c r="J5392" t="n">
        <v>0</v>
      </c>
      <c r="K5392" t="n">
        <v>0</v>
      </c>
      <c r="L5392" t="n">
        <v>0</v>
      </c>
      <c r="M5392" t="n">
        <v>0</v>
      </c>
      <c r="N5392" t="n">
        <v>0</v>
      </c>
      <c r="O5392" t="n">
        <v>0</v>
      </c>
      <c r="P5392" t="n">
        <v>0</v>
      </c>
      <c r="Q5392" t="n">
        <v>0</v>
      </c>
      <c r="R5392" s="2" t="inlineStr"/>
    </row>
    <row r="5393" ht="15" customHeight="1">
      <c r="A5393" t="inlineStr">
        <is>
          <t>A 45712-2022</t>
        </is>
      </c>
      <c r="B5393" s="1" t="n">
        <v>44845</v>
      </c>
      <c r="C5393" s="1" t="n">
        <v>45182</v>
      </c>
      <c r="D5393" t="inlineStr">
        <is>
          <t>JÄMTLANDS LÄN</t>
        </is>
      </c>
      <c r="E5393" t="inlineStr">
        <is>
          <t>RAGUNDA</t>
        </is>
      </c>
      <c r="F5393" t="inlineStr">
        <is>
          <t>SCA</t>
        </is>
      </c>
      <c r="G5393" t="n">
        <v>3.3</v>
      </c>
      <c r="H5393" t="n">
        <v>0</v>
      </c>
      <c r="I5393" t="n">
        <v>0</v>
      </c>
      <c r="J5393" t="n">
        <v>0</v>
      </c>
      <c r="K5393" t="n">
        <v>0</v>
      </c>
      <c r="L5393" t="n">
        <v>0</v>
      </c>
      <c r="M5393" t="n">
        <v>0</v>
      </c>
      <c r="N5393" t="n">
        <v>0</v>
      </c>
      <c r="O5393" t="n">
        <v>0</v>
      </c>
      <c r="P5393" t="n">
        <v>0</v>
      </c>
      <c r="Q5393" t="n">
        <v>0</v>
      </c>
      <c r="R5393" s="2" t="inlineStr"/>
    </row>
    <row r="5394" ht="15" customHeight="1">
      <c r="A5394" t="inlineStr">
        <is>
          <t>A 45660-2022</t>
        </is>
      </c>
      <c r="B5394" s="1" t="n">
        <v>44845</v>
      </c>
      <c r="C5394" s="1" t="n">
        <v>45182</v>
      </c>
      <c r="D5394" t="inlineStr">
        <is>
          <t>JÄMTLANDS LÄN</t>
        </is>
      </c>
      <c r="E5394" t="inlineStr">
        <is>
          <t>ÅRE</t>
        </is>
      </c>
      <c r="F5394" t="inlineStr">
        <is>
          <t>Kyrkan</t>
        </is>
      </c>
      <c r="G5394" t="n">
        <v>2.1</v>
      </c>
      <c r="H5394" t="n">
        <v>0</v>
      </c>
      <c r="I5394" t="n">
        <v>0</v>
      </c>
      <c r="J5394" t="n">
        <v>0</v>
      </c>
      <c r="K5394" t="n">
        <v>0</v>
      </c>
      <c r="L5394" t="n">
        <v>0</v>
      </c>
      <c r="M5394" t="n">
        <v>0</v>
      </c>
      <c r="N5394" t="n">
        <v>0</v>
      </c>
      <c r="O5394" t="n">
        <v>0</v>
      </c>
      <c r="P5394" t="n">
        <v>0</v>
      </c>
      <c r="Q5394" t="n">
        <v>0</v>
      </c>
      <c r="R5394" s="2" t="inlineStr"/>
    </row>
    <row r="5395" ht="15" customHeight="1">
      <c r="A5395" t="inlineStr">
        <is>
          <t>A 45715-2022</t>
        </is>
      </c>
      <c r="B5395" s="1" t="n">
        <v>44845</v>
      </c>
      <c r="C5395" s="1" t="n">
        <v>45182</v>
      </c>
      <c r="D5395" t="inlineStr">
        <is>
          <t>JÄMTLANDS LÄN</t>
        </is>
      </c>
      <c r="E5395" t="inlineStr">
        <is>
          <t>RAGUNDA</t>
        </is>
      </c>
      <c r="F5395" t="inlineStr">
        <is>
          <t>SCA</t>
        </is>
      </c>
      <c r="G5395" t="n">
        <v>8.6</v>
      </c>
      <c r="H5395" t="n">
        <v>0</v>
      </c>
      <c r="I5395" t="n">
        <v>0</v>
      </c>
      <c r="J5395" t="n">
        <v>0</v>
      </c>
      <c r="K5395" t="n">
        <v>0</v>
      </c>
      <c r="L5395" t="n">
        <v>0</v>
      </c>
      <c r="M5395" t="n">
        <v>0</v>
      </c>
      <c r="N5395" t="n">
        <v>0</v>
      </c>
      <c r="O5395" t="n">
        <v>0</v>
      </c>
      <c r="P5395" t="n">
        <v>0</v>
      </c>
      <c r="Q5395" t="n">
        <v>0</v>
      </c>
      <c r="R5395" s="2" t="inlineStr"/>
    </row>
    <row r="5396" ht="15" customHeight="1">
      <c r="A5396" t="inlineStr">
        <is>
          <t>A 45913-2022</t>
        </is>
      </c>
      <c r="B5396" s="1" t="n">
        <v>44845</v>
      </c>
      <c r="C5396" s="1" t="n">
        <v>45182</v>
      </c>
      <c r="D5396" t="inlineStr">
        <is>
          <t>JÄMTLANDS LÄN</t>
        </is>
      </c>
      <c r="E5396" t="inlineStr">
        <is>
          <t>BRÄCKE</t>
        </is>
      </c>
      <c r="G5396" t="n">
        <v>1.1</v>
      </c>
      <c r="H5396" t="n">
        <v>0</v>
      </c>
      <c r="I5396" t="n">
        <v>0</v>
      </c>
      <c r="J5396" t="n">
        <v>0</v>
      </c>
      <c r="K5396" t="n">
        <v>0</v>
      </c>
      <c r="L5396" t="n">
        <v>0</v>
      </c>
      <c r="M5396" t="n">
        <v>0</v>
      </c>
      <c r="N5396" t="n">
        <v>0</v>
      </c>
      <c r="O5396" t="n">
        <v>0</v>
      </c>
      <c r="P5396" t="n">
        <v>0</v>
      </c>
      <c r="Q5396" t="n">
        <v>0</v>
      </c>
      <c r="R5396" s="2" t="inlineStr"/>
    </row>
    <row r="5397" ht="15" customHeight="1">
      <c r="A5397" t="inlineStr">
        <is>
          <t>A 46167-2022</t>
        </is>
      </c>
      <c r="B5397" s="1" t="n">
        <v>44845</v>
      </c>
      <c r="C5397" s="1" t="n">
        <v>45182</v>
      </c>
      <c r="D5397" t="inlineStr">
        <is>
          <t>JÄMTLANDS LÄN</t>
        </is>
      </c>
      <c r="E5397" t="inlineStr">
        <is>
          <t>BERG</t>
        </is>
      </c>
      <c r="G5397" t="n">
        <v>35.2</v>
      </c>
      <c r="H5397" t="n">
        <v>0</v>
      </c>
      <c r="I5397" t="n">
        <v>0</v>
      </c>
      <c r="J5397" t="n">
        <v>0</v>
      </c>
      <c r="K5397" t="n">
        <v>0</v>
      </c>
      <c r="L5397" t="n">
        <v>0</v>
      </c>
      <c r="M5397" t="n">
        <v>0</v>
      </c>
      <c r="N5397" t="n">
        <v>0</v>
      </c>
      <c r="O5397" t="n">
        <v>0</v>
      </c>
      <c r="P5397" t="n">
        <v>0</v>
      </c>
      <c r="Q5397" t="n">
        <v>0</v>
      </c>
      <c r="R5397" s="2" t="inlineStr"/>
    </row>
    <row r="5398" ht="15" customHeight="1">
      <c r="A5398" t="inlineStr">
        <is>
          <t>A 45533-2022</t>
        </is>
      </c>
      <c r="B5398" s="1" t="n">
        <v>44845</v>
      </c>
      <c r="C5398" s="1" t="n">
        <v>45182</v>
      </c>
      <c r="D5398" t="inlineStr">
        <is>
          <t>JÄMTLANDS LÄN</t>
        </is>
      </c>
      <c r="E5398" t="inlineStr">
        <is>
          <t>BRÄCKE</t>
        </is>
      </c>
      <c r="F5398" t="inlineStr">
        <is>
          <t>Övriga Aktiebolag</t>
        </is>
      </c>
      <c r="G5398" t="n">
        <v>13.7</v>
      </c>
      <c r="H5398" t="n">
        <v>0</v>
      </c>
      <c r="I5398" t="n">
        <v>0</v>
      </c>
      <c r="J5398" t="n">
        <v>0</v>
      </c>
      <c r="K5398" t="n">
        <v>0</v>
      </c>
      <c r="L5398" t="n">
        <v>0</v>
      </c>
      <c r="M5398" t="n">
        <v>0</v>
      </c>
      <c r="N5398" t="n">
        <v>0</v>
      </c>
      <c r="O5398" t="n">
        <v>0</v>
      </c>
      <c r="P5398" t="n">
        <v>0</v>
      </c>
      <c r="Q5398" t="n">
        <v>0</v>
      </c>
      <c r="R5398" s="2" t="inlineStr"/>
    </row>
    <row r="5399" ht="15" customHeight="1">
      <c r="A5399" t="inlineStr">
        <is>
          <t>A 45710-2022</t>
        </is>
      </c>
      <c r="B5399" s="1" t="n">
        <v>44845</v>
      </c>
      <c r="C5399" s="1" t="n">
        <v>45182</v>
      </c>
      <c r="D5399" t="inlineStr">
        <is>
          <t>JÄMTLANDS LÄN</t>
        </is>
      </c>
      <c r="E5399" t="inlineStr">
        <is>
          <t>RAGUNDA</t>
        </is>
      </c>
      <c r="F5399" t="inlineStr">
        <is>
          <t>SCA</t>
        </is>
      </c>
      <c r="G5399" t="n">
        <v>2.6</v>
      </c>
      <c r="H5399" t="n">
        <v>0</v>
      </c>
      <c r="I5399" t="n">
        <v>0</v>
      </c>
      <c r="J5399" t="n">
        <v>0</v>
      </c>
      <c r="K5399" t="n">
        <v>0</v>
      </c>
      <c r="L5399" t="n">
        <v>0</v>
      </c>
      <c r="M5399" t="n">
        <v>0</v>
      </c>
      <c r="N5399" t="n">
        <v>0</v>
      </c>
      <c r="O5399" t="n">
        <v>0</v>
      </c>
      <c r="P5399" t="n">
        <v>0</v>
      </c>
      <c r="Q5399" t="n">
        <v>0</v>
      </c>
      <c r="R5399" s="2" t="inlineStr"/>
    </row>
    <row r="5400" ht="15" customHeight="1">
      <c r="A5400" t="inlineStr">
        <is>
          <t>A 45718-2022</t>
        </is>
      </c>
      <c r="B5400" s="1" t="n">
        <v>44845</v>
      </c>
      <c r="C5400" s="1" t="n">
        <v>45182</v>
      </c>
      <c r="D5400" t="inlineStr">
        <is>
          <t>JÄMTLANDS LÄN</t>
        </is>
      </c>
      <c r="E5400" t="inlineStr">
        <is>
          <t>RAGUNDA</t>
        </is>
      </c>
      <c r="F5400" t="inlineStr">
        <is>
          <t>SCA</t>
        </is>
      </c>
      <c r="G5400" t="n">
        <v>19.3</v>
      </c>
      <c r="H5400" t="n">
        <v>0</v>
      </c>
      <c r="I5400" t="n">
        <v>0</v>
      </c>
      <c r="J5400" t="n">
        <v>0</v>
      </c>
      <c r="K5400" t="n">
        <v>0</v>
      </c>
      <c r="L5400" t="n">
        <v>0</v>
      </c>
      <c r="M5400" t="n">
        <v>0</v>
      </c>
      <c r="N5400" t="n">
        <v>0</v>
      </c>
      <c r="O5400" t="n">
        <v>0</v>
      </c>
      <c r="P5400" t="n">
        <v>0</v>
      </c>
      <c r="Q5400" t="n">
        <v>0</v>
      </c>
      <c r="R5400" s="2" t="inlineStr"/>
    </row>
    <row r="5401" ht="15" customHeight="1">
      <c r="A5401" t="inlineStr">
        <is>
          <t>A 46151-2022</t>
        </is>
      </c>
      <c r="B5401" s="1" t="n">
        <v>44845</v>
      </c>
      <c r="C5401" s="1" t="n">
        <v>45182</v>
      </c>
      <c r="D5401" t="inlineStr">
        <is>
          <t>JÄMTLANDS LÄN</t>
        </is>
      </c>
      <c r="E5401" t="inlineStr">
        <is>
          <t>BERG</t>
        </is>
      </c>
      <c r="G5401" t="n">
        <v>2.2</v>
      </c>
      <c r="H5401" t="n">
        <v>0</v>
      </c>
      <c r="I5401" t="n">
        <v>0</v>
      </c>
      <c r="J5401" t="n">
        <v>0</v>
      </c>
      <c r="K5401" t="n">
        <v>0</v>
      </c>
      <c r="L5401" t="n">
        <v>0</v>
      </c>
      <c r="M5401" t="n">
        <v>0</v>
      </c>
      <c r="N5401" t="n">
        <v>0</v>
      </c>
      <c r="O5401" t="n">
        <v>0</v>
      </c>
      <c r="P5401" t="n">
        <v>0</v>
      </c>
      <c r="Q5401" t="n">
        <v>0</v>
      </c>
      <c r="R5401" s="2" t="inlineStr"/>
    </row>
    <row r="5402" ht="15" customHeight="1">
      <c r="A5402" t="inlineStr">
        <is>
          <t>A 46048-2022</t>
        </is>
      </c>
      <c r="B5402" s="1" t="n">
        <v>44846</v>
      </c>
      <c r="C5402" s="1" t="n">
        <v>45182</v>
      </c>
      <c r="D5402" t="inlineStr">
        <is>
          <t>JÄMTLANDS LÄN</t>
        </is>
      </c>
      <c r="E5402" t="inlineStr">
        <is>
          <t>RAGUNDA</t>
        </is>
      </c>
      <c r="F5402" t="inlineStr">
        <is>
          <t>SCA</t>
        </is>
      </c>
      <c r="G5402" t="n">
        <v>2.6</v>
      </c>
      <c r="H5402" t="n">
        <v>0</v>
      </c>
      <c r="I5402" t="n">
        <v>0</v>
      </c>
      <c r="J5402" t="n">
        <v>0</v>
      </c>
      <c r="K5402" t="n">
        <v>0</v>
      </c>
      <c r="L5402" t="n">
        <v>0</v>
      </c>
      <c r="M5402" t="n">
        <v>0</v>
      </c>
      <c r="N5402" t="n">
        <v>0</v>
      </c>
      <c r="O5402" t="n">
        <v>0</v>
      </c>
      <c r="P5402" t="n">
        <v>0</v>
      </c>
      <c r="Q5402" t="n">
        <v>0</v>
      </c>
      <c r="R5402" s="2" t="inlineStr"/>
    </row>
    <row r="5403" ht="15" customHeight="1">
      <c r="A5403" t="inlineStr">
        <is>
          <t>A 46054-2022</t>
        </is>
      </c>
      <c r="B5403" s="1" t="n">
        <v>44846</v>
      </c>
      <c r="C5403" s="1" t="n">
        <v>45182</v>
      </c>
      <c r="D5403" t="inlineStr">
        <is>
          <t>JÄMTLANDS LÄN</t>
        </is>
      </c>
      <c r="E5403" t="inlineStr">
        <is>
          <t>STRÖMSUND</t>
        </is>
      </c>
      <c r="F5403" t="inlineStr">
        <is>
          <t>SCA</t>
        </is>
      </c>
      <c r="G5403" t="n">
        <v>0.8</v>
      </c>
      <c r="H5403" t="n">
        <v>0</v>
      </c>
      <c r="I5403" t="n">
        <v>0</v>
      </c>
      <c r="J5403" t="n">
        <v>0</v>
      </c>
      <c r="K5403" t="n">
        <v>0</v>
      </c>
      <c r="L5403" t="n">
        <v>0</v>
      </c>
      <c r="M5403" t="n">
        <v>0</v>
      </c>
      <c r="N5403" t="n">
        <v>0</v>
      </c>
      <c r="O5403" t="n">
        <v>0</v>
      </c>
      <c r="P5403" t="n">
        <v>0</v>
      </c>
      <c r="Q5403" t="n">
        <v>0</v>
      </c>
      <c r="R5403" s="2" t="inlineStr"/>
    </row>
    <row r="5404" ht="15" customHeight="1">
      <c r="A5404" t="inlineStr">
        <is>
          <t>A 47320-2022</t>
        </is>
      </c>
      <c r="B5404" s="1" t="n">
        <v>44846</v>
      </c>
      <c r="C5404" s="1" t="n">
        <v>45182</v>
      </c>
      <c r="D5404" t="inlineStr">
        <is>
          <t>JÄMTLANDS LÄN</t>
        </is>
      </c>
      <c r="E5404" t="inlineStr">
        <is>
          <t>STRÖMSUND</t>
        </is>
      </c>
      <c r="G5404" t="n">
        <v>6.5</v>
      </c>
      <c r="H5404" t="n">
        <v>0</v>
      </c>
      <c r="I5404" t="n">
        <v>0</v>
      </c>
      <c r="J5404" t="n">
        <v>0</v>
      </c>
      <c r="K5404" t="n">
        <v>0</v>
      </c>
      <c r="L5404" t="n">
        <v>0</v>
      </c>
      <c r="M5404" t="n">
        <v>0</v>
      </c>
      <c r="N5404" t="n">
        <v>0</v>
      </c>
      <c r="O5404" t="n">
        <v>0</v>
      </c>
      <c r="P5404" t="n">
        <v>0</v>
      </c>
      <c r="Q5404" t="n">
        <v>0</v>
      </c>
      <c r="R5404" s="2" t="inlineStr"/>
    </row>
    <row r="5405" ht="15" customHeight="1">
      <c r="A5405" t="inlineStr">
        <is>
          <t>A 46050-2022</t>
        </is>
      </c>
      <c r="B5405" s="1" t="n">
        <v>44846</v>
      </c>
      <c r="C5405" s="1" t="n">
        <v>45182</v>
      </c>
      <c r="D5405" t="inlineStr">
        <is>
          <t>JÄMTLANDS LÄN</t>
        </is>
      </c>
      <c r="E5405" t="inlineStr">
        <is>
          <t>RAGUNDA</t>
        </is>
      </c>
      <c r="F5405" t="inlineStr">
        <is>
          <t>SCA</t>
        </is>
      </c>
      <c r="G5405" t="n">
        <v>3.4</v>
      </c>
      <c r="H5405" t="n">
        <v>0</v>
      </c>
      <c r="I5405" t="n">
        <v>0</v>
      </c>
      <c r="J5405" t="n">
        <v>0</v>
      </c>
      <c r="K5405" t="n">
        <v>0</v>
      </c>
      <c r="L5405" t="n">
        <v>0</v>
      </c>
      <c r="M5405" t="n">
        <v>0</v>
      </c>
      <c r="N5405" t="n">
        <v>0</v>
      </c>
      <c r="O5405" t="n">
        <v>0</v>
      </c>
      <c r="P5405" t="n">
        <v>0</v>
      </c>
      <c r="Q5405" t="n">
        <v>0</v>
      </c>
      <c r="R5405" s="2" t="inlineStr"/>
    </row>
    <row r="5406" ht="15" customHeight="1">
      <c r="A5406" t="inlineStr">
        <is>
          <t>A 46753-2022</t>
        </is>
      </c>
      <c r="B5406" s="1" t="n">
        <v>44847</v>
      </c>
      <c r="C5406" s="1" t="n">
        <v>45182</v>
      </c>
      <c r="D5406" t="inlineStr">
        <is>
          <t>JÄMTLANDS LÄN</t>
        </is>
      </c>
      <c r="E5406" t="inlineStr">
        <is>
          <t>KROKOM</t>
        </is>
      </c>
      <c r="G5406" t="n">
        <v>0.5</v>
      </c>
      <c r="H5406" t="n">
        <v>0</v>
      </c>
      <c r="I5406" t="n">
        <v>0</v>
      </c>
      <c r="J5406" t="n">
        <v>0</v>
      </c>
      <c r="K5406" t="n">
        <v>0</v>
      </c>
      <c r="L5406" t="n">
        <v>0</v>
      </c>
      <c r="M5406" t="n">
        <v>0</v>
      </c>
      <c r="N5406" t="n">
        <v>0</v>
      </c>
      <c r="O5406" t="n">
        <v>0</v>
      </c>
      <c r="P5406" t="n">
        <v>0</v>
      </c>
      <c r="Q5406" t="n">
        <v>0</v>
      </c>
      <c r="R5406" s="2" t="inlineStr"/>
    </row>
    <row r="5407" ht="15" customHeight="1">
      <c r="A5407" t="inlineStr">
        <is>
          <t>A 46761-2022</t>
        </is>
      </c>
      <c r="B5407" s="1" t="n">
        <v>44847</v>
      </c>
      <c r="C5407" s="1" t="n">
        <v>45182</v>
      </c>
      <c r="D5407" t="inlineStr">
        <is>
          <t>JÄMTLANDS LÄN</t>
        </is>
      </c>
      <c r="E5407" t="inlineStr">
        <is>
          <t>KROKOM</t>
        </is>
      </c>
      <c r="G5407" t="n">
        <v>0.2</v>
      </c>
      <c r="H5407" t="n">
        <v>0</v>
      </c>
      <c r="I5407" t="n">
        <v>0</v>
      </c>
      <c r="J5407" t="n">
        <v>0</v>
      </c>
      <c r="K5407" t="n">
        <v>0</v>
      </c>
      <c r="L5407" t="n">
        <v>0</v>
      </c>
      <c r="M5407" t="n">
        <v>0</v>
      </c>
      <c r="N5407" t="n">
        <v>0</v>
      </c>
      <c r="O5407" t="n">
        <v>0</v>
      </c>
      <c r="P5407" t="n">
        <v>0</v>
      </c>
      <c r="Q5407" t="n">
        <v>0</v>
      </c>
      <c r="R5407" s="2" t="inlineStr"/>
    </row>
    <row r="5408" ht="15" customHeight="1">
      <c r="A5408" t="inlineStr">
        <is>
          <t>A 46507-2022</t>
        </is>
      </c>
      <c r="B5408" s="1" t="n">
        <v>44848</v>
      </c>
      <c r="C5408" s="1" t="n">
        <v>45182</v>
      </c>
      <c r="D5408" t="inlineStr">
        <is>
          <t>JÄMTLANDS LÄN</t>
        </is>
      </c>
      <c r="E5408" t="inlineStr">
        <is>
          <t>KROKOM</t>
        </is>
      </c>
      <c r="G5408" t="n">
        <v>0.4</v>
      </c>
      <c r="H5408" t="n">
        <v>0</v>
      </c>
      <c r="I5408" t="n">
        <v>0</v>
      </c>
      <c r="J5408" t="n">
        <v>0</v>
      </c>
      <c r="K5408" t="n">
        <v>0</v>
      </c>
      <c r="L5408" t="n">
        <v>0</v>
      </c>
      <c r="M5408" t="n">
        <v>0</v>
      </c>
      <c r="N5408" t="n">
        <v>0</v>
      </c>
      <c r="O5408" t="n">
        <v>0</v>
      </c>
      <c r="P5408" t="n">
        <v>0</v>
      </c>
      <c r="Q5408" t="n">
        <v>0</v>
      </c>
      <c r="R5408" s="2" t="inlineStr"/>
    </row>
    <row r="5409" ht="15" customHeight="1">
      <c r="A5409" t="inlineStr">
        <is>
          <t>A 46597-2022</t>
        </is>
      </c>
      <c r="B5409" s="1" t="n">
        <v>44848</v>
      </c>
      <c r="C5409" s="1" t="n">
        <v>45182</v>
      </c>
      <c r="D5409" t="inlineStr">
        <is>
          <t>JÄMTLANDS LÄN</t>
        </is>
      </c>
      <c r="E5409" t="inlineStr">
        <is>
          <t>BRÄCKE</t>
        </is>
      </c>
      <c r="G5409" t="n">
        <v>5.5</v>
      </c>
      <c r="H5409" t="n">
        <v>0</v>
      </c>
      <c r="I5409" t="n">
        <v>0</v>
      </c>
      <c r="J5409" t="n">
        <v>0</v>
      </c>
      <c r="K5409" t="n">
        <v>0</v>
      </c>
      <c r="L5409" t="n">
        <v>0</v>
      </c>
      <c r="M5409" t="n">
        <v>0</v>
      </c>
      <c r="N5409" t="n">
        <v>0</v>
      </c>
      <c r="O5409" t="n">
        <v>0</v>
      </c>
      <c r="P5409" t="n">
        <v>0</v>
      </c>
      <c r="Q5409" t="n">
        <v>0</v>
      </c>
      <c r="R5409" s="2" t="inlineStr"/>
    </row>
    <row r="5410" ht="15" customHeight="1">
      <c r="A5410" t="inlineStr">
        <is>
          <t>A 46631-2022</t>
        </is>
      </c>
      <c r="B5410" s="1" t="n">
        <v>44848</v>
      </c>
      <c r="C5410" s="1" t="n">
        <v>45182</v>
      </c>
      <c r="D5410" t="inlineStr">
        <is>
          <t>JÄMTLANDS LÄN</t>
        </is>
      </c>
      <c r="E5410" t="inlineStr">
        <is>
          <t>KROKOM</t>
        </is>
      </c>
      <c r="G5410" t="n">
        <v>14.3</v>
      </c>
      <c r="H5410" t="n">
        <v>0</v>
      </c>
      <c r="I5410" t="n">
        <v>0</v>
      </c>
      <c r="J5410" t="n">
        <v>0</v>
      </c>
      <c r="K5410" t="n">
        <v>0</v>
      </c>
      <c r="L5410" t="n">
        <v>0</v>
      </c>
      <c r="M5410" t="n">
        <v>0</v>
      </c>
      <c r="N5410" t="n">
        <v>0</v>
      </c>
      <c r="O5410" t="n">
        <v>0</v>
      </c>
      <c r="P5410" t="n">
        <v>0</v>
      </c>
      <c r="Q5410" t="n">
        <v>0</v>
      </c>
      <c r="R5410" s="2" t="inlineStr"/>
    </row>
    <row r="5411" ht="15" customHeight="1">
      <c r="A5411" t="inlineStr">
        <is>
          <t>A 46601-2022</t>
        </is>
      </c>
      <c r="B5411" s="1" t="n">
        <v>44848</v>
      </c>
      <c r="C5411" s="1" t="n">
        <v>45182</v>
      </c>
      <c r="D5411" t="inlineStr">
        <is>
          <t>JÄMTLANDS LÄN</t>
        </is>
      </c>
      <c r="E5411" t="inlineStr">
        <is>
          <t>BRÄCKE</t>
        </is>
      </c>
      <c r="G5411" t="n">
        <v>2.7</v>
      </c>
      <c r="H5411" t="n">
        <v>0</v>
      </c>
      <c r="I5411" t="n">
        <v>0</v>
      </c>
      <c r="J5411" t="n">
        <v>0</v>
      </c>
      <c r="K5411" t="n">
        <v>0</v>
      </c>
      <c r="L5411" t="n">
        <v>0</v>
      </c>
      <c r="M5411" t="n">
        <v>0</v>
      </c>
      <c r="N5411" t="n">
        <v>0</v>
      </c>
      <c r="O5411" t="n">
        <v>0</v>
      </c>
      <c r="P5411" t="n">
        <v>0</v>
      </c>
      <c r="Q5411" t="n">
        <v>0</v>
      </c>
      <c r="R5411" s="2" t="inlineStr"/>
    </row>
    <row r="5412" ht="15" customHeight="1">
      <c r="A5412" t="inlineStr">
        <is>
          <t>A 46506-2022</t>
        </is>
      </c>
      <c r="B5412" s="1" t="n">
        <v>44848</v>
      </c>
      <c r="C5412" s="1" t="n">
        <v>45182</v>
      </c>
      <c r="D5412" t="inlineStr">
        <is>
          <t>JÄMTLANDS LÄN</t>
        </is>
      </c>
      <c r="E5412" t="inlineStr">
        <is>
          <t>KROKOM</t>
        </is>
      </c>
      <c r="G5412" t="n">
        <v>1.9</v>
      </c>
      <c r="H5412" t="n">
        <v>0</v>
      </c>
      <c r="I5412" t="n">
        <v>0</v>
      </c>
      <c r="J5412" t="n">
        <v>0</v>
      </c>
      <c r="K5412" t="n">
        <v>0</v>
      </c>
      <c r="L5412" t="n">
        <v>0</v>
      </c>
      <c r="M5412" t="n">
        <v>0</v>
      </c>
      <c r="N5412" t="n">
        <v>0</v>
      </c>
      <c r="O5412" t="n">
        <v>0</v>
      </c>
      <c r="P5412" t="n">
        <v>0</v>
      </c>
      <c r="Q5412" t="n">
        <v>0</v>
      </c>
      <c r="R5412" s="2" t="inlineStr"/>
    </row>
    <row r="5413" ht="15" customHeight="1">
      <c r="A5413" t="inlineStr">
        <is>
          <t>A 46602-2022</t>
        </is>
      </c>
      <c r="B5413" s="1" t="n">
        <v>44848</v>
      </c>
      <c r="C5413" s="1" t="n">
        <v>45182</v>
      </c>
      <c r="D5413" t="inlineStr">
        <is>
          <t>JÄMTLANDS LÄN</t>
        </is>
      </c>
      <c r="E5413" t="inlineStr">
        <is>
          <t>BRÄCKE</t>
        </is>
      </c>
      <c r="G5413" t="n">
        <v>1.6</v>
      </c>
      <c r="H5413" t="n">
        <v>0</v>
      </c>
      <c r="I5413" t="n">
        <v>0</v>
      </c>
      <c r="J5413" t="n">
        <v>0</v>
      </c>
      <c r="K5413" t="n">
        <v>0</v>
      </c>
      <c r="L5413" t="n">
        <v>0</v>
      </c>
      <c r="M5413" t="n">
        <v>0</v>
      </c>
      <c r="N5413" t="n">
        <v>0</v>
      </c>
      <c r="O5413" t="n">
        <v>0</v>
      </c>
      <c r="P5413" t="n">
        <v>0</v>
      </c>
      <c r="Q5413" t="n">
        <v>0</v>
      </c>
      <c r="R5413" s="2" t="inlineStr"/>
    </row>
    <row r="5414" ht="15" customHeight="1">
      <c r="A5414" t="inlineStr">
        <is>
          <t>A 46481-2022</t>
        </is>
      </c>
      <c r="B5414" s="1" t="n">
        <v>44848</v>
      </c>
      <c r="C5414" s="1" t="n">
        <v>45182</v>
      </c>
      <c r="D5414" t="inlineStr">
        <is>
          <t>JÄMTLANDS LÄN</t>
        </is>
      </c>
      <c r="E5414" t="inlineStr">
        <is>
          <t>ÅRE</t>
        </is>
      </c>
      <c r="G5414" t="n">
        <v>2.7</v>
      </c>
      <c r="H5414" t="n">
        <v>0</v>
      </c>
      <c r="I5414" t="n">
        <v>0</v>
      </c>
      <c r="J5414" t="n">
        <v>0</v>
      </c>
      <c r="K5414" t="n">
        <v>0</v>
      </c>
      <c r="L5414" t="n">
        <v>0</v>
      </c>
      <c r="M5414" t="n">
        <v>0</v>
      </c>
      <c r="N5414" t="n">
        <v>0</v>
      </c>
      <c r="O5414" t="n">
        <v>0</v>
      </c>
      <c r="P5414" t="n">
        <v>0</v>
      </c>
      <c r="Q5414" t="n">
        <v>0</v>
      </c>
      <c r="R5414" s="2" t="inlineStr"/>
    </row>
    <row r="5415" ht="15" customHeight="1">
      <c r="A5415" t="inlineStr">
        <is>
          <t>A 46598-2022</t>
        </is>
      </c>
      <c r="B5415" s="1" t="n">
        <v>44848</v>
      </c>
      <c r="C5415" s="1" t="n">
        <v>45182</v>
      </c>
      <c r="D5415" t="inlineStr">
        <is>
          <t>JÄMTLANDS LÄN</t>
        </is>
      </c>
      <c r="E5415" t="inlineStr">
        <is>
          <t>BRÄCKE</t>
        </is>
      </c>
      <c r="G5415" t="n">
        <v>2.2</v>
      </c>
      <c r="H5415" t="n">
        <v>0</v>
      </c>
      <c r="I5415" t="n">
        <v>0</v>
      </c>
      <c r="J5415" t="n">
        <v>0</v>
      </c>
      <c r="K5415" t="n">
        <v>0</v>
      </c>
      <c r="L5415" t="n">
        <v>0</v>
      </c>
      <c r="M5415" t="n">
        <v>0</v>
      </c>
      <c r="N5415" t="n">
        <v>0</v>
      </c>
      <c r="O5415" t="n">
        <v>0</v>
      </c>
      <c r="P5415" t="n">
        <v>0</v>
      </c>
      <c r="Q5415" t="n">
        <v>0</v>
      </c>
      <c r="R5415" s="2" t="inlineStr"/>
    </row>
    <row r="5416" ht="15" customHeight="1">
      <c r="A5416" t="inlineStr">
        <is>
          <t>A 46649-2022</t>
        </is>
      </c>
      <c r="B5416" s="1" t="n">
        <v>44849</v>
      </c>
      <c r="C5416" s="1" t="n">
        <v>45182</v>
      </c>
      <c r="D5416" t="inlineStr">
        <is>
          <t>JÄMTLANDS LÄN</t>
        </is>
      </c>
      <c r="E5416" t="inlineStr">
        <is>
          <t>BRÄCKE</t>
        </is>
      </c>
      <c r="F5416" t="inlineStr">
        <is>
          <t>SCA</t>
        </is>
      </c>
      <c r="G5416" t="n">
        <v>1.8</v>
      </c>
      <c r="H5416" t="n">
        <v>0</v>
      </c>
      <c r="I5416" t="n">
        <v>0</v>
      </c>
      <c r="J5416" t="n">
        <v>0</v>
      </c>
      <c r="K5416" t="n">
        <v>0</v>
      </c>
      <c r="L5416" t="n">
        <v>0</v>
      </c>
      <c r="M5416" t="n">
        <v>0</v>
      </c>
      <c r="N5416" t="n">
        <v>0</v>
      </c>
      <c r="O5416" t="n">
        <v>0</v>
      </c>
      <c r="P5416" t="n">
        <v>0</v>
      </c>
      <c r="Q5416" t="n">
        <v>0</v>
      </c>
      <c r="R5416" s="2" t="inlineStr"/>
    </row>
    <row r="5417" ht="15" customHeight="1">
      <c r="A5417" t="inlineStr">
        <is>
          <t>A 46744-2022</t>
        </is>
      </c>
      <c r="B5417" s="1" t="n">
        <v>44851</v>
      </c>
      <c r="C5417" s="1" t="n">
        <v>45182</v>
      </c>
      <c r="D5417" t="inlineStr">
        <is>
          <t>JÄMTLANDS LÄN</t>
        </is>
      </c>
      <c r="E5417" t="inlineStr">
        <is>
          <t>ÅRE</t>
        </is>
      </c>
      <c r="F5417" t="inlineStr">
        <is>
          <t>Övriga Aktiebolag</t>
        </is>
      </c>
      <c r="G5417" t="n">
        <v>3.1</v>
      </c>
      <c r="H5417" t="n">
        <v>0</v>
      </c>
      <c r="I5417" t="n">
        <v>0</v>
      </c>
      <c r="J5417" t="n">
        <v>0</v>
      </c>
      <c r="K5417" t="n">
        <v>0</v>
      </c>
      <c r="L5417" t="n">
        <v>0</v>
      </c>
      <c r="M5417" t="n">
        <v>0</v>
      </c>
      <c r="N5417" t="n">
        <v>0</v>
      </c>
      <c r="O5417" t="n">
        <v>0</v>
      </c>
      <c r="P5417" t="n">
        <v>0</v>
      </c>
      <c r="Q5417" t="n">
        <v>0</v>
      </c>
      <c r="R5417" s="2" t="inlineStr"/>
    </row>
    <row r="5418" ht="15" customHeight="1">
      <c r="A5418" t="inlineStr">
        <is>
          <t>A 46913-2022</t>
        </is>
      </c>
      <c r="B5418" s="1" t="n">
        <v>44851</v>
      </c>
      <c r="C5418" s="1" t="n">
        <v>45182</v>
      </c>
      <c r="D5418" t="inlineStr">
        <is>
          <t>JÄMTLANDS LÄN</t>
        </is>
      </c>
      <c r="E5418" t="inlineStr">
        <is>
          <t>ÖSTERSUND</t>
        </is>
      </c>
      <c r="G5418" t="n">
        <v>2.5</v>
      </c>
      <c r="H5418" t="n">
        <v>0</v>
      </c>
      <c r="I5418" t="n">
        <v>0</v>
      </c>
      <c r="J5418" t="n">
        <v>0</v>
      </c>
      <c r="K5418" t="n">
        <v>0</v>
      </c>
      <c r="L5418" t="n">
        <v>0</v>
      </c>
      <c r="M5418" t="n">
        <v>0</v>
      </c>
      <c r="N5418" t="n">
        <v>0</v>
      </c>
      <c r="O5418" t="n">
        <v>0</v>
      </c>
      <c r="P5418" t="n">
        <v>0</v>
      </c>
      <c r="Q5418" t="n">
        <v>0</v>
      </c>
      <c r="R5418" s="2" t="inlineStr"/>
    </row>
    <row r="5419" ht="15" customHeight="1">
      <c r="A5419" t="inlineStr">
        <is>
          <t>A 46975-2022</t>
        </is>
      </c>
      <c r="B5419" s="1" t="n">
        <v>44851</v>
      </c>
      <c r="C5419" s="1" t="n">
        <v>45182</v>
      </c>
      <c r="D5419" t="inlineStr">
        <is>
          <t>JÄMTLANDS LÄN</t>
        </is>
      </c>
      <c r="E5419" t="inlineStr">
        <is>
          <t>STRÖMSUND</t>
        </is>
      </c>
      <c r="F5419" t="inlineStr">
        <is>
          <t>SCA</t>
        </is>
      </c>
      <c r="G5419" t="n">
        <v>7.2</v>
      </c>
      <c r="H5419" t="n">
        <v>0</v>
      </c>
      <c r="I5419" t="n">
        <v>0</v>
      </c>
      <c r="J5419" t="n">
        <v>0</v>
      </c>
      <c r="K5419" t="n">
        <v>0</v>
      </c>
      <c r="L5419" t="n">
        <v>0</v>
      </c>
      <c r="M5419" t="n">
        <v>0</v>
      </c>
      <c r="N5419" t="n">
        <v>0</v>
      </c>
      <c r="O5419" t="n">
        <v>0</v>
      </c>
      <c r="P5419" t="n">
        <v>0</v>
      </c>
      <c r="Q5419" t="n">
        <v>0</v>
      </c>
      <c r="R5419" s="2" t="inlineStr"/>
    </row>
    <row r="5420" ht="15" customHeight="1">
      <c r="A5420" t="inlineStr">
        <is>
          <t>A 46987-2022</t>
        </is>
      </c>
      <c r="B5420" s="1" t="n">
        <v>44851</v>
      </c>
      <c r="C5420" s="1" t="n">
        <v>45182</v>
      </c>
      <c r="D5420" t="inlineStr">
        <is>
          <t>JÄMTLANDS LÄN</t>
        </is>
      </c>
      <c r="E5420" t="inlineStr">
        <is>
          <t>STRÖMSUND</t>
        </is>
      </c>
      <c r="F5420" t="inlineStr">
        <is>
          <t>SCA</t>
        </is>
      </c>
      <c r="G5420" t="n">
        <v>1.5</v>
      </c>
      <c r="H5420" t="n">
        <v>0</v>
      </c>
      <c r="I5420" t="n">
        <v>0</v>
      </c>
      <c r="J5420" t="n">
        <v>0</v>
      </c>
      <c r="K5420" t="n">
        <v>0</v>
      </c>
      <c r="L5420" t="n">
        <v>0</v>
      </c>
      <c r="M5420" t="n">
        <v>0</v>
      </c>
      <c r="N5420" t="n">
        <v>0</v>
      </c>
      <c r="O5420" t="n">
        <v>0</v>
      </c>
      <c r="P5420" t="n">
        <v>0</v>
      </c>
      <c r="Q5420" t="n">
        <v>0</v>
      </c>
      <c r="R5420" s="2" t="inlineStr"/>
    </row>
    <row r="5421" ht="15" customHeight="1">
      <c r="A5421" t="inlineStr">
        <is>
          <t>A 46976-2022</t>
        </is>
      </c>
      <c r="B5421" s="1" t="n">
        <v>44851</v>
      </c>
      <c r="C5421" s="1" t="n">
        <v>45182</v>
      </c>
      <c r="D5421" t="inlineStr">
        <is>
          <t>JÄMTLANDS LÄN</t>
        </is>
      </c>
      <c r="E5421" t="inlineStr">
        <is>
          <t>STRÖMSUND</t>
        </is>
      </c>
      <c r="F5421" t="inlineStr">
        <is>
          <t>SCA</t>
        </is>
      </c>
      <c r="G5421" t="n">
        <v>2.7</v>
      </c>
      <c r="H5421" t="n">
        <v>0</v>
      </c>
      <c r="I5421" t="n">
        <v>0</v>
      </c>
      <c r="J5421" t="n">
        <v>0</v>
      </c>
      <c r="K5421" t="n">
        <v>0</v>
      </c>
      <c r="L5421" t="n">
        <v>0</v>
      </c>
      <c r="M5421" t="n">
        <v>0</v>
      </c>
      <c r="N5421" t="n">
        <v>0</v>
      </c>
      <c r="O5421" t="n">
        <v>0</v>
      </c>
      <c r="P5421" t="n">
        <v>0</v>
      </c>
      <c r="Q5421" t="n">
        <v>0</v>
      </c>
      <c r="R5421" s="2" t="inlineStr"/>
    </row>
    <row r="5422" ht="15" customHeight="1">
      <c r="A5422" t="inlineStr">
        <is>
          <t>A 46950-2022</t>
        </is>
      </c>
      <c r="B5422" s="1" t="n">
        <v>44851</v>
      </c>
      <c r="C5422" s="1" t="n">
        <v>45182</v>
      </c>
      <c r="D5422" t="inlineStr">
        <is>
          <t>JÄMTLANDS LÄN</t>
        </is>
      </c>
      <c r="E5422" t="inlineStr">
        <is>
          <t>STRÖMSUND</t>
        </is>
      </c>
      <c r="G5422" t="n">
        <v>3.2</v>
      </c>
      <c r="H5422" t="n">
        <v>0</v>
      </c>
      <c r="I5422" t="n">
        <v>0</v>
      </c>
      <c r="J5422" t="n">
        <v>0</v>
      </c>
      <c r="K5422" t="n">
        <v>0</v>
      </c>
      <c r="L5422" t="n">
        <v>0</v>
      </c>
      <c r="M5422" t="n">
        <v>0</v>
      </c>
      <c r="N5422" t="n">
        <v>0</v>
      </c>
      <c r="O5422" t="n">
        <v>0</v>
      </c>
      <c r="P5422" t="n">
        <v>0</v>
      </c>
      <c r="Q5422" t="n">
        <v>0</v>
      </c>
      <c r="R5422" s="2" t="inlineStr"/>
    </row>
    <row r="5423" ht="15" customHeight="1">
      <c r="A5423" t="inlineStr">
        <is>
          <t>A 46959-2022</t>
        </is>
      </c>
      <c r="B5423" s="1" t="n">
        <v>44851</v>
      </c>
      <c r="C5423" s="1" t="n">
        <v>45182</v>
      </c>
      <c r="D5423" t="inlineStr">
        <is>
          <t>JÄMTLANDS LÄN</t>
        </is>
      </c>
      <c r="E5423" t="inlineStr">
        <is>
          <t>STRÖMSUND</t>
        </is>
      </c>
      <c r="G5423" t="n">
        <v>10.6</v>
      </c>
      <c r="H5423" t="n">
        <v>0</v>
      </c>
      <c r="I5423" t="n">
        <v>0</v>
      </c>
      <c r="J5423" t="n">
        <v>0</v>
      </c>
      <c r="K5423" t="n">
        <v>0</v>
      </c>
      <c r="L5423" t="n">
        <v>0</v>
      </c>
      <c r="M5423" t="n">
        <v>0</v>
      </c>
      <c r="N5423" t="n">
        <v>0</v>
      </c>
      <c r="O5423" t="n">
        <v>0</v>
      </c>
      <c r="P5423" t="n">
        <v>0</v>
      </c>
      <c r="Q5423" t="n">
        <v>0</v>
      </c>
      <c r="R5423" s="2" t="inlineStr"/>
    </row>
    <row r="5424" ht="15" customHeight="1">
      <c r="A5424" t="inlineStr">
        <is>
          <t>A 47052-2022</t>
        </is>
      </c>
      <c r="B5424" s="1" t="n">
        <v>44851</v>
      </c>
      <c r="C5424" s="1" t="n">
        <v>45182</v>
      </c>
      <c r="D5424" t="inlineStr">
        <is>
          <t>JÄMTLANDS LÄN</t>
        </is>
      </c>
      <c r="E5424" t="inlineStr">
        <is>
          <t>ÅRE</t>
        </is>
      </c>
      <c r="G5424" t="n">
        <v>90.8</v>
      </c>
      <c r="H5424" t="n">
        <v>0</v>
      </c>
      <c r="I5424" t="n">
        <v>0</v>
      </c>
      <c r="J5424" t="n">
        <v>0</v>
      </c>
      <c r="K5424" t="n">
        <v>0</v>
      </c>
      <c r="L5424" t="n">
        <v>0</v>
      </c>
      <c r="M5424" t="n">
        <v>0</v>
      </c>
      <c r="N5424" t="n">
        <v>0</v>
      </c>
      <c r="O5424" t="n">
        <v>0</v>
      </c>
      <c r="P5424" t="n">
        <v>0</v>
      </c>
      <c r="Q5424" t="n">
        <v>0</v>
      </c>
      <c r="R5424" s="2" t="inlineStr"/>
    </row>
    <row r="5425" ht="15" customHeight="1">
      <c r="A5425" t="inlineStr">
        <is>
          <t>A 47183-2022</t>
        </is>
      </c>
      <c r="B5425" s="1" t="n">
        <v>44851</v>
      </c>
      <c r="C5425" s="1" t="n">
        <v>45182</v>
      </c>
      <c r="D5425" t="inlineStr">
        <is>
          <t>JÄMTLANDS LÄN</t>
        </is>
      </c>
      <c r="E5425" t="inlineStr">
        <is>
          <t>BRÄCKE</t>
        </is>
      </c>
      <c r="G5425" t="n">
        <v>2</v>
      </c>
      <c r="H5425" t="n">
        <v>0</v>
      </c>
      <c r="I5425" t="n">
        <v>0</v>
      </c>
      <c r="J5425" t="n">
        <v>0</v>
      </c>
      <c r="K5425" t="n">
        <v>0</v>
      </c>
      <c r="L5425" t="n">
        <v>0</v>
      </c>
      <c r="M5425" t="n">
        <v>0</v>
      </c>
      <c r="N5425" t="n">
        <v>0</v>
      </c>
      <c r="O5425" t="n">
        <v>0</v>
      </c>
      <c r="P5425" t="n">
        <v>0</v>
      </c>
      <c r="Q5425" t="n">
        <v>0</v>
      </c>
      <c r="R5425" s="2" t="inlineStr"/>
    </row>
    <row r="5426" ht="15" customHeight="1">
      <c r="A5426" t="inlineStr">
        <is>
          <t>A 47262-2022</t>
        </is>
      </c>
      <c r="B5426" s="1" t="n">
        <v>44852</v>
      </c>
      <c r="C5426" s="1" t="n">
        <v>45182</v>
      </c>
      <c r="D5426" t="inlineStr">
        <is>
          <t>JÄMTLANDS LÄN</t>
        </is>
      </c>
      <c r="E5426" t="inlineStr">
        <is>
          <t>RAGUNDA</t>
        </is>
      </c>
      <c r="F5426" t="inlineStr">
        <is>
          <t>SCA</t>
        </is>
      </c>
      <c r="G5426" t="n">
        <v>8.1</v>
      </c>
      <c r="H5426" t="n">
        <v>0</v>
      </c>
      <c r="I5426" t="n">
        <v>0</v>
      </c>
      <c r="J5426" t="n">
        <v>0</v>
      </c>
      <c r="K5426" t="n">
        <v>0</v>
      </c>
      <c r="L5426" t="n">
        <v>0</v>
      </c>
      <c r="M5426" t="n">
        <v>0</v>
      </c>
      <c r="N5426" t="n">
        <v>0</v>
      </c>
      <c r="O5426" t="n">
        <v>0</v>
      </c>
      <c r="P5426" t="n">
        <v>0</v>
      </c>
      <c r="Q5426" t="n">
        <v>0</v>
      </c>
      <c r="R5426" s="2" t="inlineStr"/>
    </row>
    <row r="5427" ht="15" customHeight="1">
      <c r="A5427" t="inlineStr">
        <is>
          <t>A 47295-2022</t>
        </is>
      </c>
      <c r="B5427" s="1" t="n">
        <v>44852</v>
      </c>
      <c r="C5427" s="1" t="n">
        <v>45182</v>
      </c>
      <c r="D5427" t="inlineStr">
        <is>
          <t>JÄMTLANDS LÄN</t>
        </is>
      </c>
      <c r="E5427" t="inlineStr">
        <is>
          <t>ÖSTERSUND</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47087-2022</t>
        </is>
      </c>
      <c r="B5428" s="1" t="n">
        <v>44852</v>
      </c>
      <c r="C5428" s="1" t="n">
        <v>45182</v>
      </c>
      <c r="D5428" t="inlineStr">
        <is>
          <t>JÄMTLANDS LÄN</t>
        </is>
      </c>
      <c r="E5428" t="inlineStr">
        <is>
          <t>ÅRE</t>
        </is>
      </c>
      <c r="F5428" t="inlineStr">
        <is>
          <t>Övriga Aktiebolag</t>
        </is>
      </c>
      <c r="G5428" t="n">
        <v>3.2</v>
      </c>
      <c r="H5428" t="n">
        <v>0</v>
      </c>
      <c r="I5428" t="n">
        <v>0</v>
      </c>
      <c r="J5428" t="n">
        <v>0</v>
      </c>
      <c r="K5428" t="n">
        <v>0</v>
      </c>
      <c r="L5428" t="n">
        <v>0</v>
      </c>
      <c r="M5428" t="n">
        <v>0</v>
      </c>
      <c r="N5428" t="n">
        <v>0</v>
      </c>
      <c r="O5428" t="n">
        <v>0</v>
      </c>
      <c r="P5428" t="n">
        <v>0</v>
      </c>
      <c r="Q5428" t="n">
        <v>0</v>
      </c>
      <c r="R5428" s="2" t="inlineStr"/>
    </row>
    <row r="5429" ht="15" customHeight="1">
      <c r="A5429" t="inlineStr">
        <is>
          <t>A 47278-2022</t>
        </is>
      </c>
      <c r="B5429" s="1" t="n">
        <v>44852</v>
      </c>
      <c r="C5429" s="1" t="n">
        <v>45182</v>
      </c>
      <c r="D5429" t="inlineStr">
        <is>
          <t>JÄMTLANDS LÄN</t>
        </is>
      </c>
      <c r="E5429" t="inlineStr">
        <is>
          <t>RAGUNDA</t>
        </is>
      </c>
      <c r="F5429" t="inlineStr">
        <is>
          <t>SCA</t>
        </is>
      </c>
      <c r="G5429" t="n">
        <v>10.1</v>
      </c>
      <c r="H5429" t="n">
        <v>0</v>
      </c>
      <c r="I5429" t="n">
        <v>0</v>
      </c>
      <c r="J5429" t="n">
        <v>0</v>
      </c>
      <c r="K5429" t="n">
        <v>0</v>
      </c>
      <c r="L5429" t="n">
        <v>0</v>
      </c>
      <c r="M5429" t="n">
        <v>0</v>
      </c>
      <c r="N5429" t="n">
        <v>0</v>
      </c>
      <c r="O5429" t="n">
        <v>0</v>
      </c>
      <c r="P5429" t="n">
        <v>0</v>
      </c>
      <c r="Q5429" t="n">
        <v>0</v>
      </c>
      <c r="R5429" s="2" t="inlineStr"/>
    </row>
    <row r="5430" ht="15" customHeight="1">
      <c r="A5430" t="inlineStr">
        <is>
          <t>A 47290-2022</t>
        </is>
      </c>
      <c r="B5430" s="1" t="n">
        <v>44852</v>
      </c>
      <c r="C5430" s="1" t="n">
        <v>45182</v>
      </c>
      <c r="D5430" t="inlineStr">
        <is>
          <t>JÄMTLANDS LÄN</t>
        </is>
      </c>
      <c r="E5430" t="inlineStr">
        <is>
          <t>STRÖMSUND</t>
        </is>
      </c>
      <c r="F5430" t="inlineStr">
        <is>
          <t>SCA</t>
        </is>
      </c>
      <c r="G5430" t="n">
        <v>9</v>
      </c>
      <c r="H5430" t="n">
        <v>0</v>
      </c>
      <c r="I5430" t="n">
        <v>0</v>
      </c>
      <c r="J5430" t="n">
        <v>0</v>
      </c>
      <c r="K5430" t="n">
        <v>0</v>
      </c>
      <c r="L5430" t="n">
        <v>0</v>
      </c>
      <c r="M5430" t="n">
        <v>0</v>
      </c>
      <c r="N5430" t="n">
        <v>0</v>
      </c>
      <c r="O5430" t="n">
        <v>0</v>
      </c>
      <c r="P5430" t="n">
        <v>0</v>
      </c>
      <c r="Q5430" t="n">
        <v>0</v>
      </c>
      <c r="R5430" s="2" t="inlineStr"/>
    </row>
    <row r="5431" ht="15" customHeight="1">
      <c r="A5431" t="inlineStr">
        <is>
          <t>A 47298-2022</t>
        </is>
      </c>
      <c r="B5431" s="1" t="n">
        <v>44852</v>
      </c>
      <c r="C5431" s="1" t="n">
        <v>45182</v>
      </c>
      <c r="D5431" t="inlineStr">
        <is>
          <t>JÄMTLANDS LÄN</t>
        </is>
      </c>
      <c r="E5431" t="inlineStr">
        <is>
          <t>BRÄCKE</t>
        </is>
      </c>
      <c r="F5431" t="inlineStr">
        <is>
          <t>SCA</t>
        </is>
      </c>
      <c r="G5431" t="n">
        <v>0.6</v>
      </c>
      <c r="H5431" t="n">
        <v>0</v>
      </c>
      <c r="I5431" t="n">
        <v>0</v>
      </c>
      <c r="J5431" t="n">
        <v>0</v>
      </c>
      <c r="K5431" t="n">
        <v>0</v>
      </c>
      <c r="L5431" t="n">
        <v>0</v>
      </c>
      <c r="M5431" t="n">
        <v>0</v>
      </c>
      <c r="N5431" t="n">
        <v>0</v>
      </c>
      <c r="O5431" t="n">
        <v>0</v>
      </c>
      <c r="P5431" t="n">
        <v>0</v>
      </c>
      <c r="Q5431" t="n">
        <v>0</v>
      </c>
      <c r="R5431" s="2" t="inlineStr"/>
    </row>
    <row r="5432" ht="15" customHeight="1">
      <c r="A5432" t="inlineStr">
        <is>
          <t>A 47257-2022</t>
        </is>
      </c>
      <c r="B5432" s="1" t="n">
        <v>44852</v>
      </c>
      <c r="C5432" s="1" t="n">
        <v>45182</v>
      </c>
      <c r="D5432" t="inlineStr">
        <is>
          <t>JÄMTLANDS LÄN</t>
        </is>
      </c>
      <c r="E5432" t="inlineStr">
        <is>
          <t>BRÄCKE</t>
        </is>
      </c>
      <c r="F5432" t="inlineStr">
        <is>
          <t>SCA</t>
        </is>
      </c>
      <c r="G5432" t="n">
        <v>2.7</v>
      </c>
      <c r="H5432" t="n">
        <v>0</v>
      </c>
      <c r="I5432" t="n">
        <v>0</v>
      </c>
      <c r="J5432" t="n">
        <v>0</v>
      </c>
      <c r="K5432" t="n">
        <v>0</v>
      </c>
      <c r="L5432" t="n">
        <v>0</v>
      </c>
      <c r="M5432" t="n">
        <v>0</v>
      </c>
      <c r="N5432" t="n">
        <v>0</v>
      </c>
      <c r="O5432" t="n">
        <v>0</v>
      </c>
      <c r="P5432" t="n">
        <v>0</v>
      </c>
      <c r="Q5432" t="n">
        <v>0</v>
      </c>
      <c r="R5432" s="2" t="inlineStr"/>
    </row>
    <row r="5433" ht="15" customHeight="1">
      <c r="A5433" t="inlineStr">
        <is>
          <t>A 47267-2022</t>
        </is>
      </c>
      <c r="B5433" s="1" t="n">
        <v>44852</v>
      </c>
      <c r="C5433" s="1" t="n">
        <v>45182</v>
      </c>
      <c r="D5433" t="inlineStr">
        <is>
          <t>JÄMTLANDS LÄN</t>
        </is>
      </c>
      <c r="E5433" t="inlineStr">
        <is>
          <t>RAGUNDA</t>
        </is>
      </c>
      <c r="F5433" t="inlineStr">
        <is>
          <t>SCA</t>
        </is>
      </c>
      <c r="G5433" t="n">
        <v>82.8</v>
      </c>
      <c r="H5433" t="n">
        <v>0</v>
      </c>
      <c r="I5433" t="n">
        <v>0</v>
      </c>
      <c r="J5433" t="n">
        <v>0</v>
      </c>
      <c r="K5433" t="n">
        <v>0</v>
      </c>
      <c r="L5433" t="n">
        <v>0</v>
      </c>
      <c r="M5433" t="n">
        <v>0</v>
      </c>
      <c r="N5433" t="n">
        <v>0</v>
      </c>
      <c r="O5433" t="n">
        <v>0</v>
      </c>
      <c r="P5433" t="n">
        <v>0</v>
      </c>
      <c r="Q5433" t="n">
        <v>0</v>
      </c>
      <c r="R5433" s="2" t="inlineStr"/>
    </row>
    <row r="5434" ht="15" customHeight="1">
      <c r="A5434" t="inlineStr">
        <is>
          <t>A 47280-2022</t>
        </is>
      </c>
      <c r="B5434" s="1" t="n">
        <v>44852</v>
      </c>
      <c r="C5434" s="1" t="n">
        <v>45182</v>
      </c>
      <c r="D5434" t="inlineStr">
        <is>
          <t>JÄMTLANDS LÄN</t>
        </is>
      </c>
      <c r="E5434" t="inlineStr">
        <is>
          <t>RAGUNDA</t>
        </is>
      </c>
      <c r="F5434" t="inlineStr">
        <is>
          <t>SCA</t>
        </is>
      </c>
      <c r="G5434" t="n">
        <v>4.7</v>
      </c>
      <c r="H5434" t="n">
        <v>0</v>
      </c>
      <c r="I5434" t="n">
        <v>0</v>
      </c>
      <c r="J5434" t="n">
        <v>0</v>
      </c>
      <c r="K5434" t="n">
        <v>0</v>
      </c>
      <c r="L5434" t="n">
        <v>0</v>
      </c>
      <c r="M5434" t="n">
        <v>0</v>
      </c>
      <c r="N5434" t="n">
        <v>0</v>
      </c>
      <c r="O5434" t="n">
        <v>0</v>
      </c>
      <c r="P5434" t="n">
        <v>0</v>
      </c>
      <c r="Q5434" t="n">
        <v>0</v>
      </c>
      <c r="R5434" s="2" t="inlineStr"/>
    </row>
    <row r="5435" ht="15" customHeight="1">
      <c r="A5435" t="inlineStr">
        <is>
          <t>A 47291-2022</t>
        </is>
      </c>
      <c r="B5435" s="1" t="n">
        <v>44852</v>
      </c>
      <c r="C5435" s="1" t="n">
        <v>45182</v>
      </c>
      <c r="D5435" t="inlineStr">
        <is>
          <t>JÄMTLANDS LÄN</t>
        </is>
      </c>
      <c r="E5435" t="inlineStr">
        <is>
          <t>STRÖMSUND</t>
        </is>
      </c>
      <c r="F5435" t="inlineStr">
        <is>
          <t>SCA</t>
        </is>
      </c>
      <c r="G5435" t="n">
        <v>4.2</v>
      </c>
      <c r="H5435" t="n">
        <v>0</v>
      </c>
      <c r="I5435" t="n">
        <v>0</v>
      </c>
      <c r="J5435" t="n">
        <v>0</v>
      </c>
      <c r="K5435" t="n">
        <v>0</v>
      </c>
      <c r="L5435" t="n">
        <v>0</v>
      </c>
      <c r="M5435" t="n">
        <v>0</v>
      </c>
      <c r="N5435" t="n">
        <v>0</v>
      </c>
      <c r="O5435" t="n">
        <v>0</v>
      </c>
      <c r="P5435" t="n">
        <v>0</v>
      </c>
      <c r="Q5435" t="n">
        <v>0</v>
      </c>
      <c r="R5435" s="2" t="inlineStr"/>
    </row>
    <row r="5436" ht="15" customHeight="1">
      <c r="A5436" t="inlineStr">
        <is>
          <t>A 47271-2022</t>
        </is>
      </c>
      <c r="B5436" s="1" t="n">
        <v>44852</v>
      </c>
      <c r="C5436" s="1" t="n">
        <v>45182</v>
      </c>
      <c r="D5436" t="inlineStr">
        <is>
          <t>JÄMTLANDS LÄN</t>
        </is>
      </c>
      <c r="E5436" t="inlineStr">
        <is>
          <t>STRÖMSUND</t>
        </is>
      </c>
      <c r="F5436" t="inlineStr">
        <is>
          <t>SCA</t>
        </is>
      </c>
      <c r="G5436" t="n">
        <v>1.7</v>
      </c>
      <c r="H5436" t="n">
        <v>0</v>
      </c>
      <c r="I5436" t="n">
        <v>0</v>
      </c>
      <c r="J5436" t="n">
        <v>0</v>
      </c>
      <c r="K5436" t="n">
        <v>0</v>
      </c>
      <c r="L5436" t="n">
        <v>0</v>
      </c>
      <c r="M5436" t="n">
        <v>0</v>
      </c>
      <c r="N5436" t="n">
        <v>0</v>
      </c>
      <c r="O5436" t="n">
        <v>0</v>
      </c>
      <c r="P5436" t="n">
        <v>0</v>
      </c>
      <c r="Q5436" t="n">
        <v>0</v>
      </c>
      <c r="R5436" s="2" t="inlineStr"/>
    </row>
    <row r="5437" ht="15" customHeight="1">
      <c r="A5437" t="inlineStr">
        <is>
          <t>A 47294-2022</t>
        </is>
      </c>
      <c r="B5437" s="1" t="n">
        <v>44852</v>
      </c>
      <c r="C5437" s="1" t="n">
        <v>45182</v>
      </c>
      <c r="D5437" t="inlineStr">
        <is>
          <t>JÄMTLANDS LÄN</t>
        </is>
      </c>
      <c r="E5437" t="inlineStr">
        <is>
          <t>ÖSTERSUND</t>
        </is>
      </c>
      <c r="G5437" t="n">
        <v>1.7</v>
      </c>
      <c r="H5437" t="n">
        <v>0</v>
      </c>
      <c r="I5437" t="n">
        <v>0</v>
      </c>
      <c r="J5437" t="n">
        <v>0</v>
      </c>
      <c r="K5437" t="n">
        <v>0</v>
      </c>
      <c r="L5437" t="n">
        <v>0</v>
      </c>
      <c r="M5437" t="n">
        <v>0</v>
      </c>
      <c r="N5437" t="n">
        <v>0</v>
      </c>
      <c r="O5437" t="n">
        <v>0</v>
      </c>
      <c r="P5437" t="n">
        <v>0</v>
      </c>
      <c r="Q5437" t="n">
        <v>0</v>
      </c>
      <c r="R5437" s="2" t="inlineStr"/>
    </row>
    <row r="5438" ht="15" customHeight="1">
      <c r="A5438" t="inlineStr">
        <is>
          <t>A 47450-2022</t>
        </is>
      </c>
      <c r="B5438" s="1" t="n">
        <v>44853</v>
      </c>
      <c r="C5438" s="1" t="n">
        <v>45182</v>
      </c>
      <c r="D5438" t="inlineStr">
        <is>
          <t>JÄMTLANDS LÄN</t>
        </is>
      </c>
      <c r="E5438" t="inlineStr">
        <is>
          <t>HÄRJEDALEN</t>
        </is>
      </c>
      <c r="G5438" t="n">
        <v>1.5</v>
      </c>
      <c r="H5438" t="n">
        <v>0</v>
      </c>
      <c r="I5438" t="n">
        <v>0</v>
      </c>
      <c r="J5438" t="n">
        <v>0</v>
      </c>
      <c r="K5438" t="n">
        <v>0</v>
      </c>
      <c r="L5438" t="n">
        <v>0</v>
      </c>
      <c r="M5438" t="n">
        <v>0</v>
      </c>
      <c r="N5438" t="n">
        <v>0</v>
      </c>
      <c r="O5438" t="n">
        <v>0</v>
      </c>
      <c r="P5438" t="n">
        <v>0</v>
      </c>
      <c r="Q5438" t="n">
        <v>0</v>
      </c>
      <c r="R5438" s="2" t="inlineStr"/>
    </row>
    <row r="5439" ht="15" customHeight="1">
      <c r="A5439" t="inlineStr">
        <is>
          <t>A 47577-2022</t>
        </is>
      </c>
      <c r="B5439" s="1" t="n">
        <v>44853</v>
      </c>
      <c r="C5439" s="1" t="n">
        <v>45182</v>
      </c>
      <c r="D5439" t="inlineStr">
        <is>
          <t>JÄMTLANDS LÄN</t>
        </is>
      </c>
      <c r="E5439" t="inlineStr">
        <is>
          <t>STRÖMSUND</t>
        </is>
      </c>
      <c r="F5439" t="inlineStr">
        <is>
          <t>SCA</t>
        </is>
      </c>
      <c r="G5439" t="n">
        <v>6.4</v>
      </c>
      <c r="H5439" t="n">
        <v>0</v>
      </c>
      <c r="I5439" t="n">
        <v>0</v>
      </c>
      <c r="J5439" t="n">
        <v>0</v>
      </c>
      <c r="K5439" t="n">
        <v>0</v>
      </c>
      <c r="L5439" t="n">
        <v>0</v>
      </c>
      <c r="M5439" t="n">
        <v>0</v>
      </c>
      <c r="N5439" t="n">
        <v>0</v>
      </c>
      <c r="O5439" t="n">
        <v>0</v>
      </c>
      <c r="P5439" t="n">
        <v>0</v>
      </c>
      <c r="Q5439" t="n">
        <v>0</v>
      </c>
      <c r="R5439" s="2" t="inlineStr"/>
    </row>
    <row r="5440" ht="15" customHeight="1">
      <c r="A5440" t="inlineStr">
        <is>
          <t>A 47978-2022</t>
        </is>
      </c>
      <c r="B5440" s="1" t="n">
        <v>44853</v>
      </c>
      <c r="C5440" s="1" t="n">
        <v>45182</v>
      </c>
      <c r="D5440" t="inlineStr">
        <is>
          <t>JÄMTLANDS LÄN</t>
        </is>
      </c>
      <c r="E5440" t="inlineStr">
        <is>
          <t>BERG</t>
        </is>
      </c>
      <c r="G5440" t="n">
        <v>7.1</v>
      </c>
      <c r="H5440" t="n">
        <v>0</v>
      </c>
      <c r="I5440" t="n">
        <v>0</v>
      </c>
      <c r="J5440" t="n">
        <v>0</v>
      </c>
      <c r="K5440" t="n">
        <v>0</v>
      </c>
      <c r="L5440" t="n">
        <v>0</v>
      </c>
      <c r="M5440" t="n">
        <v>0</v>
      </c>
      <c r="N5440" t="n">
        <v>0</v>
      </c>
      <c r="O5440" t="n">
        <v>0</v>
      </c>
      <c r="P5440" t="n">
        <v>0</v>
      </c>
      <c r="Q5440" t="n">
        <v>0</v>
      </c>
      <c r="R5440" s="2" t="inlineStr"/>
    </row>
    <row r="5441" ht="15" customHeight="1">
      <c r="A5441" t="inlineStr">
        <is>
          <t>A 47986-2022</t>
        </is>
      </c>
      <c r="B5441" s="1" t="n">
        <v>44853</v>
      </c>
      <c r="C5441" s="1" t="n">
        <v>45182</v>
      </c>
      <c r="D5441" t="inlineStr">
        <is>
          <t>JÄMTLANDS LÄN</t>
        </is>
      </c>
      <c r="E5441" t="inlineStr">
        <is>
          <t>BERG</t>
        </is>
      </c>
      <c r="G5441" t="n">
        <v>22.1</v>
      </c>
      <c r="H5441" t="n">
        <v>0</v>
      </c>
      <c r="I5441" t="n">
        <v>0</v>
      </c>
      <c r="J5441" t="n">
        <v>0</v>
      </c>
      <c r="K5441" t="n">
        <v>0</v>
      </c>
      <c r="L5441" t="n">
        <v>0</v>
      </c>
      <c r="M5441" t="n">
        <v>0</v>
      </c>
      <c r="N5441" t="n">
        <v>0</v>
      </c>
      <c r="O5441" t="n">
        <v>0</v>
      </c>
      <c r="P5441" t="n">
        <v>0</v>
      </c>
      <c r="Q5441" t="n">
        <v>0</v>
      </c>
      <c r="R5441" s="2" t="inlineStr"/>
    </row>
    <row r="5442" ht="15" customHeight="1">
      <c r="A5442" t="inlineStr">
        <is>
          <t>A 47567-2022</t>
        </is>
      </c>
      <c r="B5442" s="1" t="n">
        <v>44853</v>
      </c>
      <c r="C5442" s="1" t="n">
        <v>45182</v>
      </c>
      <c r="D5442" t="inlineStr">
        <is>
          <t>JÄMTLANDS LÄN</t>
        </is>
      </c>
      <c r="E5442" t="inlineStr">
        <is>
          <t>RAGUNDA</t>
        </is>
      </c>
      <c r="F5442" t="inlineStr">
        <is>
          <t>SCA</t>
        </is>
      </c>
      <c r="G5442" t="n">
        <v>2.1</v>
      </c>
      <c r="H5442" t="n">
        <v>0</v>
      </c>
      <c r="I5442" t="n">
        <v>0</v>
      </c>
      <c r="J5442" t="n">
        <v>0</v>
      </c>
      <c r="K5442" t="n">
        <v>0</v>
      </c>
      <c r="L5442" t="n">
        <v>0</v>
      </c>
      <c r="M5442" t="n">
        <v>0</v>
      </c>
      <c r="N5442" t="n">
        <v>0</v>
      </c>
      <c r="O5442" t="n">
        <v>0</v>
      </c>
      <c r="P5442" t="n">
        <v>0</v>
      </c>
      <c r="Q5442" t="n">
        <v>0</v>
      </c>
      <c r="R5442" s="2" t="inlineStr"/>
    </row>
    <row r="5443" ht="15" customHeight="1">
      <c r="A5443" t="inlineStr">
        <is>
          <t>A 47574-2022</t>
        </is>
      </c>
      <c r="B5443" s="1" t="n">
        <v>44853</v>
      </c>
      <c r="C5443" s="1" t="n">
        <v>45182</v>
      </c>
      <c r="D5443" t="inlineStr">
        <is>
          <t>JÄMTLANDS LÄN</t>
        </is>
      </c>
      <c r="E5443" t="inlineStr">
        <is>
          <t>BRÄCKE</t>
        </is>
      </c>
      <c r="F5443" t="inlineStr">
        <is>
          <t>SCA</t>
        </is>
      </c>
      <c r="G5443" t="n">
        <v>1.3</v>
      </c>
      <c r="H5443" t="n">
        <v>0</v>
      </c>
      <c r="I5443" t="n">
        <v>0</v>
      </c>
      <c r="J5443" t="n">
        <v>0</v>
      </c>
      <c r="K5443" t="n">
        <v>0</v>
      </c>
      <c r="L5443" t="n">
        <v>0</v>
      </c>
      <c r="M5443" t="n">
        <v>0</v>
      </c>
      <c r="N5443" t="n">
        <v>0</v>
      </c>
      <c r="O5443" t="n">
        <v>0</v>
      </c>
      <c r="P5443" t="n">
        <v>0</v>
      </c>
      <c r="Q5443" t="n">
        <v>0</v>
      </c>
      <c r="R5443" s="2" t="inlineStr"/>
    </row>
    <row r="5444" ht="15" customHeight="1">
      <c r="A5444" t="inlineStr">
        <is>
          <t>A 47967-2022</t>
        </is>
      </c>
      <c r="B5444" s="1" t="n">
        <v>44853</v>
      </c>
      <c r="C5444" s="1" t="n">
        <v>45182</v>
      </c>
      <c r="D5444" t="inlineStr">
        <is>
          <t>JÄMTLANDS LÄN</t>
        </is>
      </c>
      <c r="E5444" t="inlineStr">
        <is>
          <t>BERG</t>
        </is>
      </c>
      <c r="G5444" t="n">
        <v>15</v>
      </c>
      <c r="H5444" t="n">
        <v>0</v>
      </c>
      <c r="I5444" t="n">
        <v>0</v>
      </c>
      <c r="J5444" t="n">
        <v>0</v>
      </c>
      <c r="K5444" t="n">
        <v>0</v>
      </c>
      <c r="L5444" t="n">
        <v>0</v>
      </c>
      <c r="M5444" t="n">
        <v>0</v>
      </c>
      <c r="N5444" t="n">
        <v>0</v>
      </c>
      <c r="O5444" t="n">
        <v>0</v>
      </c>
      <c r="P5444" t="n">
        <v>0</v>
      </c>
      <c r="Q5444" t="n">
        <v>0</v>
      </c>
      <c r="R5444" s="2" t="inlineStr"/>
    </row>
    <row r="5445" ht="15" customHeight="1">
      <c r="A5445" t="inlineStr">
        <is>
          <t>A 47982-2022</t>
        </is>
      </c>
      <c r="B5445" s="1" t="n">
        <v>44853</v>
      </c>
      <c r="C5445" s="1" t="n">
        <v>45182</v>
      </c>
      <c r="D5445" t="inlineStr">
        <is>
          <t>JÄMTLANDS LÄN</t>
        </is>
      </c>
      <c r="E5445" t="inlineStr">
        <is>
          <t>BERG</t>
        </is>
      </c>
      <c r="G5445" t="n">
        <v>5.1</v>
      </c>
      <c r="H5445" t="n">
        <v>0</v>
      </c>
      <c r="I5445" t="n">
        <v>0</v>
      </c>
      <c r="J5445" t="n">
        <v>0</v>
      </c>
      <c r="K5445" t="n">
        <v>0</v>
      </c>
      <c r="L5445" t="n">
        <v>0</v>
      </c>
      <c r="M5445" t="n">
        <v>0</v>
      </c>
      <c r="N5445" t="n">
        <v>0</v>
      </c>
      <c r="O5445" t="n">
        <v>0</v>
      </c>
      <c r="P5445" t="n">
        <v>0</v>
      </c>
      <c r="Q5445" t="n">
        <v>0</v>
      </c>
      <c r="R5445" s="2" t="inlineStr"/>
    </row>
    <row r="5446" ht="15" customHeight="1">
      <c r="A5446" t="inlineStr">
        <is>
          <t>A 47391-2022</t>
        </is>
      </c>
      <c r="B5446" s="1" t="n">
        <v>44853</v>
      </c>
      <c r="C5446" s="1" t="n">
        <v>45182</v>
      </c>
      <c r="D5446" t="inlineStr">
        <is>
          <t>JÄMTLANDS LÄN</t>
        </is>
      </c>
      <c r="E5446" t="inlineStr">
        <is>
          <t>STRÖMSUND</t>
        </is>
      </c>
      <c r="F5446" t="inlineStr">
        <is>
          <t>Holmen skog AB</t>
        </is>
      </c>
      <c r="G5446" t="n">
        <v>11.8</v>
      </c>
      <c r="H5446" t="n">
        <v>0</v>
      </c>
      <c r="I5446" t="n">
        <v>0</v>
      </c>
      <c r="J5446" t="n">
        <v>0</v>
      </c>
      <c r="K5446" t="n">
        <v>0</v>
      </c>
      <c r="L5446" t="n">
        <v>0</v>
      </c>
      <c r="M5446" t="n">
        <v>0</v>
      </c>
      <c r="N5446" t="n">
        <v>0</v>
      </c>
      <c r="O5446" t="n">
        <v>0</v>
      </c>
      <c r="P5446" t="n">
        <v>0</v>
      </c>
      <c r="Q5446" t="n">
        <v>0</v>
      </c>
      <c r="R5446" s="2" t="inlineStr"/>
    </row>
    <row r="5447" ht="15" customHeight="1">
      <c r="A5447" t="inlineStr">
        <is>
          <t>A 47578-2022</t>
        </is>
      </c>
      <c r="B5447" s="1" t="n">
        <v>44853</v>
      </c>
      <c r="C5447" s="1" t="n">
        <v>45182</v>
      </c>
      <c r="D5447" t="inlineStr">
        <is>
          <t>JÄMTLANDS LÄN</t>
        </is>
      </c>
      <c r="E5447" t="inlineStr">
        <is>
          <t>STRÖMSUND</t>
        </is>
      </c>
      <c r="F5447" t="inlineStr">
        <is>
          <t>SCA</t>
        </is>
      </c>
      <c r="G5447" t="n">
        <v>1.5</v>
      </c>
      <c r="H5447" t="n">
        <v>0</v>
      </c>
      <c r="I5447" t="n">
        <v>0</v>
      </c>
      <c r="J5447" t="n">
        <v>0</v>
      </c>
      <c r="K5447" t="n">
        <v>0</v>
      </c>
      <c r="L5447" t="n">
        <v>0</v>
      </c>
      <c r="M5447" t="n">
        <v>0</v>
      </c>
      <c r="N5447" t="n">
        <v>0</v>
      </c>
      <c r="O5447" t="n">
        <v>0</v>
      </c>
      <c r="P5447" t="n">
        <v>0</v>
      </c>
      <c r="Q5447" t="n">
        <v>0</v>
      </c>
      <c r="R5447" s="2" t="inlineStr"/>
    </row>
    <row r="5448" ht="15" customHeight="1">
      <c r="A5448" t="inlineStr">
        <is>
          <t>A 47738-2022</t>
        </is>
      </c>
      <c r="B5448" s="1" t="n">
        <v>44854</v>
      </c>
      <c r="C5448" s="1" t="n">
        <v>45182</v>
      </c>
      <c r="D5448" t="inlineStr">
        <is>
          <t>JÄMTLANDS LÄN</t>
        </is>
      </c>
      <c r="E5448" t="inlineStr">
        <is>
          <t>HÄRJEDALEN</t>
        </is>
      </c>
      <c r="F5448" t="inlineStr">
        <is>
          <t>Sveaskog</t>
        </is>
      </c>
      <c r="G5448" t="n">
        <v>0.4</v>
      </c>
      <c r="H5448" t="n">
        <v>0</v>
      </c>
      <c r="I5448" t="n">
        <v>0</v>
      </c>
      <c r="J5448" t="n">
        <v>0</v>
      </c>
      <c r="K5448" t="n">
        <v>0</v>
      </c>
      <c r="L5448" t="n">
        <v>0</v>
      </c>
      <c r="M5448" t="n">
        <v>0</v>
      </c>
      <c r="N5448" t="n">
        <v>0</v>
      </c>
      <c r="O5448" t="n">
        <v>0</v>
      </c>
      <c r="P5448" t="n">
        <v>0</v>
      </c>
      <c r="Q5448" t="n">
        <v>0</v>
      </c>
      <c r="R5448" s="2" t="inlineStr"/>
    </row>
    <row r="5449" ht="15" customHeight="1">
      <c r="A5449" t="inlineStr">
        <is>
          <t>A 48564-2022</t>
        </is>
      </c>
      <c r="B5449" s="1" t="n">
        <v>44854</v>
      </c>
      <c r="C5449" s="1" t="n">
        <v>45182</v>
      </c>
      <c r="D5449" t="inlineStr">
        <is>
          <t>JÄMTLANDS LÄN</t>
        </is>
      </c>
      <c r="E5449" t="inlineStr">
        <is>
          <t>STRÖMSUND</t>
        </is>
      </c>
      <c r="G5449" t="n">
        <v>10.2</v>
      </c>
      <c r="H5449" t="n">
        <v>0</v>
      </c>
      <c r="I5449" t="n">
        <v>0</v>
      </c>
      <c r="J5449" t="n">
        <v>0</v>
      </c>
      <c r="K5449" t="n">
        <v>0</v>
      </c>
      <c r="L5449" t="n">
        <v>0</v>
      </c>
      <c r="M5449" t="n">
        <v>0</v>
      </c>
      <c r="N5449" t="n">
        <v>0</v>
      </c>
      <c r="O5449" t="n">
        <v>0</v>
      </c>
      <c r="P5449" t="n">
        <v>0</v>
      </c>
      <c r="Q5449" t="n">
        <v>0</v>
      </c>
      <c r="R5449" s="2" t="inlineStr"/>
    </row>
    <row r="5450" ht="15" customHeight="1">
      <c r="A5450" t="inlineStr">
        <is>
          <t>A 47801-2022</t>
        </is>
      </c>
      <c r="B5450" s="1" t="n">
        <v>44854</v>
      </c>
      <c r="C5450" s="1" t="n">
        <v>45182</v>
      </c>
      <c r="D5450" t="inlineStr">
        <is>
          <t>JÄMTLANDS LÄN</t>
        </is>
      </c>
      <c r="E5450" t="inlineStr">
        <is>
          <t>RAGUNDA</t>
        </is>
      </c>
      <c r="F5450" t="inlineStr">
        <is>
          <t>SCA</t>
        </is>
      </c>
      <c r="G5450" t="n">
        <v>3.9</v>
      </c>
      <c r="H5450" t="n">
        <v>0</v>
      </c>
      <c r="I5450" t="n">
        <v>0</v>
      </c>
      <c r="J5450" t="n">
        <v>0</v>
      </c>
      <c r="K5450" t="n">
        <v>0</v>
      </c>
      <c r="L5450" t="n">
        <v>0</v>
      </c>
      <c r="M5450" t="n">
        <v>0</v>
      </c>
      <c r="N5450" t="n">
        <v>0</v>
      </c>
      <c r="O5450" t="n">
        <v>0</v>
      </c>
      <c r="P5450" t="n">
        <v>0</v>
      </c>
      <c r="Q5450" t="n">
        <v>0</v>
      </c>
      <c r="R5450" s="2" t="inlineStr"/>
    </row>
    <row r="5451" ht="15" customHeight="1">
      <c r="A5451" t="inlineStr">
        <is>
          <t>A 47635-2022</t>
        </is>
      </c>
      <c r="B5451" s="1" t="n">
        <v>44854</v>
      </c>
      <c r="C5451" s="1" t="n">
        <v>45182</v>
      </c>
      <c r="D5451" t="inlineStr">
        <is>
          <t>JÄMTLANDS LÄN</t>
        </is>
      </c>
      <c r="E5451" t="inlineStr">
        <is>
          <t>HÄRJEDALEN</t>
        </is>
      </c>
      <c r="G5451" t="n">
        <v>2.2</v>
      </c>
      <c r="H5451" t="n">
        <v>0</v>
      </c>
      <c r="I5451" t="n">
        <v>0</v>
      </c>
      <c r="J5451" t="n">
        <v>0</v>
      </c>
      <c r="K5451" t="n">
        <v>0</v>
      </c>
      <c r="L5451" t="n">
        <v>0</v>
      </c>
      <c r="M5451" t="n">
        <v>0</v>
      </c>
      <c r="N5451" t="n">
        <v>0</v>
      </c>
      <c r="O5451" t="n">
        <v>0</v>
      </c>
      <c r="P5451" t="n">
        <v>0</v>
      </c>
      <c r="Q5451" t="n">
        <v>0</v>
      </c>
      <c r="R5451" s="2" t="inlineStr"/>
    </row>
    <row r="5452" ht="15" customHeight="1">
      <c r="A5452" t="inlineStr">
        <is>
          <t>A 47636-2022</t>
        </is>
      </c>
      <c r="B5452" s="1" t="n">
        <v>44854</v>
      </c>
      <c r="C5452" s="1" t="n">
        <v>45182</v>
      </c>
      <c r="D5452" t="inlineStr">
        <is>
          <t>JÄMTLANDS LÄN</t>
        </is>
      </c>
      <c r="E5452" t="inlineStr">
        <is>
          <t>STRÖMSUND</t>
        </is>
      </c>
      <c r="F5452" t="inlineStr">
        <is>
          <t>Holmen skog AB</t>
        </is>
      </c>
      <c r="G5452" t="n">
        <v>18.7</v>
      </c>
      <c r="H5452" t="n">
        <v>0</v>
      </c>
      <c r="I5452" t="n">
        <v>0</v>
      </c>
      <c r="J5452" t="n">
        <v>0</v>
      </c>
      <c r="K5452" t="n">
        <v>0</v>
      </c>
      <c r="L5452" t="n">
        <v>0</v>
      </c>
      <c r="M5452" t="n">
        <v>0</v>
      </c>
      <c r="N5452" t="n">
        <v>0</v>
      </c>
      <c r="O5452" t="n">
        <v>0</v>
      </c>
      <c r="P5452" t="n">
        <v>0</v>
      </c>
      <c r="Q5452" t="n">
        <v>0</v>
      </c>
      <c r="R5452" s="2" t="inlineStr"/>
    </row>
    <row r="5453" ht="15" customHeight="1">
      <c r="A5453" t="inlineStr">
        <is>
          <t>A 48066-2022</t>
        </is>
      </c>
      <c r="B5453" s="1" t="n">
        <v>44855</v>
      </c>
      <c r="C5453" s="1" t="n">
        <v>45182</v>
      </c>
      <c r="D5453" t="inlineStr">
        <is>
          <t>JÄMTLANDS LÄN</t>
        </is>
      </c>
      <c r="E5453" t="inlineStr">
        <is>
          <t>RAGUNDA</t>
        </is>
      </c>
      <c r="F5453" t="inlineStr">
        <is>
          <t>SCA</t>
        </is>
      </c>
      <c r="G5453" t="n">
        <v>8.199999999999999</v>
      </c>
      <c r="H5453" t="n">
        <v>0</v>
      </c>
      <c r="I5453" t="n">
        <v>0</v>
      </c>
      <c r="J5453" t="n">
        <v>0</v>
      </c>
      <c r="K5453" t="n">
        <v>0</v>
      </c>
      <c r="L5453" t="n">
        <v>0</v>
      </c>
      <c r="M5453" t="n">
        <v>0</v>
      </c>
      <c r="N5453" t="n">
        <v>0</v>
      </c>
      <c r="O5453" t="n">
        <v>0</v>
      </c>
      <c r="P5453" t="n">
        <v>0</v>
      </c>
      <c r="Q5453" t="n">
        <v>0</v>
      </c>
      <c r="R5453" s="2" t="inlineStr"/>
    </row>
    <row r="5454" ht="15" customHeight="1">
      <c r="A5454" t="inlineStr">
        <is>
          <t>A 48075-2022</t>
        </is>
      </c>
      <c r="B5454" s="1" t="n">
        <v>44855</v>
      </c>
      <c r="C5454" s="1" t="n">
        <v>45182</v>
      </c>
      <c r="D5454" t="inlineStr">
        <is>
          <t>JÄMTLANDS LÄN</t>
        </is>
      </c>
      <c r="E5454" t="inlineStr">
        <is>
          <t>RAGUNDA</t>
        </is>
      </c>
      <c r="F5454" t="inlineStr">
        <is>
          <t>SCA</t>
        </is>
      </c>
      <c r="G5454" t="n">
        <v>7.5</v>
      </c>
      <c r="H5454" t="n">
        <v>0</v>
      </c>
      <c r="I5454" t="n">
        <v>0</v>
      </c>
      <c r="J5454" t="n">
        <v>0</v>
      </c>
      <c r="K5454" t="n">
        <v>0</v>
      </c>
      <c r="L5454" t="n">
        <v>0</v>
      </c>
      <c r="M5454" t="n">
        <v>0</v>
      </c>
      <c r="N5454" t="n">
        <v>0</v>
      </c>
      <c r="O5454" t="n">
        <v>0</v>
      </c>
      <c r="P5454" t="n">
        <v>0</v>
      </c>
      <c r="Q5454" t="n">
        <v>0</v>
      </c>
      <c r="R5454" s="2" t="inlineStr"/>
    </row>
    <row r="5455" ht="15" customHeight="1">
      <c r="A5455" t="inlineStr">
        <is>
          <t>A 48085-2022</t>
        </is>
      </c>
      <c r="B5455" s="1" t="n">
        <v>44855</v>
      </c>
      <c r="C5455" s="1" t="n">
        <v>45182</v>
      </c>
      <c r="D5455" t="inlineStr">
        <is>
          <t>JÄMTLANDS LÄN</t>
        </is>
      </c>
      <c r="E5455" t="inlineStr">
        <is>
          <t>RAGUNDA</t>
        </is>
      </c>
      <c r="F5455" t="inlineStr">
        <is>
          <t>SCA</t>
        </is>
      </c>
      <c r="G5455" t="n">
        <v>2.6</v>
      </c>
      <c r="H5455" t="n">
        <v>0</v>
      </c>
      <c r="I5455" t="n">
        <v>0</v>
      </c>
      <c r="J5455" t="n">
        <v>0</v>
      </c>
      <c r="K5455" t="n">
        <v>0</v>
      </c>
      <c r="L5455" t="n">
        <v>0</v>
      </c>
      <c r="M5455" t="n">
        <v>0</v>
      </c>
      <c r="N5455" t="n">
        <v>0</v>
      </c>
      <c r="O5455" t="n">
        <v>0</v>
      </c>
      <c r="P5455" t="n">
        <v>0</v>
      </c>
      <c r="Q5455" t="n">
        <v>0</v>
      </c>
      <c r="R5455" s="2" t="inlineStr"/>
    </row>
    <row r="5456" ht="15" customHeight="1">
      <c r="A5456" t="inlineStr">
        <is>
          <t>A 48729-2022</t>
        </is>
      </c>
      <c r="B5456" s="1" t="n">
        <v>44855</v>
      </c>
      <c r="C5456" s="1" t="n">
        <v>45182</v>
      </c>
      <c r="D5456" t="inlineStr">
        <is>
          <t>JÄMTLANDS LÄN</t>
        </is>
      </c>
      <c r="E5456" t="inlineStr">
        <is>
          <t>BERG</t>
        </is>
      </c>
      <c r="G5456" t="n">
        <v>2.8</v>
      </c>
      <c r="H5456" t="n">
        <v>0</v>
      </c>
      <c r="I5456" t="n">
        <v>0</v>
      </c>
      <c r="J5456" t="n">
        <v>0</v>
      </c>
      <c r="K5456" t="n">
        <v>0</v>
      </c>
      <c r="L5456" t="n">
        <v>0</v>
      </c>
      <c r="M5456" t="n">
        <v>0</v>
      </c>
      <c r="N5456" t="n">
        <v>0</v>
      </c>
      <c r="O5456" t="n">
        <v>0</v>
      </c>
      <c r="P5456" t="n">
        <v>0</v>
      </c>
      <c r="Q5456" t="n">
        <v>0</v>
      </c>
      <c r="R5456" s="2" t="inlineStr"/>
    </row>
    <row r="5457" ht="15" customHeight="1">
      <c r="A5457" t="inlineStr">
        <is>
          <t>A 48777-2022</t>
        </is>
      </c>
      <c r="B5457" s="1" t="n">
        <v>44855</v>
      </c>
      <c r="C5457" s="1" t="n">
        <v>45182</v>
      </c>
      <c r="D5457" t="inlineStr">
        <is>
          <t>JÄMTLANDS LÄN</t>
        </is>
      </c>
      <c r="E5457" t="inlineStr">
        <is>
          <t>KROKOM</t>
        </is>
      </c>
      <c r="G5457" t="n">
        <v>5.3</v>
      </c>
      <c r="H5457" t="n">
        <v>0</v>
      </c>
      <c r="I5457" t="n">
        <v>0</v>
      </c>
      <c r="J5457" t="n">
        <v>0</v>
      </c>
      <c r="K5457" t="n">
        <v>0</v>
      </c>
      <c r="L5457" t="n">
        <v>0</v>
      </c>
      <c r="M5457" t="n">
        <v>0</v>
      </c>
      <c r="N5457" t="n">
        <v>0</v>
      </c>
      <c r="O5457" t="n">
        <v>0</v>
      </c>
      <c r="P5457" t="n">
        <v>0</v>
      </c>
      <c r="Q5457" t="n">
        <v>0</v>
      </c>
      <c r="R5457" s="2" t="inlineStr"/>
    </row>
    <row r="5458" ht="15" customHeight="1">
      <c r="A5458" t="inlineStr">
        <is>
          <t>A 47873-2022</t>
        </is>
      </c>
      <c r="B5458" s="1" t="n">
        <v>44855</v>
      </c>
      <c r="C5458" s="1" t="n">
        <v>45182</v>
      </c>
      <c r="D5458" t="inlineStr">
        <is>
          <t>JÄMTLANDS LÄN</t>
        </is>
      </c>
      <c r="E5458" t="inlineStr">
        <is>
          <t>ÅRE</t>
        </is>
      </c>
      <c r="G5458" t="n">
        <v>0.5</v>
      </c>
      <c r="H5458" t="n">
        <v>0</v>
      </c>
      <c r="I5458" t="n">
        <v>0</v>
      </c>
      <c r="J5458" t="n">
        <v>0</v>
      </c>
      <c r="K5458" t="n">
        <v>0</v>
      </c>
      <c r="L5458" t="n">
        <v>0</v>
      </c>
      <c r="M5458" t="n">
        <v>0</v>
      </c>
      <c r="N5458" t="n">
        <v>0</v>
      </c>
      <c r="O5458" t="n">
        <v>0</v>
      </c>
      <c r="P5458" t="n">
        <v>0</v>
      </c>
      <c r="Q5458" t="n">
        <v>0</v>
      </c>
      <c r="R5458" s="2" t="inlineStr"/>
    </row>
    <row r="5459" ht="15" customHeight="1">
      <c r="A5459" t="inlineStr">
        <is>
          <t>A 48769-2022</t>
        </is>
      </c>
      <c r="B5459" s="1" t="n">
        <v>44855</v>
      </c>
      <c r="C5459" s="1" t="n">
        <v>45182</v>
      </c>
      <c r="D5459" t="inlineStr">
        <is>
          <t>JÄMTLANDS LÄN</t>
        </is>
      </c>
      <c r="E5459" t="inlineStr">
        <is>
          <t>KROKOM</t>
        </is>
      </c>
      <c r="G5459" t="n">
        <v>7.5</v>
      </c>
      <c r="H5459" t="n">
        <v>0</v>
      </c>
      <c r="I5459" t="n">
        <v>0</v>
      </c>
      <c r="J5459" t="n">
        <v>0</v>
      </c>
      <c r="K5459" t="n">
        <v>0</v>
      </c>
      <c r="L5459" t="n">
        <v>0</v>
      </c>
      <c r="M5459" t="n">
        <v>0</v>
      </c>
      <c r="N5459" t="n">
        <v>0</v>
      </c>
      <c r="O5459" t="n">
        <v>0</v>
      </c>
      <c r="P5459" t="n">
        <v>0</v>
      </c>
      <c r="Q5459" t="n">
        <v>0</v>
      </c>
      <c r="R5459" s="2" t="inlineStr"/>
    </row>
    <row r="5460" ht="15" customHeight="1">
      <c r="A5460" t="inlineStr">
        <is>
          <t>A 49035-2022</t>
        </is>
      </c>
      <c r="B5460" s="1" t="n">
        <v>44855</v>
      </c>
      <c r="C5460" s="1" t="n">
        <v>45182</v>
      </c>
      <c r="D5460" t="inlineStr">
        <is>
          <t>JÄMTLANDS LÄN</t>
        </is>
      </c>
      <c r="E5460" t="inlineStr">
        <is>
          <t>BERG</t>
        </is>
      </c>
      <c r="G5460" t="n">
        <v>1.9</v>
      </c>
      <c r="H5460" t="n">
        <v>0</v>
      </c>
      <c r="I5460" t="n">
        <v>0</v>
      </c>
      <c r="J5460" t="n">
        <v>0</v>
      </c>
      <c r="K5460" t="n">
        <v>0</v>
      </c>
      <c r="L5460" t="n">
        <v>0</v>
      </c>
      <c r="M5460" t="n">
        <v>0</v>
      </c>
      <c r="N5460" t="n">
        <v>0</v>
      </c>
      <c r="O5460" t="n">
        <v>0</v>
      </c>
      <c r="P5460" t="n">
        <v>0</v>
      </c>
      <c r="Q5460" t="n">
        <v>0</v>
      </c>
      <c r="R5460" s="2" t="inlineStr"/>
    </row>
    <row r="5461" ht="15" customHeight="1">
      <c r="A5461" t="inlineStr">
        <is>
          <t>A 49104-2022</t>
        </is>
      </c>
      <c r="B5461" s="1" t="n">
        <v>44855</v>
      </c>
      <c r="C5461" s="1" t="n">
        <v>45182</v>
      </c>
      <c r="D5461" t="inlineStr">
        <is>
          <t>JÄMTLANDS LÄN</t>
        </is>
      </c>
      <c r="E5461" t="inlineStr">
        <is>
          <t>BERG</t>
        </is>
      </c>
      <c r="G5461" t="n">
        <v>1</v>
      </c>
      <c r="H5461" t="n">
        <v>0</v>
      </c>
      <c r="I5461" t="n">
        <v>0</v>
      </c>
      <c r="J5461" t="n">
        <v>0</v>
      </c>
      <c r="K5461" t="n">
        <v>0</v>
      </c>
      <c r="L5461" t="n">
        <v>0</v>
      </c>
      <c r="M5461" t="n">
        <v>0</v>
      </c>
      <c r="N5461" t="n">
        <v>0</v>
      </c>
      <c r="O5461" t="n">
        <v>0</v>
      </c>
      <c r="P5461" t="n">
        <v>0</v>
      </c>
      <c r="Q5461" t="n">
        <v>0</v>
      </c>
      <c r="R5461" s="2" t="inlineStr"/>
    </row>
    <row r="5462" ht="15" customHeight="1">
      <c r="A5462" t="inlineStr">
        <is>
          <t>A 48538-2022</t>
        </is>
      </c>
      <c r="B5462" s="1" t="n">
        <v>44858</v>
      </c>
      <c r="C5462" s="1" t="n">
        <v>45182</v>
      </c>
      <c r="D5462" t="inlineStr">
        <is>
          <t>JÄMTLANDS LÄN</t>
        </is>
      </c>
      <c r="E5462" t="inlineStr">
        <is>
          <t>RAGUNDA</t>
        </is>
      </c>
      <c r="F5462" t="inlineStr">
        <is>
          <t>SCA</t>
        </is>
      </c>
      <c r="G5462" t="n">
        <v>2.8</v>
      </c>
      <c r="H5462" t="n">
        <v>0</v>
      </c>
      <c r="I5462" t="n">
        <v>0</v>
      </c>
      <c r="J5462" t="n">
        <v>0</v>
      </c>
      <c r="K5462" t="n">
        <v>0</v>
      </c>
      <c r="L5462" t="n">
        <v>0</v>
      </c>
      <c r="M5462" t="n">
        <v>0</v>
      </c>
      <c r="N5462" t="n">
        <v>0</v>
      </c>
      <c r="O5462" t="n">
        <v>0</v>
      </c>
      <c r="P5462" t="n">
        <v>0</v>
      </c>
      <c r="Q5462" t="n">
        <v>0</v>
      </c>
      <c r="R5462" s="2" t="inlineStr"/>
    </row>
    <row r="5463" ht="15" customHeight="1">
      <c r="A5463" t="inlineStr">
        <is>
          <t>A 48547-2022</t>
        </is>
      </c>
      <c r="B5463" s="1" t="n">
        <v>44858</v>
      </c>
      <c r="C5463" s="1" t="n">
        <v>45182</v>
      </c>
      <c r="D5463" t="inlineStr">
        <is>
          <t>JÄMTLANDS LÄN</t>
        </is>
      </c>
      <c r="E5463" t="inlineStr">
        <is>
          <t>STRÖMSUND</t>
        </is>
      </c>
      <c r="F5463" t="inlineStr">
        <is>
          <t>SCA</t>
        </is>
      </c>
      <c r="G5463" t="n">
        <v>3</v>
      </c>
      <c r="H5463" t="n">
        <v>0</v>
      </c>
      <c r="I5463" t="n">
        <v>0</v>
      </c>
      <c r="J5463" t="n">
        <v>0</v>
      </c>
      <c r="K5463" t="n">
        <v>0</v>
      </c>
      <c r="L5463" t="n">
        <v>0</v>
      </c>
      <c r="M5463" t="n">
        <v>0</v>
      </c>
      <c r="N5463" t="n">
        <v>0</v>
      </c>
      <c r="O5463" t="n">
        <v>0</v>
      </c>
      <c r="P5463" t="n">
        <v>0</v>
      </c>
      <c r="Q5463" t="n">
        <v>0</v>
      </c>
      <c r="R5463" s="2" t="inlineStr"/>
    </row>
    <row r="5464" ht="15" customHeight="1">
      <c r="A5464" t="inlineStr">
        <is>
          <t>A 49287-2022</t>
        </is>
      </c>
      <c r="B5464" s="1" t="n">
        <v>44858</v>
      </c>
      <c r="C5464" s="1" t="n">
        <v>45182</v>
      </c>
      <c r="D5464" t="inlineStr">
        <is>
          <t>JÄMTLANDS LÄN</t>
        </is>
      </c>
      <c r="E5464" t="inlineStr">
        <is>
          <t>STRÖMSUND</t>
        </is>
      </c>
      <c r="G5464" t="n">
        <v>200</v>
      </c>
      <c r="H5464" t="n">
        <v>0</v>
      </c>
      <c r="I5464" t="n">
        <v>0</v>
      </c>
      <c r="J5464" t="n">
        <v>0</v>
      </c>
      <c r="K5464" t="n">
        <v>0</v>
      </c>
      <c r="L5464" t="n">
        <v>0</v>
      </c>
      <c r="M5464" t="n">
        <v>0</v>
      </c>
      <c r="N5464" t="n">
        <v>0</v>
      </c>
      <c r="O5464" t="n">
        <v>0</v>
      </c>
      <c r="P5464" t="n">
        <v>0</v>
      </c>
      <c r="Q5464" t="n">
        <v>0</v>
      </c>
      <c r="R5464" s="2" t="inlineStr"/>
    </row>
    <row r="5465" ht="15" customHeight="1">
      <c r="A5465" t="inlineStr">
        <is>
          <t>A 48334-2022</t>
        </is>
      </c>
      <c r="B5465" s="1" t="n">
        <v>44858</v>
      </c>
      <c r="C5465" s="1" t="n">
        <v>45182</v>
      </c>
      <c r="D5465" t="inlineStr">
        <is>
          <t>JÄMTLANDS LÄN</t>
        </is>
      </c>
      <c r="E5465" t="inlineStr">
        <is>
          <t>KROKOM</t>
        </is>
      </c>
      <c r="G5465" t="n">
        <v>1.4</v>
      </c>
      <c r="H5465" t="n">
        <v>0</v>
      </c>
      <c r="I5465" t="n">
        <v>0</v>
      </c>
      <c r="J5465" t="n">
        <v>0</v>
      </c>
      <c r="K5465" t="n">
        <v>0</v>
      </c>
      <c r="L5465" t="n">
        <v>0</v>
      </c>
      <c r="M5465" t="n">
        <v>0</v>
      </c>
      <c r="N5465" t="n">
        <v>0</v>
      </c>
      <c r="O5465" t="n">
        <v>0</v>
      </c>
      <c r="P5465" t="n">
        <v>0</v>
      </c>
      <c r="Q5465" t="n">
        <v>0</v>
      </c>
      <c r="R5465" s="2" t="inlineStr"/>
    </row>
    <row r="5466" ht="15" customHeight="1">
      <c r="A5466" t="inlineStr">
        <is>
          <t>A 48417-2022</t>
        </is>
      </c>
      <c r="B5466" s="1" t="n">
        <v>44858</v>
      </c>
      <c r="C5466" s="1" t="n">
        <v>45182</v>
      </c>
      <c r="D5466" t="inlineStr">
        <is>
          <t>JÄMTLANDS LÄN</t>
        </is>
      </c>
      <c r="E5466" t="inlineStr">
        <is>
          <t>KROKOM</t>
        </is>
      </c>
      <c r="G5466" t="n">
        <v>2.7</v>
      </c>
      <c r="H5466" t="n">
        <v>0</v>
      </c>
      <c r="I5466" t="n">
        <v>0</v>
      </c>
      <c r="J5466" t="n">
        <v>0</v>
      </c>
      <c r="K5466" t="n">
        <v>0</v>
      </c>
      <c r="L5466" t="n">
        <v>0</v>
      </c>
      <c r="M5466" t="n">
        <v>0</v>
      </c>
      <c r="N5466" t="n">
        <v>0</v>
      </c>
      <c r="O5466" t="n">
        <v>0</v>
      </c>
      <c r="P5466" t="n">
        <v>0</v>
      </c>
      <c r="Q5466" t="n">
        <v>0</v>
      </c>
      <c r="R5466" s="2" t="inlineStr"/>
    </row>
    <row r="5467" ht="15" customHeight="1">
      <c r="A5467" t="inlineStr">
        <is>
          <t>A 48505-2022</t>
        </is>
      </c>
      <c r="B5467" s="1" t="n">
        <v>44858</v>
      </c>
      <c r="C5467" s="1" t="n">
        <v>45182</v>
      </c>
      <c r="D5467" t="inlineStr">
        <is>
          <t>JÄMTLANDS LÄN</t>
        </is>
      </c>
      <c r="E5467" t="inlineStr">
        <is>
          <t>STRÖMSUND</t>
        </is>
      </c>
      <c r="F5467" t="inlineStr">
        <is>
          <t>SCA</t>
        </is>
      </c>
      <c r="G5467" t="n">
        <v>3.1</v>
      </c>
      <c r="H5467" t="n">
        <v>0</v>
      </c>
      <c r="I5467" t="n">
        <v>0</v>
      </c>
      <c r="J5467" t="n">
        <v>0</v>
      </c>
      <c r="K5467" t="n">
        <v>0</v>
      </c>
      <c r="L5467" t="n">
        <v>0</v>
      </c>
      <c r="M5467" t="n">
        <v>0</v>
      </c>
      <c r="N5467" t="n">
        <v>0</v>
      </c>
      <c r="O5467" t="n">
        <v>0</v>
      </c>
      <c r="P5467" t="n">
        <v>0</v>
      </c>
      <c r="Q5467" t="n">
        <v>0</v>
      </c>
      <c r="R5467" s="2" t="inlineStr"/>
    </row>
    <row r="5468" ht="15" customHeight="1">
      <c r="A5468" t="inlineStr">
        <is>
          <t>A 48531-2022</t>
        </is>
      </c>
      <c r="B5468" s="1" t="n">
        <v>44858</v>
      </c>
      <c r="C5468" s="1" t="n">
        <v>45182</v>
      </c>
      <c r="D5468" t="inlineStr">
        <is>
          <t>JÄMTLANDS LÄN</t>
        </is>
      </c>
      <c r="E5468" t="inlineStr">
        <is>
          <t>STRÖMSUND</t>
        </is>
      </c>
      <c r="F5468" t="inlineStr">
        <is>
          <t>SCA</t>
        </is>
      </c>
      <c r="G5468" t="n">
        <v>3.6</v>
      </c>
      <c r="H5468" t="n">
        <v>0</v>
      </c>
      <c r="I5468" t="n">
        <v>0</v>
      </c>
      <c r="J5468" t="n">
        <v>0</v>
      </c>
      <c r="K5468" t="n">
        <v>0</v>
      </c>
      <c r="L5468" t="n">
        <v>0</v>
      </c>
      <c r="M5468" t="n">
        <v>0</v>
      </c>
      <c r="N5468" t="n">
        <v>0</v>
      </c>
      <c r="O5468" t="n">
        <v>0</v>
      </c>
      <c r="P5468" t="n">
        <v>0</v>
      </c>
      <c r="Q5468" t="n">
        <v>0</v>
      </c>
      <c r="R5468" s="2" t="inlineStr"/>
    </row>
    <row r="5469" ht="15" customHeight="1">
      <c r="A5469" t="inlineStr">
        <is>
          <t>A 48545-2022</t>
        </is>
      </c>
      <c r="B5469" s="1" t="n">
        <v>44858</v>
      </c>
      <c r="C5469" s="1" t="n">
        <v>45182</v>
      </c>
      <c r="D5469" t="inlineStr">
        <is>
          <t>JÄMTLANDS LÄN</t>
        </is>
      </c>
      <c r="E5469" t="inlineStr">
        <is>
          <t>STRÖMSUND</t>
        </is>
      </c>
      <c r="F5469" t="inlineStr">
        <is>
          <t>SCA</t>
        </is>
      </c>
      <c r="G5469" t="n">
        <v>3.1</v>
      </c>
      <c r="H5469" t="n">
        <v>0</v>
      </c>
      <c r="I5469" t="n">
        <v>0</v>
      </c>
      <c r="J5469" t="n">
        <v>0</v>
      </c>
      <c r="K5469" t="n">
        <v>0</v>
      </c>
      <c r="L5469" t="n">
        <v>0</v>
      </c>
      <c r="M5469" t="n">
        <v>0</v>
      </c>
      <c r="N5469" t="n">
        <v>0</v>
      </c>
      <c r="O5469" t="n">
        <v>0</v>
      </c>
      <c r="P5469" t="n">
        <v>0</v>
      </c>
      <c r="Q5469" t="n">
        <v>0</v>
      </c>
      <c r="R5469" s="2" t="inlineStr"/>
    </row>
    <row r="5470" ht="15" customHeight="1">
      <c r="A5470" t="inlineStr">
        <is>
          <t>A 48536-2022</t>
        </is>
      </c>
      <c r="B5470" s="1" t="n">
        <v>44858</v>
      </c>
      <c r="C5470" s="1" t="n">
        <v>45182</v>
      </c>
      <c r="D5470" t="inlineStr">
        <is>
          <t>JÄMTLANDS LÄN</t>
        </is>
      </c>
      <c r="E5470" t="inlineStr">
        <is>
          <t>RAGUNDA</t>
        </is>
      </c>
      <c r="F5470" t="inlineStr">
        <is>
          <t>SCA</t>
        </is>
      </c>
      <c r="G5470" t="n">
        <v>9.5</v>
      </c>
      <c r="H5470" t="n">
        <v>0</v>
      </c>
      <c r="I5470" t="n">
        <v>0</v>
      </c>
      <c r="J5470" t="n">
        <v>0</v>
      </c>
      <c r="K5470" t="n">
        <v>0</v>
      </c>
      <c r="L5470" t="n">
        <v>0</v>
      </c>
      <c r="M5470" t="n">
        <v>0</v>
      </c>
      <c r="N5470" t="n">
        <v>0</v>
      </c>
      <c r="O5470" t="n">
        <v>0</v>
      </c>
      <c r="P5470" t="n">
        <v>0</v>
      </c>
      <c r="Q5470" t="n">
        <v>0</v>
      </c>
      <c r="R5470" s="2" t="inlineStr"/>
    </row>
    <row r="5471" ht="15" customHeight="1">
      <c r="A5471" t="inlineStr">
        <is>
          <t>A 48546-2022</t>
        </is>
      </c>
      <c r="B5471" s="1" t="n">
        <v>44858</v>
      </c>
      <c r="C5471" s="1" t="n">
        <v>45182</v>
      </c>
      <c r="D5471" t="inlineStr">
        <is>
          <t>JÄMTLANDS LÄN</t>
        </is>
      </c>
      <c r="E5471" t="inlineStr">
        <is>
          <t>STRÖMSUND</t>
        </is>
      </c>
      <c r="F5471" t="inlineStr">
        <is>
          <t>SCA</t>
        </is>
      </c>
      <c r="G5471" t="n">
        <v>2.9</v>
      </c>
      <c r="H5471" t="n">
        <v>0</v>
      </c>
      <c r="I5471" t="n">
        <v>0</v>
      </c>
      <c r="J5471" t="n">
        <v>0</v>
      </c>
      <c r="K5471" t="n">
        <v>0</v>
      </c>
      <c r="L5471" t="n">
        <v>0</v>
      </c>
      <c r="M5471" t="n">
        <v>0</v>
      </c>
      <c r="N5471" t="n">
        <v>0</v>
      </c>
      <c r="O5471" t="n">
        <v>0</v>
      </c>
      <c r="P5471" t="n">
        <v>0</v>
      </c>
      <c r="Q5471" t="n">
        <v>0</v>
      </c>
      <c r="R5471" s="2" t="inlineStr"/>
    </row>
    <row r="5472" ht="15" customHeight="1">
      <c r="A5472" t="inlineStr">
        <is>
          <t>A 48333-2022</t>
        </is>
      </c>
      <c r="B5472" s="1" t="n">
        <v>44858</v>
      </c>
      <c r="C5472" s="1" t="n">
        <v>45182</v>
      </c>
      <c r="D5472" t="inlineStr">
        <is>
          <t>JÄMTLANDS LÄN</t>
        </is>
      </c>
      <c r="E5472" t="inlineStr">
        <is>
          <t>STRÖMSUND</t>
        </is>
      </c>
      <c r="G5472" t="n">
        <v>2.5</v>
      </c>
      <c r="H5472" t="n">
        <v>0</v>
      </c>
      <c r="I5472" t="n">
        <v>0</v>
      </c>
      <c r="J5472" t="n">
        <v>0</v>
      </c>
      <c r="K5472" t="n">
        <v>0</v>
      </c>
      <c r="L5472" t="n">
        <v>0</v>
      </c>
      <c r="M5472" t="n">
        <v>0</v>
      </c>
      <c r="N5472" t="n">
        <v>0</v>
      </c>
      <c r="O5472" t="n">
        <v>0</v>
      </c>
      <c r="P5472" t="n">
        <v>0</v>
      </c>
      <c r="Q5472" t="n">
        <v>0</v>
      </c>
      <c r="R5472" s="2" t="inlineStr"/>
    </row>
    <row r="5473" ht="15" customHeight="1">
      <c r="A5473" t="inlineStr">
        <is>
          <t>A 48438-2022</t>
        </is>
      </c>
      <c r="B5473" s="1" t="n">
        <v>44858</v>
      </c>
      <c r="C5473" s="1" t="n">
        <v>45182</v>
      </c>
      <c r="D5473" t="inlineStr">
        <is>
          <t>JÄMTLANDS LÄN</t>
        </is>
      </c>
      <c r="E5473" t="inlineStr">
        <is>
          <t>HÄRJEDALEN</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49631-2022</t>
        </is>
      </c>
      <c r="B5474" s="1" t="n">
        <v>44859</v>
      </c>
      <c r="C5474" s="1" t="n">
        <v>45182</v>
      </c>
      <c r="D5474" t="inlineStr">
        <is>
          <t>JÄMTLANDS LÄN</t>
        </is>
      </c>
      <c r="E5474" t="inlineStr">
        <is>
          <t>STRÖMSUND</t>
        </is>
      </c>
      <c r="G5474" t="n">
        <v>6.1</v>
      </c>
      <c r="H5474" t="n">
        <v>0</v>
      </c>
      <c r="I5474" t="n">
        <v>0</v>
      </c>
      <c r="J5474" t="n">
        <v>0</v>
      </c>
      <c r="K5474" t="n">
        <v>0</v>
      </c>
      <c r="L5474" t="n">
        <v>0</v>
      </c>
      <c r="M5474" t="n">
        <v>0</v>
      </c>
      <c r="N5474" t="n">
        <v>0</v>
      </c>
      <c r="O5474" t="n">
        <v>0</v>
      </c>
      <c r="P5474" t="n">
        <v>0</v>
      </c>
      <c r="Q5474" t="n">
        <v>0</v>
      </c>
      <c r="R5474" s="2" t="inlineStr"/>
    </row>
    <row r="5475" ht="15" customHeight="1">
      <c r="A5475" t="inlineStr">
        <is>
          <t>A 49610-2022</t>
        </is>
      </c>
      <c r="B5475" s="1" t="n">
        <v>44859</v>
      </c>
      <c r="C5475" s="1" t="n">
        <v>45182</v>
      </c>
      <c r="D5475" t="inlineStr">
        <is>
          <t>JÄMTLANDS LÄN</t>
        </is>
      </c>
      <c r="E5475" t="inlineStr">
        <is>
          <t>ÅRE</t>
        </is>
      </c>
      <c r="G5475" t="n">
        <v>26.2</v>
      </c>
      <c r="H5475" t="n">
        <v>0</v>
      </c>
      <c r="I5475" t="n">
        <v>0</v>
      </c>
      <c r="J5475" t="n">
        <v>0</v>
      </c>
      <c r="K5475" t="n">
        <v>0</v>
      </c>
      <c r="L5475" t="n">
        <v>0</v>
      </c>
      <c r="M5475" t="n">
        <v>0</v>
      </c>
      <c r="N5475" t="n">
        <v>0</v>
      </c>
      <c r="O5475" t="n">
        <v>0</v>
      </c>
      <c r="P5475" t="n">
        <v>0</v>
      </c>
      <c r="Q5475" t="n">
        <v>0</v>
      </c>
      <c r="R5475" s="2" t="inlineStr"/>
    </row>
    <row r="5476" ht="15" customHeight="1">
      <c r="A5476" t="inlineStr">
        <is>
          <t>A 48816-2022</t>
        </is>
      </c>
      <c r="B5476" s="1" t="n">
        <v>44859</v>
      </c>
      <c r="C5476" s="1" t="n">
        <v>45182</v>
      </c>
      <c r="D5476" t="inlineStr">
        <is>
          <t>JÄMTLANDS LÄN</t>
        </is>
      </c>
      <c r="E5476" t="inlineStr">
        <is>
          <t>BRÄCKE</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48926-2022</t>
        </is>
      </c>
      <c r="B5477" s="1" t="n">
        <v>44859</v>
      </c>
      <c r="C5477" s="1" t="n">
        <v>45182</v>
      </c>
      <c r="D5477" t="inlineStr">
        <is>
          <t>JÄMTLANDS LÄN</t>
        </is>
      </c>
      <c r="E5477" t="inlineStr">
        <is>
          <t>STRÖMSUND</t>
        </is>
      </c>
      <c r="F5477" t="inlineStr">
        <is>
          <t>SCA</t>
        </is>
      </c>
      <c r="G5477" t="n">
        <v>5.9</v>
      </c>
      <c r="H5477" t="n">
        <v>0</v>
      </c>
      <c r="I5477" t="n">
        <v>0</v>
      </c>
      <c r="J5477" t="n">
        <v>0</v>
      </c>
      <c r="K5477" t="n">
        <v>0</v>
      </c>
      <c r="L5477" t="n">
        <v>0</v>
      </c>
      <c r="M5477" t="n">
        <v>0</v>
      </c>
      <c r="N5477" t="n">
        <v>0</v>
      </c>
      <c r="O5477" t="n">
        <v>0</v>
      </c>
      <c r="P5477" t="n">
        <v>0</v>
      </c>
      <c r="Q5477" t="n">
        <v>0</v>
      </c>
      <c r="R5477" s="2" t="inlineStr"/>
    </row>
    <row r="5478" ht="15" customHeight="1">
      <c r="A5478" t="inlineStr">
        <is>
          <t>A 49752-2022</t>
        </is>
      </c>
      <c r="B5478" s="1" t="n">
        <v>44859</v>
      </c>
      <c r="C5478" s="1" t="n">
        <v>45182</v>
      </c>
      <c r="D5478" t="inlineStr">
        <is>
          <t>JÄMTLANDS LÄN</t>
        </is>
      </c>
      <c r="E5478" t="inlineStr">
        <is>
          <t>STRÖMSUND</t>
        </is>
      </c>
      <c r="G5478" t="n">
        <v>4.5</v>
      </c>
      <c r="H5478" t="n">
        <v>0</v>
      </c>
      <c r="I5478" t="n">
        <v>0</v>
      </c>
      <c r="J5478" t="n">
        <v>0</v>
      </c>
      <c r="K5478" t="n">
        <v>0</v>
      </c>
      <c r="L5478" t="n">
        <v>0</v>
      </c>
      <c r="M5478" t="n">
        <v>0</v>
      </c>
      <c r="N5478" t="n">
        <v>0</v>
      </c>
      <c r="O5478" t="n">
        <v>0</v>
      </c>
      <c r="P5478" t="n">
        <v>0</v>
      </c>
      <c r="Q5478" t="n">
        <v>0</v>
      </c>
      <c r="R5478" s="2" t="inlineStr"/>
    </row>
    <row r="5479" ht="15" customHeight="1">
      <c r="A5479" t="inlineStr">
        <is>
          <t>A 48555-2022</t>
        </is>
      </c>
      <c r="B5479" s="1" t="n">
        <v>44859</v>
      </c>
      <c r="C5479" s="1" t="n">
        <v>45182</v>
      </c>
      <c r="D5479" t="inlineStr">
        <is>
          <t>JÄMTLANDS LÄN</t>
        </is>
      </c>
      <c r="E5479" t="inlineStr">
        <is>
          <t>BRÄCKE</t>
        </is>
      </c>
      <c r="G5479" t="n">
        <v>1.6</v>
      </c>
      <c r="H5479" t="n">
        <v>0</v>
      </c>
      <c r="I5479" t="n">
        <v>0</v>
      </c>
      <c r="J5479" t="n">
        <v>0</v>
      </c>
      <c r="K5479" t="n">
        <v>0</v>
      </c>
      <c r="L5479" t="n">
        <v>0</v>
      </c>
      <c r="M5479" t="n">
        <v>0</v>
      </c>
      <c r="N5479" t="n">
        <v>0</v>
      </c>
      <c r="O5479" t="n">
        <v>0</v>
      </c>
      <c r="P5479" t="n">
        <v>0</v>
      </c>
      <c r="Q5479" t="n">
        <v>0</v>
      </c>
      <c r="R5479" s="2" t="inlineStr"/>
    </row>
    <row r="5480" ht="15" customHeight="1">
      <c r="A5480" t="inlineStr">
        <is>
          <t>A 48899-2022</t>
        </is>
      </c>
      <c r="B5480" s="1" t="n">
        <v>44859</v>
      </c>
      <c r="C5480" s="1" t="n">
        <v>45182</v>
      </c>
      <c r="D5480" t="inlineStr">
        <is>
          <t>JÄMTLANDS LÄN</t>
        </is>
      </c>
      <c r="E5480" t="inlineStr">
        <is>
          <t>ÅRE</t>
        </is>
      </c>
      <c r="F5480" t="inlineStr">
        <is>
          <t>Övriga Aktiebolag</t>
        </is>
      </c>
      <c r="G5480" t="n">
        <v>15.1</v>
      </c>
      <c r="H5480" t="n">
        <v>0</v>
      </c>
      <c r="I5480" t="n">
        <v>0</v>
      </c>
      <c r="J5480" t="n">
        <v>0</v>
      </c>
      <c r="K5480" t="n">
        <v>0</v>
      </c>
      <c r="L5480" t="n">
        <v>0</v>
      </c>
      <c r="M5480" t="n">
        <v>0</v>
      </c>
      <c r="N5480" t="n">
        <v>0</v>
      </c>
      <c r="O5480" t="n">
        <v>0</v>
      </c>
      <c r="P5480" t="n">
        <v>0</v>
      </c>
      <c r="Q5480" t="n">
        <v>0</v>
      </c>
      <c r="R5480" s="2" t="inlineStr"/>
    </row>
    <row r="5481" ht="15" customHeight="1">
      <c r="A5481" t="inlineStr">
        <is>
          <t>A 49818-2022</t>
        </is>
      </c>
      <c r="B5481" s="1" t="n">
        <v>44859</v>
      </c>
      <c r="C5481" s="1" t="n">
        <v>45182</v>
      </c>
      <c r="D5481" t="inlineStr">
        <is>
          <t>JÄMTLANDS LÄN</t>
        </is>
      </c>
      <c r="E5481" t="inlineStr">
        <is>
          <t>ÅRE</t>
        </is>
      </c>
      <c r="G5481" t="n">
        <v>63</v>
      </c>
      <c r="H5481" t="n">
        <v>0</v>
      </c>
      <c r="I5481" t="n">
        <v>0</v>
      </c>
      <c r="J5481" t="n">
        <v>0</v>
      </c>
      <c r="K5481" t="n">
        <v>0</v>
      </c>
      <c r="L5481" t="n">
        <v>0</v>
      </c>
      <c r="M5481" t="n">
        <v>0</v>
      </c>
      <c r="N5481" t="n">
        <v>0</v>
      </c>
      <c r="O5481" t="n">
        <v>0</v>
      </c>
      <c r="P5481" t="n">
        <v>0</v>
      </c>
      <c r="Q5481" t="n">
        <v>0</v>
      </c>
      <c r="R5481" s="2" t="inlineStr"/>
    </row>
    <row r="5482" ht="15" customHeight="1">
      <c r="A5482" t="inlineStr">
        <is>
          <t>A 48583-2022</t>
        </is>
      </c>
      <c r="B5482" s="1" t="n">
        <v>44859</v>
      </c>
      <c r="C5482" s="1" t="n">
        <v>45182</v>
      </c>
      <c r="D5482" t="inlineStr">
        <is>
          <t>JÄMTLANDS LÄN</t>
        </is>
      </c>
      <c r="E5482" t="inlineStr">
        <is>
          <t>HÄRJEDALEN</t>
        </is>
      </c>
      <c r="F5482" t="inlineStr">
        <is>
          <t>Bergvik skog väst AB</t>
        </is>
      </c>
      <c r="G5482" t="n">
        <v>8.6</v>
      </c>
      <c r="H5482" t="n">
        <v>0</v>
      </c>
      <c r="I5482" t="n">
        <v>0</v>
      </c>
      <c r="J5482" t="n">
        <v>0</v>
      </c>
      <c r="K5482" t="n">
        <v>0</v>
      </c>
      <c r="L5482" t="n">
        <v>0</v>
      </c>
      <c r="M5482" t="n">
        <v>0</v>
      </c>
      <c r="N5482" t="n">
        <v>0</v>
      </c>
      <c r="O5482" t="n">
        <v>0</v>
      </c>
      <c r="P5482" t="n">
        <v>0</v>
      </c>
      <c r="Q5482" t="n">
        <v>0</v>
      </c>
      <c r="R5482" s="2" t="inlineStr"/>
    </row>
    <row r="5483" ht="15" customHeight="1">
      <c r="A5483" t="inlineStr">
        <is>
          <t>A 48756-2022</t>
        </is>
      </c>
      <c r="B5483" s="1" t="n">
        <v>44859</v>
      </c>
      <c r="C5483" s="1" t="n">
        <v>45182</v>
      </c>
      <c r="D5483" t="inlineStr">
        <is>
          <t>JÄMTLANDS LÄN</t>
        </is>
      </c>
      <c r="E5483" t="inlineStr">
        <is>
          <t>BERG</t>
        </is>
      </c>
      <c r="G5483" t="n">
        <v>10.8</v>
      </c>
      <c r="H5483" t="n">
        <v>0</v>
      </c>
      <c r="I5483" t="n">
        <v>0</v>
      </c>
      <c r="J5483" t="n">
        <v>0</v>
      </c>
      <c r="K5483" t="n">
        <v>0</v>
      </c>
      <c r="L5483" t="n">
        <v>0</v>
      </c>
      <c r="M5483" t="n">
        <v>0</v>
      </c>
      <c r="N5483" t="n">
        <v>0</v>
      </c>
      <c r="O5483" t="n">
        <v>0</v>
      </c>
      <c r="P5483" t="n">
        <v>0</v>
      </c>
      <c r="Q5483" t="n">
        <v>0</v>
      </c>
      <c r="R5483" s="2" t="inlineStr"/>
    </row>
    <row r="5484" ht="15" customHeight="1">
      <c r="A5484" t="inlineStr">
        <is>
          <t>A 49197-2022</t>
        </is>
      </c>
      <c r="B5484" s="1" t="n">
        <v>44860</v>
      </c>
      <c r="C5484" s="1" t="n">
        <v>45182</v>
      </c>
      <c r="D5484" t="inlineStr">
        <is>
          <t>JÄMTLANDS LÄN</t>
        </is>
      </c>
      <c r="E5484" t="inlineStr">
        <is>
          <t>RAGUNDA</t>
        </is>
      </c>
      <c r="F5484" t="inlineStr">
        <is>
          <t>SCA</t>
        </is>
      </c>
      <c r="G5484" t="n">
        <v>2.9</v>
      </c>
      <c r="H5484" t="n">
        <v>0</v>
      </c>
      <c r="I5484" t="n">
        <v>0</v>
      </c>
      <c r="J5484" t="n">
        <v>0</v>
      </c>
      <c r="K5484" t="n">
        <v>0</v>
      </c>
      <c r="L5484" t="n">
        <v>0</v>
      </c>
      <c r="M5484" t="n">
        <v>0</v>
      </c>
      <c r="N5484" t="n">
        <v>0</v>
      </c>
      <c r="O5484" t="n">
        <v>0</v>
      </c>
      <c r="P5484" t="n">
        <v>0</v>
      </c>
      <c r="Q5484" t="n">
        <v>0</v>
      </c>
      <c r="R5484" s="2" t="inlineStr"/>
    </row>
    <row r="5485" ht="15" customHeight="1">
      <c r="A5485" t="inlineStr">
        <is>
          <t>A 50024-2022</t>
        </is>
      </c>
      <c r="B5485" s="1" t="n">
        <v>44860</v>
      </c>
      <c r="C5485" s="1" t="n">
        <v>45182</v>
      </c>
      <c r="D5485" t="inlineStr">
        <is>
          <t>JÄMTLANDS LÄN</t>
        </is>
      </c>
      <c r="E5485" t="inlineStr">
        <is>
          <t>BERG</t>
        </is>
      </c>
      <c r="G5485" t="n">
        <v>1.8</v>
      </c>
      <c r="H5485" t="n">
        <v>0</v>
      </c>
      <c r="I5485" t="n">
        <v>0</v>
      </c>
      <c r="J5485" t="n">
        <v>0</v>
      </c>
      <c r="K5485" t="n">
        <v>0</v>
      </c>
      <c r="L5485" t="n">
        <v>0</v>
      </c>
      <c r="M5485" t="n">
        <v>0</v>
      </c>
      <c r="N5485" t="n">
        <v>0</v>
      </c>
      <c r="O5485" t="n">
        <v>0</v>
      </c>
      <c r="P5485" t="n">
        <v>0</v>
      </c>
      <c r="Q5485" t="n">
        <v>0</v>
      </c>
      <c r="R5485" s="2" t="inlineStr"/>
    </row>
    <row r="5486" ht="15" customHeight="1">
      <c r="A5486" t="inlineStr">
        <is>
          <t>A 49183-2022</t>
        </is>
      </c>
      <c r="B5486" s="1" t="n">
        <v>44860</v>
      </c>
      <c r="C5486" s="1" t="n">
        <v>45182</v>
      </c>
      <c r="D5486" t="inlineStr">
        <is>
          <t>JÄMTLANDS LÄN</t>
        </is>
      </c>
      <c r="E5486" t="inlineStr">
        <is>
          <t>RAGUNDA</t>
        </is>
      </c>
      <c r="F5486" t="inlineStr">
        <is>
          <t>SCA</t>
        </is>
      </c>
      <c r="G5486" t="n">
        <v>10.3</v>
      </c>
      <c r="H5486" t="n">
        <v>0</v>
      </c>
      <c r="I5486" t="n">
        <v>0</v>
      </c>
      <c r="J5486" t="n">
        <v>0</v>
      </c>
      <c r="K5486" t="n">
        <v>0</v>
      </c>
      <c r="L5486" t="n">
        <v>0</v>
      </c>
      <c r="M5486" t="n">
        <v>0</v>
      </c>
      <c r="N5486" t="n">
        <v>0</v>
      </c>
      <c r="O5486" t="n">
        <v>0</v>
      </c>
      <c r="P5486" t="n">
        <v>0</v>
      </c>
      <c r="Q5486" t="n">
        <v>0</v>
      </c>
      <c r="R5486" s="2" t="inlineStr"/>
    </row>
    <row r="5487" ht="15" customHeight="1">
      <c r="A5487" t="inlineStr">
        <is>
          <t>A 49295-2022</t>
        </is>
      </c>
      <c r="B5487" s="1" t="n">
        <v>44861</v>
      </c>
      <c r="C5487" s="1" t="n">
        <v>45182</v>
      </c>
      <c r="D5487" t="inlineStr">
        <is>
          <t>JÄMTLANDS LÄN</t>
        </is>
      </c>
      <c r="E5487" t="inlineStr">
        <is>
          <t>HÄRJEDALEN</t>
        </is>
      </c>
      <c r="G5487" t="n">
        <v>1</v>
      </c>
      <c r="H5487" t="n">
        <v>0</v>
      </c>
      <c r="I5487" t="n">
        <v>0</v>
      </c>
      <c r="J5487" t="n">
        <v>0</v>
      </c>
      <c r="K5487" t="n">
        <v>0</v>
      </c>
      <c r="L5487" t="n">
        <v>0</v>
      </c>
      <c r="M5487" t="n">
        <v>0</v>
      </c>
      <c r="N5487" t="n">
        <v>0</v>
      </c>
      <c r="O5487" t="n">
        <v>0</v>
      </c>
      <c r="P5487" t="n">
        <v>0</v>
      </c>
      <c r="Q5487" t="n">
        <v>0</v>
      </c>
      <c r="R5487" s="2" t="inlineStr"/>
    </row>
    <row r="5488" ht="15" customHeight="1">
      <c r="A5488" t="inlineStr">
        <is>
          <t>A 50449-2022</t>
        </is>
      </c>
      <c r="B5488" s="1" t="n">
        <v>44861</v>
      </c>
      <c r="C5488" s="1" t="n">
        <v>45182</v>
      </c>
      <c r="D5488" t="inlineStr">
        <is>
          <t>JÄMTLANDS LÄN</t>
        </is>
      </c>
      <c r="E5488" t="inlineStr">
        <is>
          <t>KROKOM</t>
        </is>
      </c>
      <c r="G5488" t="n">
        <v>3.7</v>
      </c>
      <c r="H5488" t="n">
        <v>0</v>
      </c>
      <c r="I5488" t="n">
        <v>0</v>
      </c>
      <c r="J5488" t="n">
        <v>0</v>
      </c>
      <c r="K5488" t="n">
        <v>0</v>
      </c>
      <c r="L5488" t="n">
        <v>0</v>
      </c>
      <c r="M5488" t="n">
        <v>0</v>
      </c>
      <c r="N5488" t="n">
        <v>0</v>
      </c>
      <c r="O5488" t="n">
        <v>0</v>
      </c>
      <c r="P5488" t="n">
        <v>0</v>
      </c>
      <c r="Q5488" t="n">
        <v>0</v>
      </c>
      <c r="R5488" s="2" t="inlineStr"/>
    </row>
    <row r="5489" ht="15" customHeight="1">
      <c r="A5489" t="inlineStr">
        <is>
          <t>A 49530-2022</t>
        </is>
      </c>
      <c r="B5489" s="1" t="n">
        <v>44861</v>
      </c>
      <c r="C5489" s="1" t="n">
        <v>45182</v>
      </c>
      <c r="D5489" t="inlineStr">
        <is>
          <t>JÄMTLANDS LÄN</t>
        </is>
      </c>
      <c r="E5489" t="inlineStr">
        <is>
          <t>RAGUNDA</t>
        </is>
      </c>
      <c r="F5489" t="inlineStr">
        <is>
          <t>SCA</t>
        </is>
      </c>
      <c r="G5489" t="n">
        <v>13.4</v>
      </c>
      <c r="H5489" t="n">
        <v>0</v>
      </c>
      <c r="I5489" t="n">
        <v>0</v>
      </c>
      <c r="J5489" t="n">
        <v>0</v>
      </c>
      <c r="K5489" t="n">
        <v>0</v>
      </c>
      <c r="L5489" t="n">
        <v>0</v>
      </c>
      <c r="M5489" t="n">
        <v>0</v>
      </c>
      <c r="N5489" t="n">
        <v>0</v>
      </c>
      <c r="O5489" t="n">
        <v>0</v>
      </c>
      <c r="P5489" t="n">
        <v>0</v>
      </c>
      <c r="Q5489" t="n">
        <v>0</v>
      </c>
      <c r="R5489" s="2" t="inlineStr"/>
    </row>
    <row r="5490" ht="15" customHeight="1">
      <c r="A5490" t="inlineStr">
        <is>
          <t>A 49237-2022</t>
        </is>
      </c>
      <c r="B5490" s="1" t="n">
        <v>44861</v>
      </c>
      <c r="C5490" s="1" t="n">
        <v>45182</v>
      </c>
      <c r="D5490" t="inlineStr">
        <is>
          <t>JÄMTLANDS LÄN</t>
        </is>
      </c>
      <c r="E5490" t="inlineStr">
        <is>
          <t>HÄRJEDALEN</t>
        </is>
      </c>
      <c r="G5490" t="n">
        <v>5.8</v>
      </c>
      <c r="H5490" t="n">
        <v>0</v>
      </c>
      <c r="I5490" t="n">
        <v>0</v>
      </c>
      <c r="J5490" t="n">
        <v>0</v>
      </c>
      <c r="K5490" t="n">
        <v>0</v>
      </c>
      <c r="L5490" t="n">
        <v>0</v>
      </c>
      <c r="M5490" t="n">
        <v>0</v>
      </c>
      <c r="N5490" t="n">
        <v>0</v>
      </c>
      <c r="O5490" t="n">
        <v>0</v>
      </c>
      <c r="P5490" t="n">
        <v>0</v>
      </c>
      <c r="Q5490" t="n">
        <v>0</v>
      </c>
      <c r="R5490" s="2" t="inlineStr"/>
    </row>
    <row r="5491" ht="15" customHeight="1">
      <c r="A5491" t="inlineStr">
        <is>
          <t>A 49389-2022</t>
        </is>
      </c>
      <c r="B5491" s="1" t="n">
        <v>44861</v>
      </c>
      <c r="C5491" s="1" t="n">
        <v>45182</v>
      </c>
      <c r="D5491" t="inlineStr">
        <is>
          <t>JÄMTLANDS LÄN</t>
        </is>
      </c>
      <c r="E5491" t="inlineStr">
        <is>
          <t>ÖSTERSUND</t>
        </is>
      </c>
      <c r="F5491" t="inlineStr">
        <is>
          <t>Övriga Aktiebolag</t>
        </is>
      </c>
      <c r="G5491" t="n">
        <v>19.2</v>
      </c>
      <c r="H5491" t="n">
        <v>0</v>
      </c>
      <c r="I5491" t="n">
        <v>0</v>
      </c>
      <c r="J5491" t="n">
        <v>0</v>
      </c>
      <c r="K5491" t="n">
        <v>0</v>
      </c>
      <c r="L5491" t="n">
        <v>0</v>
      </c>
      <c r="M5491" t="n">
        <v>0</v>
      </c>
      <c r="N5491" t="n">
        <v>0</v>
      </c>
      <c r="O5491" t="n">
        <v>0</v>
      </c>
      <c r="P5491" t="n">
        <v>0</v>
      </c>
      <c r="Q5491" t="n">
        <v>0</v>
      </c>
      <c r="R5491" s="2" t="inlineStr"/>
    </row>
    <row r="5492" ht="15" customHeight="1">
      <c r="A5492" t="inlineStr">
        <is>
          <t>A 49531-2022</t>
        </is>
      </c>
      <c r="B5492" s="1" t="n">
        <v>44861</v>
      </c>
      <c r="C5492" s="1" t="n">
        <v>45182</v>
      </c>
      <c r="D5492" t="inlineStr">
        <is>
          <t>JÄMTLANDS LÄN</t>
        </is>
      </c>
      <c r="E5492" t="inlineStr">
        <is>
          <t>RAGUNDA</t>
        </is>
      </c>
      <c r="F5492" t="inlineStr">
        <is>
          <t>SCA</t>
        </is>
      </c>
      <c r="G5492" t="n">
        <v>0.9</v>
      </c>
      <c r="H5492" t="n">
        <v>0</v>
      </c>
      <c r="I5492" t="n">
        <v>0</v>
      </c>
      <c r="J5492" t="n">
        <v>0</v>
      </c>
      <c r="K5492" t="n">
        <v>0</v>
      </c>
      <c r="L5492" t="n">
        <v>0</v>
      </c>
      <c r="M5492" t="n">
        <v>0</v>
      </c>
      <c r="N5492" t="n">
        <v>0</v>
      </c>
      <c r="O5492" t="n">
        <v>0</v>
      </c>
      <c r="P5492" t="n">
        <v>0</v>
      </c>
      <c r="Q5492" t="n">
        <v>0</v>
      </c>
      <c r="R5492" s="2" t="inlineStr"/>
    </row>
    <row r="5493" ht="15" customHeight="1">
      <c r="A5493" t="inlineStr">
        <is>
          <t>A 50459-2022</t>
        </is>
      </c>
      <c r="B5493" s="1" t="n">
        <v>44861</v>
      </c>
      <c r="C5493" s="1" t="n">
        <v>45182</v>
      </c>
      <c r="D5493" t="inlineStr">
        <is>
          <t>JÄMTLANDS LÄN</t>
        </is>
      </c>
      <c r="E5493" t="inlineStr">
        <is>
          <t>KROKOM</t>
        </is>
      </c>
      <c r="G5493" t="n">
        <v>1.4</v>
      </c>
      <c r="H5493" t="n">
        <v>0</v>
      </c>
      <c r="I5493" t="n">
        <v>0</v>
      </c>
      <c r="J5493" t="n">
        <v>0</v>
      </c>
      <c r="K5493" t="n">
        <v>0</v>
      </c>
      <c r="L5493" t="n">
        <v>0</v>
      </c>
      <c r="M5493" t="n">
        <v>0</v>
      </c>
      <c r="N5493" t="n">
        <v>0</v>
      </c>
      <c r="O5493" t="n">
        <v>0</v>
      </c>
      <c r="P5493" t="n">
        <v>0</v>
      </c>
      <c r="Q5493" t="n">
        <v>0</v>
      </c>
      <c r="R5493" s="2" t="inlineStr"/>
    </row>
    <row r="5494" ht="15" customHeight="1">
      <c r="A5494" t="inlineStr">
        <is>
          <t>A 49689-2022</t>
        </is>
      </c>
      <c r="B5494" s="1" t="n">
        <v>44862</v>
      </c>
      <c r="C5494" s="1" t="n">
        <v>45182</v>
      </c>
      <c r="D5494" t="inlineStr">
        <is>
          <t>JÄMTLANDS LÄN</t>
        </is>
      </c>
      <c r="E5494" t="inlineStr">
        <is>
          <t>HÄRJEDALEN</t>
        </is>
      </c>
      <c r="F5494" t="inlineStr">
        <is>
          <t>Sveaskog</t>
        </is>
      </c>
      <c r="G5494" t="n">
        <v>0.4</v>
      </c>
      <c r="H5494" t="n">
        <v>0</v>
      </c>
      <c r="I5494" t="n">
        <v>0</v>
      </c>
      <c r="J5494" t="n">
        <v>0</v>
      </c>
      <c r="K5494" t="n">
        <v>0</v>
      </c>
      <c r="L5494" t="n">
        <v>0</v>
      </c>
      <c r="M5494" t="n">
        <v>0</v>
      </c>
      <c r="N5494" t="n">
        <v>0</v>
      </c>
      <c r="O5494" t="n">
        <v>0</v>
      </c>
      <c r="P5494" t="n">
        <v>0</v>
      </c>
      <c r="Q5494" t="n">
        <v>0</v>
      </c>
      <c r="R5494" s="2" t="inlineStr"/>
    </row>
    <row r="5495" ht="15" customHeight="1">
      <c r="A5495" t="inlineStr">
        <is>
          <t>A 49864-2022</t>
        </is>
      </c>
      <c r="B5495" s="1" t="n">
        <v>44862</v>
      </c>
      <c r="C5495" s="1" t="n">
        <v>45182</v>
      </c>
      <c r="D5495" t="inlineStr">
        <is>
          <t>JÄMTLANDS LÄN</t>
        </is>
      </c>
      <c r="E5495" t="inlineStr">
        <is>
          <t>BRÄCKE</t>
        </is>
      </c>
      <c r="F5495" t="inlineStr">
        <is>
          <t>SCA</t>
        </is>
      </c>
      <c r="G5495" t="n">
        <v>9</v>
      </c>
      <c r="H5495" t="n">
        <v>0</v>
      </c>
      <c r="I5495" t="n">
        <v>0</v>
      </c>
      <c r="J5495" t="n">
        <v>0</v>
      </c>
      <c r="K5495" t="n">
        <v>0</v>
      </c>
      <c r="L5495" t="n">
        <v>0</v>
      </c>
      <c r="M5495" t="n">
        <v>0</v>
      </c>
      <c r="N5495" t="n">
        <v>0</v>
      </c>
      <c r="O5495" t="n">
        <v>0</v>
      </c>
      <c r="P5495" t="n">
        <v>0</v>
      </c>
      <c r="Q5495" t="n">
        <v>0</v>
      </c>
      <c r="R5495" s="2" t="inlineStr"/>
    </row>
    <row r="5496" ht="15" customHeight="1">
      <c r="A5496" t="inlineStr">
        <is>
          <t>A 49861-2022</t>
        </is>
      </c>
      <c r="B5496" s="1" t="n">
        <v>44862</v>
      </c>
      <c r="C5496" s="1" t="n">
        <v>45182</v>
      </c>
      <c r="D5496" t="inlineStr">
        <is>
          <t>JÄMTLANDS LÄN</t>
        </is>
      </c>
      <c r="E5496" t="inlineStr">
        <is>
          <t>BRÄCKE</t>
        </is>
      </c>
      <c r="F5496" t="inlineStr">
        <is>
          <t>SCA</t>
        </is>
      </c>
      <c r="G5496" t="n">
        <v>1.3</v>
      </c>
      <c r="H5496" t="n">
        <v>0</v>
      </c>
      <c r="I5496" t="n">
        <v>0</v>
      </c>
      <c r="J5496" t="n">
        <v>0</v>
      </c>
      <c r="K5496" t="n">
        <v>0</v>
      </c>
      <c r="L5496" t="n">
        <v>0</v>
      </c>
      <c r="M5496" t="n">
        <v>0</v>
      </c>
      <c r="N5496" t="n">
        <v>0</v>
      </c>
      <c r="O5496" t="n">
        <v>0</v>
      </c>
      <c r="P5496" t="n">
        <v>0</v>
      </c>
      <c r="Q5496" t="n">
        <v>0</v>
      </c>
      <c r="R5496" s="2" t="inlineStr"/>
    </row>
    <row r="5497" ht="15" customHeight="1">
      <c r="A5497" t="inlineStr">
        <is>
          <t>A 49868-2022</t>
        </is>
      </c>
      <c r="B5497" s="1" t="n">
        <v>44862</v>
      </c>
      <c r="C5497" s="1" t="n">
        <v>45182</v>
      </c>
      <c r="D5497" t="inlineStr">
        <is>
          <t>JÄMTLANDS LÄN</t>
        </is>
      </c>
      <c r="E5497" t="inlineStr">
        <is>
          <t>BERG</t>
        </is>
      </c>
      <c r="F5497" t="inlineStr">
        <is>
          <t>SCA</t>
        </is>
      </c>
      <c r="G5497" t="n">
        <v>21.7</v>
      </c>
      <c r="H5497" t="n">
        <v>0</v>
      </c>
      <c r="I5497" t="n">
        <v>0</v>
      </c>
      <c r="J5497" t="n">
        <v>0</v>
      </c>
      <c r="K5497" t="n">
        <v>0</v>
      </c>
      <c r="L5497" t="n">
        <v>0</v>
      </c>
      <c r="M5497" t="n">
        <v>0</v>
      </c>
      <c r="N5497" t="n">
        <v>0</v>
      </c>
      <c r="O5497" t="n">
        <v>0</v>
      </c>
      <c r="P5497" t="n">
        <v>0</v>
      </c>
      <c r="Q5497" t="n">
        <v>0</v>
      </c>
      <c r="R5497" s="2" t="inlineStr"/>
    </row>
    <row r="5498" ht="15" customHeight="1">
      <c r="A5498" t="inlineStr">
        <is>
          <t>A 49663-2022</t>
        </is>
      </c>
      <c r="B5498" s="1" t="n">
        <v>44862</v>
      </c>
      <c r="C5498" s="1" t="n">
        <v>45182</v>
      </c>
      <c r="D5498" t="inlineStr">
        <is>
          <t>JÄMTLANDS LÄN</t>
        </is>
      </c>
      <c r="E5498" t="inlineStr">
        <is>
          <t>HÄRJEDALEN</t>
        </is>
      </c>
      <c r="F5498" t="inlineStr">
        <is>
          <t>Bergvik skog väst AB</t>
        </is>
      </c>
      <c r="G5498" t="n">
        <v>17.5</v>
      </c>
      <c r="H5498" t="n">
        <v>0</v>
      </c>
      <c r="I5498" t="n">
        <v>0</v>
      </c>
      <c r="J5498" t="n">
        <v>0</v>
      </c>
      <c r="K5498" t="n">
        <v>0</v>
      </c>
      <c r="L5498" t="n">
        <v>0</v>
      </c>
      <c r="M5498" t="n">
        <v>0</v>
      </c>
      <c r="N5498" t="n">
        <v>0</v>
      </c>
      <c r="O5498" t="n">
        <v>0</v>
      </c>
      <c r="P5498" t="n">
        <v>0</v>
      </c>
      <c r="Q5498" t="n">
        <v>0</v>
      </c>
      <c r="R5498" s="2" t="inlineStr"/>
    </row>
    <row r="5499" ht="15" customHeight="1">
      <c r="A5499" t="inlineStr">
        <is>
          <t>A 49643-2022</t>
        </is>
      </c>
      <c r="B5499" s="1" t="n">
        <v>44862</v>
      </c>
      <c r="C5499" s="1" t="n">
        <v>45182</v>
      </c>
      <c r="D5499" t="inlineStr">
        <is>
          <t>JÄMTLANDS LÄN</t>
        </is>
      </c>
      <c r="E5499" t="inlineStr">
        <is>
          <t>BERG</t>
        </is>
      </c>
      <c r="G5499" t="n">
        <v>2.8</v>
      </c>
      <c r="H5499" t="n">
        <v>0</v>
      </c>
      <c r="I5499" t="n">
        <v>0</v>
      </c>
      <c r="J5499" t="n">
        <v>0</v>
      </c>
      <c r="K5499" t="n">
        <v>0</v>
      </c>
      <c r="L5499" t="n">
        <v>0</v>
      </c>
      <c r="M5499" t="n">
        <v>0</v>
      </c>
      <c r="N5499" t="n">
        <v>0</v>
      </c>
      <c r="O5499" t="n">
        <v>0</v>
      </c>
      <c r="P5499" t="n">
        <v>0</v>
      </c>
      <c r="Q5499" t="n">
        <v>0</v>
      </c>
      <c r="R5499" s="2" t="inlineStr"/>
    </row>
    <row r="5500" ht="15" customHeight="1">
      <c r="A5500" t="inlineStr">
        <is>
          <t>A 49847-2022</t>
        </is>
      </c>
      <c r="B5500" s="1" t="n">
        <v>44862</v>
      </c>
      <c r="C5500" s="1" t="n">
        <v>45182</v>
      </c>
      <c r="D5500" t="inlineStr">
        <is>
          <t>JÄMTLANDS LÄN</t>
        </is>
      </c>
      <c r="E5500" t="inlineStr">
        <is>
          <t>ÅRE</t>
        </is>
      </c>
      <c r="G5500" t="n">
        <v>2</v>
      </c>
      <c r="H5500" t="n">
        <v>0</v>
      </c>
      <c r="I5500" t="n">
        <v>0</v>
      </c>
      <c r="J5500" t="n">
        <v>0</v>
      </c>
      <c r="K5500" t="n">
        <v>0</v>
      </c>
      <c r="L5500" t="n">
        <v>0</v>
      </c>
      <c r="M5500" t="n">
        <v>0</v>
      </c>
      <c r="N5500" t="n">
        <v>0</v>
      </c>
      <c r="O5500" t="n">
        <v>0</v>
      </c>
      <c r="P5500" t="n">
        <v>0</v>
      </c>
      <c r="Q5500" t="n">
        <v>0</v>
      </c>
      <c r="R5500" s="2" t="inlineStr"/>
    </row>
    <row r="5501" ht="15" customHeight="1">
      <c r="A5501" t="inlineStr">
        <is>
          <t>A 49858-2022</t>
        </is>
      </c>
      <c r="B5501" s="1" t="n">
        <v>44862</v>
      </c>
      <c r="C5501" s="1" t="n">
        <v>45182</v>
      </c>
      <c r="D5501" t="inlineStr">
        <is>
          <t>JÄMTLANDS LÄN</t>
        </is>
      </c>
      <c r="E5501" t="inlineStr">
        <is>
          <t>BRÄCKE</t>
        </is>
      </c>
      <c r="F5501" t="inlineStr">
        <is>
          <t>SCA</t>
        </is>
      </c>
      <c r="G5501" t="n">
        <v>2.3</v>
      </c>
      <c r="H5501" t="n">
        <v>0</v>
      </c>
      <c r="I5501" t="n">
        <v>0</v>
      </c>
      <c r="J5501" t="n">
        <v>0</v>
      </c>
      <c r="K5501" t="n">
        <v>0</v>
      </c>
      <c r="L5501" t="n">
        <v>0</v>
      </c>
      <c r="M5501" t="n">
        <v>0</v>
      </c>
      <c r="N5501" t="n">
        <v>0</v>
      </c>
      <c r="O5501" t="n">
        <v>0</v>
      </c>
      <c r="P5501" t="n">
        <v>0</v>
      </c>
      <c r="Q5501" t="n">
        <v>0</v>
      </c>
      <c r="R5501" s="2" t="inlineStr"/>
    </row>
    <row r="5502" ht="15" customHeight="1">
      <c r="A5502" t="inlineStr">
        <is>
          <t>A 50087-2022</t>
        </is>
      </c>
      <c r="B5502" s="1" t="n">
        <v>44865</v>
      </c>
      <c r="C5502" s="1" t="n">
        <v>45182</v>
      </c>
      <c r="D5502" t="inlineStr">
        <is>
          <t>JÄMTLANDS LÄN</t>
        </is>
      </c>
      <c r="E5502" t="inlineStr">
        <is>
          <t>RAGUNDA</t>
        </is>
      </c>
      <c r="G5502" t="n">
        <v>2</v>
      </c>
      <c r="H5502" t="n">
        <v>0</v>
      </c>
      <c r="I5502" t="n">
        <v>0</v>
      </c>
      <c r="J5502" t="n">
        <v>0</v>
      </c>
      <c r="K5502" t="n">
        <v>0</v>
      </c>
      <c r="L5502" t="n">
        <v>0</v>
      </c>
      <c r="M5502" t="n">
        <v>0</v>
      </c>
      <c r="N5502" t="n">
        <v>0</v>
      </c>
      <c r="O5502" t="n">
        <v>0</v>
      </c>
      <c r="P5502" t="n">
        <v>0</v>
      </c>
      <c r="Q5502" t="n">
        <v>0</v>
      </c>
      <c r="R5502" s="2" t="inlineStr"/>
    </row>
    <row r="5503" ht="15" customHeight="1">
      <c r="A5503" t="inlineStr">
        <is>
          <t>A 50302-2022</t>
        </is>
      </c>
      <c r="B5503" s="1" t="n">
        <v>44865</v>
      </c>
      <c r="C5503" s="1" t="n">
        <v>45182</v>
      </c>
      <c r="D5503" t="inlineStr">
        <is>
          <t>JÄMTLANDS LÄN</t>
        </is>
      </c>
      <c r="E5503" t="inlineStr">
        <is>
          <t>KROKOM</t>
        </is>
      </c>
      <c r="G5503" t="n">
        <v>3.4</v>
      </c>
      <c r="H5503" t="n">
        <v>0</v>
      </c>
      <c r="I5503" t="n">
        <v>0</v>
      </c>
      <c r="J5503" t="n">
        <v>0</v>
      </c>
      <c r="K5503" t="n">
        <v>0</v>
      </c>
      <c r="L5503" t="n">
        <v>0</v>
      </c>
      <c r="M5503" t="n">
        <v>0</v>
      </c>
      <c r="N5503" t="n">
        <v>0</v>
      </c>
      <c r="O5503" t="n">
        <v>0</v>
      </c>
      <c r="P5503" t="n">
        <v>0</v>
      </c>
      <c r="Q5503" t="n">
        <v>0</v>
      </c>
      <c r="R5503" s="2" t="inlineStr"/>
    </row>
    <row r="5504" ht="15" customHeight="1">
      <c r="A5504" t="inlineStr">
        <is>
          <t>A 50313-2022</t>
        </is>
      </c>
      <c r="B5504" s="1" t="n">
        <v>44865</v>
      </c>
      <c r="C5504" s="1" t="n">
        <v>45182</v>
      </c>
      <c r="D5504" t="inlineStr">
        <is>
          <t>JÄMTLANDS LÄN</t>
        </is>
      </c>
      <c r="E5504" t="inlineStr">
        <is>
          <t>STRÖMSUND</t>
        </is>
      </c>
      <c r="F5504" t="inlineStr">
        <is>
          <t>SCA</t>
        </is>
      </c>
      <c r="G5504" t="n">
        <v>1.5</v>
      </c>
      <c r="H5504" t="n">
        <v>0</v>
      </c>
      <c r="I5504" t="n">
        <v>0</v>
      </c>
      <c r="J5504" t="n">
        <v>0</v>
      </c>
      <c r="K5504" t="n">
        <v>0</v>
      </c>
      <c r="L5504" t="n">
        <v>0</v>
      </c>
      <c r="M5504" t="n">
        <v>0</v>
      </c>
      <c r="N5504" t="n">
        <v>0</v>
      </c>
      <c r="O5504" t="n">
        <v>0</v>
      </c>
      <c r="P5504" t="n">
        <v>0</v>
      </c>
      <c r="Q5504" t="n">
        <v>0</v>
      </c>
      <c r="R5504" s="2" t="inlineStr"/>
    </row>
    <row r="5505" ht="15" customHeight="1">
      <c r="A5505" t="inlineStr">
        <is>
          <t>A 50317-2022</t>
        </is>
      </c>
      <c r="B5505" s="1" t="n">
        <v>44865</v>
      </c>
      <c r="C5505" s="1" t="n">
        <v>45182</v>
      </c>
      <c r="D5505" t="inlineStr">
        <is>
          <t>JÄMTLANDS LÄN</t>
        </is>
      </c>
      <c r="E5505" t="inlineStr">
        <is>
          <t>STRÖMSUND</t>
        </is>
      </c>
      <c r="F5505" t="inlineStr">
        <is>
          <t>SCA</t>
        </is>
      </c>
      <c r="G5505" t="n">
        <v>19</v>
      </c>
      <c r="H5505" t="n">
        <v>0</v>
      </c>
      <c r="I5505" t="n">
        <v>0</v>
      </c>
      <c r="J5505" t="n">
        <v>0</v>
      </c>
      <c r="K5505" t="n">
        <v>0</v>
      </c>
      <c r="L5505" t="n">
        <v>0</v>
      </c>
      <c r="M5505" t="n">
        <v>0</v>
      </c>
      <c r="N5505" t="n">
        <v>0</v>
      </c>
      <c r="O5505" t="n">
        <v>0</v>
      </c>
      <c r="P5505" t="n">
        <v>0</v>
      </c>
      <c r="Q5505" t="n">
        <v>0</v>
      </c>
      <c r="R5505" s="2" t="inlineStr"/>
    </row>
    <row r="5506" ht="15" customHeight="1">
      <c r="A5506" t="inlineStr">
        <is>
          <t>A 51152-2022</t>
        </is>
      </c>
      <c r="B5506" s="1" t="n">
        <v>44865</v>
      </c>
      <c r="C5506" s="1" t="n">
        <v>45182</v>
      </c>
      <c r="D5506" t="inlineStr">
        <is>
          <t>JÄMTLANDS LÄN</t>
        </is>
      </c>
      <c r="E5506" t="inlineStr">
        <is>
          <t>BRÄCKE</t>
        </is>
      </c>
      <c r="G5506" t="n">
        <v>8.800000000000001</v>
      </c>
      <c r="H5506" t="n">
        <v>0</v>
      </c>
      <c r="I5506" t="n">
        <v>0</v>
      </c>
      <c r="J5506" t="n">
        <v>0</v>
      </c>
      <c r="K5506" t="n">
        <v>0</v>
      </c>
      <c r="L5506" t="n">
        <v>0</v>
      </c>
      <c r="M5506" t="n">
        <v>0</v>
      </c>
      <c r="N5506" t="n">
        <v>0</v>
      </c>
      <c r="O5506" t="n">
        <v>0</v>
      </c>
      <c r="P5506" t="n">
        <v>0</v>
      </c>
      <c r="Q5506" t="n">
        <v>0</v>
      </c>
      <c r="R5506" s="2" t="inlineStr"/>
    </row>
    <row r="5507" ht="15" customHeight="1">
      <c r="A5507" t="inlineStr">
        <is>
          <t>A 50089-2022</t>
        </is>
      </c>
      <c r="B5507" s="1" t="n">
        <v>44865</v>
      </c>
      <c r="C5507" s="1" t="n">
        <v>45182</v>
      </c>
      <c r="D5507" t="inlineStr">
        <is>
          <t>JÄMTLANDS LÄN</t>
        </is>
      </c>
      <c r="E5507" t="inlineStr">
        <is>
          <t>RAGUNDA</t>
        </is>
      </c>
      <c r="G5507" t="n">
        <v>5.7</v>
      </c>
      <c r="H5507" t="n">
        <v>0</v>
      </c>
      <c r="I5507" t="n">
        <v>0</v>
      </c>
      <c r="J5507" t="n">
        <v>0</v>
      </c>
      <c r="K5507" t="n">
        <v>0</v>
      </c>
      <c r="L5507" t="n">
        <v>0</v>
      </c>
      <c r="M5507" t="n">
        <v>0</v>
      </c>
      <c r="N5507" t="n">
        <v>0</v>
      </c>
      <c r="O5507" t="n">
        <v>0</v>
      </c>
      <c r="P5507" t="n">
        <v>0</v>
      </c>
      <c r="Q5507" t="n">
        <v>0</v>
      </c>
      <c r="R5507" s="2" t="inlineStr"/>
    </row>
    <row r="5508" ht="15" customHeight="1">
      <c r="A5508" t="inlineStr">
        <is>
          <t>A 50314-2022</t>
        </is>
      </c>
      <c r="B5508" s="1" t="n">
        <v>44865</v>
      </c>
      <c r="C5508" s="1" t="n">
        <v>45182</v>
      </c>
      <c r="D5508" t="inlineStr">
        <is>
          <t>JÄMTLANDS LÄN</t>
        </is>
      </c>
      <c r="E5508" t="inlineStr">
        <is>
          <t>STRÖMSUND</t>
        </is>
      </c>
      <c r="F5508" t="inlineStr">
        <is>
          <t>SCA</t>
        </is>
      </c>
      <c r="G5508" t="n">
        <v>13.4</v>
      </c>
      <c r="H5508" t="n">
        <v>0</v>
      </c>
      <c r="I5508" t="n">
        <v>0</v>
      </c>
      <c r="J5508" t="n">
        <v>0</v>
      </c>
      <c r="K5508" t="n">
        <v>0</v>
      </c>
      <c r="L5508" t="n">
        <v>0</v>
      </c>
      <c r="M5508" t="n">
        <v>0</v>
      </c>
      <c r="N5508" t="n">
        <v>0</v>
      </c>
      <c r="O5508" t="n">
        <v>0</v>
      </c>
      <c r="P5508" t="n">
        <v>0</v>
      </c>
      <c r="Q5508" t="n">
        <v>0</v>
      </c>
      <c r="R5508" s="2" t="inlineStr"/>
    </row>
    <row r="5509" ht="15" customHeight="1">
      <c r="A5509" t="inlineStr">
        <is>
          <t>A 50323-2022</t>
        </is>
      </c>
      <c r="B5509" s="1" t="n">
        <v>44865</v>
      </c>
      <c r="C5509" s="1" t="n">
        <v>45182</v>
      </c>
      <c r="D5509" t="inlineStr">
        <is>
          <t>JÄMTLANDS LÄN</t>
        </is>
      </c>
      <c r="E5509" t="inlineStr">
        <is>
          <t>BRÄCKE</t>
        </is>
      </c>
      <c r="F5509" t="inlineStr">
        <is>
          <t>SCA</t>
        </is>
      </c>
      <c r="G5509" t="n">
        <v>3.5</v>
      </c>
      <c r="H5509" t="n">
        <v>0</v>
      </c>
      <c r="I5509" t="n">
        <v>0</v>
      </c>
      <c r="J5509" t="n">
        <v>0</v>
      </c>
      <c r="K5509" t="n">
        <v>0</v>
      </c>
      <c r="L5509" t="n">
        <v>0</v>
      </c>
      <c r="M5509" t="n">
        <v>0</v>
      </c>
      <c r="N5509" t="n">
        <v>0</v>
      </c>
      <c r="O5509" t="n">
        <v>0</v>
      </c>
      <c r="P5509" t="n">
        <v>0</v>
      </c>
      <c r="Q5509" t="n">
        <v>0</v>
      </c>
      <c r="R5509" s="2" t="inlineStr"/>
    </row>
    <row r="5510" ht="15" customHeight="1">
      <c r="A5510" t="inlineStr">
        <is>
          <t>A 50315-2022</t>
        </is>
      </c>
      <c r="B5510" s="1" t="n">
        <v>44865</v>
      </c>
      <c r="C5510" s="1" t="n">
        <v>45182</v>
      </c>
      <c r="D5510" t="inlineStr">
        <is>
          <t>JÄMTLANDS LÄN</t>
        </is>
      </c>
      <c r="E5510" t="inlineStr">
        <is>
          <t>STRÖMSUND</t>
        </is>
      </c>
      <c r="F5510" t="inlineStr">
        <is>
          <t>SCA</t>
        </is>
      </c>
      <c r="G5510" t="n">
        <v>1.4</v>
      </c>
      <c r="H5510" t="n">
        <v>0</v>
      </c>
      <c r="I5510" t="n">
        <v>0</v>
      </c>
      <c r="J5510" t="n">
        <v>0</v>
      </c>
      <c r="K5510" t="n">
        <v>0</v>
      </c>
      <c r="L5510" t="n">
        <v>0</v>
      </c>
      <c r="M5510" t="n">
        <v>0</v>
      </c>
      <c r="N5510" t="n">
        <v>0</v>
      </c>
      <c r="O5510" t="n">
        <v>0</v>
      </c>
      <c r="P5510" t="n">
        <v>0</v>
      </c>
      <c r="Q5510" t="n">
        <v>0</v>
      </c>
      <c r="R5510" s="2" t="inlineStr"/>
    </row>
    <row r="5511" ht="15" customHeight="1">
      <c r="A5511" t="inlineStr">
        <is>
          <t>A 50646-2022</t>
        </is>
      </c>
      <c r="B5511" s="1" t="n">
        <v>44866</v>
      </c>
      <c r="C5511" s="1" t="n">
        <v>45182</v>
      </c>
      <c r="D5511" t="inlineStr">
        <is>
          <t>JÄMTLANDS LÄN</t>
        </is>
      </c>
      <c r="E5511" t="inlineStr">
        <is>
          <t>STRÖMSUND</t>
        </is>
      </c>
      <c r="F5511" t="inlineStr">
        <is>
          <t>SCA</t>
        </is>
      </c>
      <c r="G5511" t="n">
        <v>4.5</v>
      </c>
      <c r="H5511" t="n">
        <v>0</v>
      </c>
      <c r="I5511" t="n">
        <v>0</v>
      </c>
      <c r="J5511" t="n">
        <v>0</v>
      </c>
      <c r="K5511" t="n">
        <v>0</v>
      </c>
      <c r="L5511" t="n">
        <v>0</v>
      </c>
      <c r="M5511" t="n">
        <v>0</v>
      </c>
      <c r="N5511" t="n">
        <v>0</v>
      </c>
      <c r="O5511" t="n">
        <v>0</v>
      </c>
      <c r="P5511" t="n">
        <v>0</v>
      </c>
      <c r="Q5511" t="n">
        <v>0</v>
      </c>
      <c r="R5511" s="2" t="inlineStr"/>
    </row>
    <row r="5512" ht="15" customHeight="1">
      <c r="A5512" t="inlineStr">
        <is>
          <t>A 50681-2022</t>
        </is>
      </c>
      <c r="B5512" s="1" t="n">
        <v>44866</v>
      </c>
      <c r="C5512" s="1" t="n">
        <v>45182</v>
      </c>
      <c r="D5512" t="inlineStr">
        <is>
          <t>JÄMTLANDS LÄN</t>
        </is>
      </c>
      <c r="E5512" t="inlineStr">
        <is>
          <t>STRÖMSUND</t>
        </is>
      </c>
      <c r="F5512" t="inlineStr">
        <is>
          <t>SCA</t>
        </is>
      </c>
      <c r="G5512" t="n">
        <v>2.5</v>
      </c>
      <c r="H5512" t="n">
        <v>0</v>
      </c>
      <c r="I5512" t="n">
        <v>0</v>
      </c>
      <c r="J5512" t="n">
        <v>0</v>
      </c>
      <c r="K5512" t="n">
        <v>0</v>
      </c>
      <c r="L5512" t="n">
        <v>0</v>
      </c>
      <c r="M5512" t="n">
        <v>0</v>
      </c>
      <c r="N5512" t="n">
        <v>0</v>
      </c>
      <c r="O5512" t="n">
        <v>0</v>
      </c>
      <c r="P5512" t="n">
        <v>0</v>
      </c>
      <c r="Q5512" t="n">
        <v>0</v>
      </c>
      <c r="R5512" s="2" t="inlineStr"/>
    </row>
    <row r="5513" ht="15" customHeight="1">
      <c r="A5513" t="inlineStr">
        <is>
          <t>A 50680-2022</t>
        </is>
      </c>
      <c r="B5513" s="1" t="n">
        <v>44866</v>
      </c>
      <c r="C5513" s="1" t="n">
        <v>45182</v>
      </c>
      <c r="D5513" t="inlineStr">
        <is>
          <t>JÄMTLANDS LÄN</t>
        </is>
      </c>
      <c r="E5513" t="inlineStr">
        <is>
          <t>STRÖMSUND</t>
        </is>
      </c>
      <c r="F5513" t="inlineStr">
        <is>
          <t>SCA</t>
        </is>
      </c>
      <c r="G5513" t="n">
        <v>3.7</v>
      </c>
      <c r="H5513" t="n">
        <v>0</v>
      </c>
      <c r="I5513" t="n">
        <v>0</v>
      </c>
      <c r="J5513" t="n">
        <v>0</v>
      </c>
      <c r="K5513" t="n">
        <v>0</v>
      </c>
      <c r="L5513" t="n">
        <v>0</v>
      </c>
      <c r="M5513" t="n">
        <v>0</v>
      </c>
      <c r="N5513" t="n">
        <v>0</v>
      </c>
      <c r="O5513" t="n">
        <v>0</v>
      </c>
      <c r="P5513" t="n">
        <v>0</v>
      </c>
      <c r="Q5513" t="n">
        <v>0</v>
      </c>
      <c r="R5513" s="2" t="inlineStr"/>
    </row>
    <row r="5514" ht="15" customHeight="1">
      <c r="A5514" t="inlineStr">
        <is>
          <t>A 50648-2022</t>
        </is>
      </c>
      <c r="B5514" s="1" t="n">
        <v>44866</v>
      </c>
      <c r="C5514" s="1" t="n">
        <v>45182</v>
      </c>
      <c r="D5514" t="inlineStr">
        <is>
          <t>JÄMTLANDS LÄN</t>
        </is>
      </c>
      <c r="E5514" t="inlineStr">
        <is>
          <t>RAGUNDA</t>
        </is>
      </c>
      <c r="F5514" t="inlineStr">
        <is>
          <t>SCA</t>
        </is>
      </c>
      <c r="G5514" t="n">
        <v>14.5</v>
      </c>
      <c r="H5514" t="n">
        <v>0</v>
      </c>
      <c r="I5514" t="n">
        <v>0</v>
      </c>
      <c r="J5514" t="n">
        <v>0</v>
      </c>
      <c r="K5514" t="n">
        <v>0</v>
      </c>
      <c r="L5514" t="n">
        <v>0</v>
      </c>
      <c r="M5514" t="n">
        <v>0</v>
      </c>
      <c r="N5514" t="n">
        <v>0</v>
      </c>
      <c r="O5514" t="n">
        <v>0</v>
      </c>
      <c r="P5514" t="n">
        <v>0</v>
      </c>
      <c r="Q5514" t="n">
        <v>0</v>
      </c>
      <c r="R5514" s="2" t="inlineStr"/>
    </row>
    <row r="5515" ht="15" customHeight="1">
      <c r="A5515" t="inlineStr">
        <is>
          <t>A 50678-2022</t>
        </is>
      </c>
      <c r="B5515" s="1" t="n">
        <v>44866</v>
      </c>
      <c r="C5515" s="1" t="n">
        <v>45182</v>
      </c>
      <c r="D5515" t="inlineStr">
        <is>
          <t>JÄMTLANDS LÄN</t>
        </is>
      </c>
      <c r="E5515" t="inlineStr">
        <is>
          <t>BERG</t>
        </is>
      </c>
      <c r="F5515" t="inlineStr">
        <is>
          <t>SCA</t>
        </is>
      </c>
      <c r="G5515" t="n">
        <v>18.5</v>
      </c>
      <c r="H5515" t="n">
        <v>0</v>
      </c>
      <c r="I5515" t="n">
        <v>0</v>
      </c>
      <c r="J5515" t="n">
        <v>0</v>
      </c>
      <c r="K5515" t="n">
        <v>0</v>
      </c>
      <c r="L5515" t="n">
        <v>0</v>
      </c>
      <c r="M5515" t="n">
        <v>0</v>
      </c>
      <c r="N5515" t="n">
        <v>0</v>
      </c>
      <c r="O5515" t="n">
        <v>0</v>
      </c>
      <c r="P5515" t="n">
        <v>0</v>
      </c>
      <c r="Q5515" t="n">
        <v>0</v>
      </c>
      <c r="R5515" s="2" t="inlineStr"/>
    </row>
    <row r="5516" ht="15" customHeight="1">
      <c r="A5516" t="inlineStr">
        <is>
          <t>A 50682-2022</t>
        </is>
      </c>
      <c r="B5516" s="1" t="n">
        <v>44866</v>
      </c>
      <c r="C5516" s="1" t="n">
        <v>45182</v>
      </c>
      <c r="D5516" t="inlineStr">
        <is>
          <t>JÄMTLANDS LÄN</t>
        </is>
      </c>
      <c r="E5516" t="inlineStr">
        <is>
          <t>RAGUNDA</t>
        </is>
      </c>
      <c r="F5516" t="inlineStr">
        <is>
          <t>SCA</t>
        </is>
      </c>
      <c r="G5516" t="n">
        <v>2.8</v>
      </c>
      <c r="H5516" t="n">
        <v>0</v>
      </c>
      <c r="I5516" t="n">
        <v>0</v>
      </c>
      <c r="J5516" t="n">
        <v>0</v>
      </c>
      <c r="K5516" t="n">
        <v>0</v>
      </c>
      <c r="L5516" t="n">
        <v>0</v>
      </c>
      <c r="M5516" t="n">
        <v>0</v>
      </c>
      <c r="N5516" t="n">
        <v>0</v>
      </c>
      <c r="O5516" t="n">
        <v>0</v>
      </c>
      <c r="P5516" t="n">
        <v>0</v>
      </c>
      <c r="Q5516" t="n">
        <v>0</v>
      </c>
      <c r="R5516" s="2" t="inlineStr"/>
    </row>
    <row r="5517" ht="15" customHeight="1">
      <c r="A5517" t="inlineStr">
        <is>
          <t>A 51270-2022</t>
        </is>
      </c>
      <c r="B5517" s="1" t="n">
        <v>44866</v>
      </c>
      <c r="C5517" s="1" t="n">
        <v>45182</v>
      </c>
      <c r="D5517" t="inlineStr">
        <is>
          <t>JÄMTLANDS LÄN</t>
        </is>
      </c>
      <c r="E5517" t="inlineStr">
        <is>
          <t>BRÄCKE</t>
        </is>
      </c>
      <c r="F5517" t="inlineStr">
        <is>
          <t>Kommuner</t>
        </is>
      </c>
      <c r="G5517" t="n">
        <v>2.2</v>
      </c>
      <c r="H5517" t="n">
        <v>0</v>
      </c>
      <c r="I5517" t="n">
        <v>0</v>
      </c>
      <c r="J5517" t="n">
        <v>0</v>
      </c>
      <c r="K5517" t="n">
        <v>0</v>
      </c>
      <c r="L5517" t="n">
        <v>0</v>
      </c>
      <c r="M5517" t="n">
        <v>0</v>
      </c>
      <c r="N5517" t="n">
        <v>0</v>
      </c>
      <c r="O5517" t="n">
        <v>0</v>
      </c>
      <c r="P5517" t="n">
        <v>0</v>
      </c>
      <c r="Q5517" t="n">
        <v>0</v>
      </c>
      <c r="R5517" s="2" t="inlineStr"/>
    </row>
    <row r="5518" ht="15" customHeight="1">
      <c r="A5518" t="inlineStr">
        <is>
          <t>A 51344-2022</t>
        </is>
      </c>
      <c r="B5518" s="1" t="n">
        <v>44866</v>
      </c>
      <c r="C5518" s="1" t="n">
        <v>45182</v>
      </c>
      <c r="D5518" t="inlineStr">
        <is>
          <t>JÄMTLANDS LÄN</t>
        </is>
      </c>
      <c r="E5518" t="inlineStr">
        <is>
          <t>STRÖMSUND</t>
        </is>
      </c>
      <c r="G5518" t="n">
        <v>1.7</v>
      </c>
      <c r="H5518" t="n">
        <v>0</v>
      </c>
      <c r="I5518" t="n">
        <v>0</v>
      </c>
      <c r="J5518" t="n">
        <v>0</v>
      </c>
      <c r="K5518" t="n">
        <v>0</v>
      </c>
      <c r="L5518" t="n">
        <v>0</v>
      </c>
      <c r="M5518" t="n">
        <v>0</v>
      </c>
      <c r="N5518" t="n">
        <v>0</v>
      </c>
      <c r="O5518" t="n">
        <v>0</v>
      </c>
      <c r="P5518" t="n">
        <v>0</v>
      </c>
      <c r="Q5518" t="n">
        <v>0</v>
      </c>
      <c r="R5518" s="2" t="inlineStr"/>
    </row>
    <row r="5519" ht="15" customHeight="1">
      <c r="A5519" t="inlineStr">
        <is>
          <t>A 50649-2022</t>
        </is>
      </c>
      <c r="B5519" s="1" t="n">
        <v>44866</v>
      </c>
      <c r="C5519" s="1" t="n">
        <v>45182</v>
      </c>
      <c r="D5519" t="inlineStr">
        <is>
          <t>JÄMTLANDS LÄN</t>
        </is>
      </c>
      <c r="E5519" t="inlineStr">
        <is>
          <t>RAGUNDA</t>
        </is>
      </c>
      <c r="F5519" t="inlineStr">
        <is>
          <t>SCA</t>
        </is>
      </c>
      <c r="G5519" t="n">
        <v>2.1</v>
      </c>
      <c r="H5519" t="n">
        <v>0</v>
      </c>
      <c r="I5519" t="n">
        <v>0</v>
      </c>
      <c r="J5519" t="n">
        <v>0</v>
      </c>
      <c r="K5519" t="n">
        <v>0</v>
      </c>
      <c r="L5519" t="n">
        <v>0</v>
      </c>
      <c r="M5519" t="n">
        <v>0</v>
      </c>
      <c r="N5519" t="n">
        <v>0</v>
      </c>
      <c r="O5519" t="n">
        <v>0</v>
      </c>
      <c r="P5519" t="n">
        <v>0</v>
      </c>
      <c r="Q5519" t="n">
        <v>0</v>
      </c>
      <c r="R5519" s="2" t="inlineStr"/>
    </row>
    <row r="5520" ht="15" customHeight="1">
      <c r="A5520" t="inlineStr">
        <is>
          <t>A 50679-2022</t>
        </is>
      </c>
      <c r="B5520" s="1" t="n">
        <v>44866</v>
      </c>
      <c r="C5520" s="1" t="n">
        <v>45182</v>
      </c>
      <c r="D5520" t="inlineStr">
        <is>
          <t>JÄMTLANDS LÄN</t>
        </is>
      </c>
      <c r="E5520" t="inlineStr">
        <is>
          <t>BERG</t>
        </is>
      </c>
      <c r="F5520" t="inlineStr">
        <is>
          <t>SCA</t>
        </is>
      </c>
      <c r="G5520" t="n">
        <v>18.6</v>
      </c>
      <c r="H5520" t="n">
        <v>0</v>
      </c>
      <c r="I5520" t="n">
        <v>0</v>
      </c>
      <c r="J5520" t="n">
        <v>0</v>
      </c>
      <c r="K5520" t="n">
        <v>0</v>
      </c>
      <c r="L5520" t="n">
        <v>0</v>
      </c>
      <c r="M5520" t="n">
        <v>0</v>
      </c>
      <c r="N5520" t="n">
        <v>0</v>
      </c>
      <c r="O5520" t="n">
        <v>0</v>
      </c>
      <c r="P5520" t="n">
        <v>0</v>
      </c>
      <c r="Q5520" t="n">
        <v>0</v>
      </c>
      <c r="R5520" s="2" t="inlineStr"/>
    </row>
    <row r="5521" ht="15" customHeight="1">
      <c r="A5521" t="inlineStr">
        <is>
          <t>A 51345-2022</t>
        </is>
      </c>
      <c r="B5521" s="1" t="n">
        <v>44866</v>
      </c>
      <c r="C5521" s="1" t="n">
        <v>45182</v>
      </c>
      <c r="D5521" t="inlineStr">
        <is>
          <t>JÄMTLANDS LÄN</t>
        </is>
      </c>
      <c r="E5521" t="inlineStr">
        <is>
          <t>KROKOM</t>
        </is>
      </c>
      <c r="G5521" t="n">
        <v>1.8</v>
      </c>
      <c r="H5521" t="n">
        <v>0</v>
      </c>
      <c r="I5521" t="n">
        <v>0</v>
      </c>
      <c r="J5521" t="n">
        <v>0</v>
      </c>
      <c r="K5521" t="n">
        <v>0</v>
      </c>
      <c r="L5521" t="n">
        <v>0</v>
      </c>
      <c r="M5521" t="n">
        <v>0</v>
      </c>
      <c r="N5521" t="n">
        <v>0</v>
      </c>
      <c r="O5521" t="n">
        <v>0</v>
      </c>
      <c r="P5521" t="n">
        <v>0</v>
      </c>
      <c r="Q5521" t="n">
        <v>0</v>
      </c>
      <c r="R5521" s="2" t="inlineStr"/>
    </row>
    <row r="5522" ht="15" customHeight="1">
      <c r="A5522" t="inlineStr">
        <is>
          <t>A 51013-2022</t>
        </is>
      </c>
      <c r="B5522" s="1" t="n">
        <v>44867</v>
      </c>
      <c r="C5522" s="1" t="n">
        <v>45182</v>
      </c>
      <c r="D5522" t="inlineStr">
        <is>
          <t>JÄMTLANDS LÄN</t>
        </is>
      </c>
      <c r="E5522" t="inlineStr">
        <is>
          <t>STRÖMSUND</t>
        </is>
      </c>
      <c r="G5522" t="n">
        <v>11.2</v>
      </c>
      <c r="H5522" t="n">
        <v>0</v>
      </c>
      <c r="I5522" t="n">
        <v>0</v>
      </c>
      <c r="J5522" t="n">
        <v>0</v>
      </c>
      <c r="K5522" t="n">
        <v>0</v>
      </c>
      <c r="L5522" t="n">
        <v>0</v>
      </c>
      <c r="M5522" t="n">
        <v>0</v>
      </c>
      <c r="N5522" t="n">
        <v>0</v>
      </c>
      <c r="O5522" t="n">
        <v>0</v>
      </c>
      <c r="P5522" t="n">
        <v>0</v>
      </c>
      <c r="Q5522" t="n">
        <v>0</v>
      </c>
      <c r="R5522" s="2" t="inlineStr"/>
    </row>
    <row r="5523" ht="15" customHeight="1">
      <c r="A5523" t="inlineStr">
        <is>
          <t>A 51703-2022</t>
        </is>
      </c>
      <c r="B5523" s="1" t="n">
        <v>44867</v>
      </c>
      <c r="C5523" s="1" t="n">
        <v>45182</v>
      </c>
      <c r="D5523" t="inlineStr">
        <is>
          <t>JÄMTLANDS LÄN</t>
        </is>
      </c>
      <c r="E5523" t="inlineStr">
        <is>
          <t>STRÖMSUND</t>
        </is>
      </c>
      <c r="G5523" t="n">
        <v>4.5</v>
      </c>
      <c r="H5523" t="n">
        <v>0</v>
      </c>
      <c r="I5523" t="n">
        <v>0</v>
      </c>
      <c r="J5523" t="n">
        <v>0</v>
      </c>
      <c r="K5523" t="n">
        <v>0</v>
      </c>
      <c r="L5523" t="n">
        <v>0</v>
      </c>
      <c r="M5523" t="n">
        <v>0</v>
      </c>
      <c r="N5523" t="n">
        <v>0</v>
      </c>
      <c r="O5523" t="n">
        <v>0</v>
      </c>
      <c r="P5523" t="n">
        <v>0</v>
      </c>
      <c r="Q5523" t="n">
        <v>0</v>
      </c>
      <c r="R5523" s="2" t="inlineStr"/>
    </row>
    <row r="5524" ht="15" customHeight="1">
      <c r="A5524" t="inlineStr">
        <is>
          <t>A 51022-2022</t>
        </is>
      </c>
      <c r="B5524" s="1" t="n">
        <v>44867</v>
      </c>
      <c r="C5524" s="1" t="n">
        <v>45182</v>
      </c>
      <c r="D5524" t="inlineStr">
        <is>
          <t>JÄMTLANDS LÄN</t>
        </is>
      </c>
      <c r="E5524" t="inlineStr">
        <is>
          <t>BRÄCKE</t>
        </is>
      </c>
      <c r="F5524" t="inlineStr">
        <is>
          <t>SCA</t>
        </is>
      </c>
      <c r="G5524" t="n">
        <v>0.8</v>
      </c>
      <c r="H5524" t="n">
        <v>0</v>
      </c>
      <c r="I5524" t="n">
        <v>0</v>
      </c>
      <c r="J5524" t="n">
        <v>0</v>
      </c>
      <c r="K5524" t="n">
        <v>0</v>
      </c>
      <c r="L5524" t="n">
        <v>0</v>
      </c>
      <c r="M5524" t="n">
        <v>0</v>
      </c>
      <c r="N5524" t="n">
        <v>0</v>
      </c>
      <c r="O5524" t="n">
        <v>0</v>
      </c>
      <c r="P5524" t="n">
        <v>0</v>
      </c>
      <c r="Q5524" t="n">
        <v>0</v>
      </c>
      <c r="R5524" s="2" t="inlineStr"/>
    </row>
    <row r="5525" ht="15" customHeight="1">
      <c r="A5525" t="inlineStr">
        <is>
          <t>A 51015-2022</t>
        </is>
      </c>
      <c r="B5525" s="1" t="n">
        <v>44867</v>
      </c>
      <c r="C5525" s="1" t="n">
        <v>45182</v>
      </c>
      <c r="D5525" t="inlineStr">
        <is>
          <t>JÄMTLANDS LÄN</t>
        </is>
      </c>
      <c r="E5525" t="inlineStr">
        <is>
          <t>STRÖMSUND</t>
        </is>
      </c>
      <c r="F5525" t="inlineStr">
        <is>
          <t>SCA</t>
        </is>
      </c>
      <c r="G5525" t="n">
        <v>8</v>
      </c>
      <c r="H5525" t="n">
        <v>0</v>
      </c>
      <c r="I5525" t="n">
        <v>0</v>
      </c>
      <c r="J5525" t="n">
        <v>0</v>
      </c>
      <c r="K5525" t="n">
        <v>0</v>
      </c>
      <c r="L5525" t="n">
        <v>0</v>
      </c>
      <c r="M5525" t="n">
        <v>0</v>
      </c>
      <c r="N5525" t="n">
        <v>0</v>
      </c>
      <c r="O5525" t="n">
        <v>0</v>
      </c>
      <c r="P5525" t="n">
        <v>0</v>
      </c>
      <c r="Q5525" t="n">
        <v>0</v>
      </c>
      <c r="R5525" s="2" t="inlineStr"/>
    </row>
    <row r="5526" ht="15" customHeight="1">
      <c r="A5526" t="inlineStr">
        <is>
          <t>A 51012-2022</t>
        </is>
      </c>
      <c r="B5526" s="1" t="n">
        <v>44867</v>
      </c>
      <c r="C5526" s="1" t="n">
        <v>45182</v>
      </c>
      <c r="D5526" t="inlineStr">
        <is>
          <t>JÄMTLANDS LÄN</t>
        </is>
      </c>
      <c r="E5526" t="inlineStr">
        <is>
          <t>RAGUNDA</t>
        </is>
      </c>
      <c r="F5526" t="inlineStr">
        <is>
          <t>Sveaskog</t>
        </is>
      </c>
      <c r="G5526" t="n">
        <v>8.4</v>
      </c>
      <c r="H5526" t="n">
        <v>0</v>
      </c>
      <c r="I5526" t="n">
        <v>0</v>
      </c>
      <c r="J5526" t="n">
        <v>0</v>
      </c>
      <c r="K5526" t="n">
        <v>0</v>
      </c>
      <c r="L5526" t="n">
        <v>0</v>
      </c>
      <c r="M5526" t="n">
        <v>0</v>
      </c>
      <c r="N5526" t="n">
        <v>0</v>
      </c>
      <c r="O5526" t="n">
        <v>0</v>
      </c>
      <c r="P5526" t="n">
        <v>0</v>
      </c>
      <c r="Q5526" t="n">
        <v>0</v>
      </c>
      <c r="R5526" s="2" t="inlineStr"/>
    </row>
    <row r="5527" ht="15" customHeight="1">
      <c r="A5527" t="inlineStr">
        <is>
          <t>A 51889-2022</t>
        </is>
      </c>
      <c r="B5527" s="1" t="n">
        <v>44867</v>
      </c>
      <c r="C5527" s="1" t="n">
        <v>45182</v>
      </c>
      <c r="D5527" t="inlineStr">
        <is>
          <t>JÄMTLANDS LÄN</t>
        </is>
      </c>
      <c r="E5527" t="inlineStr">
        <is>
          <t>STRÖMSUND</t>
        </is>
      </c>
      <c r="G5527" t="n">
        <v>2.5</v>
      </c>
      <c r="H5527" t="n">
        <v>0</v>
      </c>
      <c r="I5527" t="n">
        <v>0</v>
      </c>
      <c r="J5527" t="n">
        <v>0</v>
      </c>
      <c r="K5527" t="n">
        <v>0</v>
      </c>
      <c r="L5527" t="n">
        <v>0</v>
      </c>
      <c r="M5527" t="n">
        <v>0</v>
      </c>
      <c r="N5527" t="n">
        <v>0</v>
      </c>
      <c r="O5527" t="n">
        <v>0</v>
      </c>
      <c r="P5527" t="n">
        <v>0</v>
      </c>
      <c r="Q5527" t="n">
        <v>0</v>
      </c>
      <c r="R5527" s="2" t="inlineStr"/>
    </row>
    <row r="5528" ht="15" customHeight="1">
      <c r="A5528" t="inlineStr">
        <is>
          <t>A 52181-2022</t>
        </is>
      </c>
      <c r="B5528" s="1" t="n">
        <v>44868</v>
      </c>
      <c r="C5528" s="1" t="n">
        <v>45182</v>
      </c>
      <c r="D5528" t="inlineStr">
        <is>
          <t>JÄMTLANDS LÄN</t>
        </is>
      </c>
      <c r="E5528" t="inlineStr">
        <is>
          <t>STRÖMSUND</t>
        </is>
      </c>
      <c r="G5528" t="n">
        <v>5.7</v>
      </c>
      <c r="H5528" t="n">
        <v>0</v>
      </c>
      <c r="I5528" t="n">
        <v>0</v>
      </c>
      <c r="J5528" t="n">
        <v>0</v>
      </c>
      <c r="K5528" t="n">
        <v>0</v>
      </c>
      <c r="L5528" t="n">
        <v>0</v>
      </c>
      <c r="M5528" t="n">
        <v>0</v>
      </c>
      <c r="N5528" t="n">
        <v>0</v>
      </c>
      <c r="O5528" t="n">
        <v>0</v>
      </c>
      <c r="P5528" t="n">
        <v>0</v>
      </c>
      <c r="Q5528" t="n">
        <v>0</v>
      </c>
      <c r="R5528" s="2" t="inlineStr"/>
    </row>
    <row r="5529" ht="15" customHeight="1">
      <c r="A5529" t="inlineStr">
        <is>
          <t>A 51164-2022</t>
        </is>
      </c>
      <c r="B5529" s="1" t="n">
        <v>44868</v>
      </c>
      <c r="C5529" s="1" t="n">
        <v>45182</v>
      </c>
      <c r="D5529" t="inlineStr">
        <is>
          <t>JÄMTLANDS LÄN</t>
        </is>
      </c>
      <c r="E5529" t="inlineStr">
        <is>
          <t>ÖSTERSUND</t>
        </is>
      </c>
      <c r="G5529" t="n">
        <v>1.2</v>
      </c>
      <c r="H5529" t="n">
        <v>0</v>
      </c>
      <c r="I5529" t="n">
        <v>0</v>
      </c>
      <c r="J5529" t="n">
        <v>0</v>
      </c>
      <c r="K5529" t="n">
        <v>0</v>
      </c>
      <c r="L5529" t="n">
        <v>0</v>
      </c>
      <c r="M5529" t="n">
        <v>0</v>
      </c>
      <c r="N5529" t="n">
        <v>0</v>
      </c>
      <c r="O5529" t="n">
        <v>0</v>
      </c>
      <c r="P5529" t="n">
        <v>0</v>
      </c>
      <c r="Q5529" t="n">
        <v>0</v>
      </c>
      <c r="R5529" s="2" t="inlineStr"/>
    </row>
    <row r="5530" ht="15" customHeight="1">
      <c r="A5530" t="inlineStr">
        <is>
          <t>A 51537-2022</t>
        </is>
      </c>
      <c r="B5530" s="1" t="n">
        <v>44869</v>
      </c>
      <c r="C5530" s="1" t="n">
        <v>45182</v>
      </c>
      <c r="D5530" t="inlineStr">
        <is>
          <t>JÄMTLANDS LÄN</t>
        </is>
      </c>
      <c r="E5530" t="inlineStr">
        <is>
          <t>RAGUNDA</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51540-2022</t>
        </is>
      </c>
      <c r="B5531" s="1" t="n">
        <v>44869</v>
      </c>
      <c r="C5531" s="1" t="n">
        <v>45182</v>
      </c>
      <c r="D5531" t="inlineStr">
        <is>
          <t>JÄMTLANDS LÄN</t>
        </is>
      </c>
      <c r="E5531" t="inlineStr">
        <is>
          <t>RAGUNDA</t>
        </is>
      </c>
      <c r="G5531" t="n">
        <v>1.3</v>
      </c>
      <c r="H5531" t="n">
        <v>0</v>
      </c>
      <c r="I5531" t="n">
        <v>0</v>
      </c>
      <c r="J5531" t="n">
        <v>0</v>
      </c>
      <c r="K5531" t="n">
        <v>0</v>
      </c>
      <c r="L5531" t="n">
        <v>0</v>
      </c>
      <c r="M5531" t="n">
        <v>0</v>
      </c>
      <c r="N5531" t="n">
        <v>0</v>
      </c>
      <c r="O5531" t="n">
        <v>0</v>
      </c>
      <c r="P5531" t="n">
        <v>0</v>
      </c>
      <c r="Q5531" t="n">
        <v>0</v>
      </c>
      <c r="R5531" s="2" t="inlineStr"/>
    </row>
    <row r="5532" ht="15" customHeight="1">
      <c r="A5532" t="inlineStr">
        <is>
          <t>A 51563-2022</t>
        </is>
      </c>
      <c r="B5532" s="1" t="n">
        <v>44869</v>
      </c>
      <c r="C5532" s="1" t="n">
        <v>45182</v>
      </c>
      <c r="D5532" t="inlineStr">
        <is>
          <t>JÄMTLANDS LÄN</t>
        </is>
      </c>
      <c r="E5532" t="inlineStr">
        <is>
          <t>STRÖMSUND</t>
        </is>
      </c>
      <c r="F5532" t="inlineStr">
        <is>
          <t>SCA</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51538-2022</t>
        </is>
      </c>
      <c r="B5533" s="1" t="n">
        <v>44869</v>
      </c>
      <c r="C5533" s="1" t="n">
        <v>45182</v>
      </c>
      <c r="D5533" t="inlineStr">
        <is>
          <t>JÄMTLANDS LÄN</t>
        </is>
      </c>
      <c r="E5533" t="inlineStr">
        <is>
          <t>RAGUNDA</t>
        </is>
      </c>
      <c r="G5533" t="n">
        <v>6.8</v>
      </c>
      <c r="H5533" t="n">
        <v>0</v>
      </c>
      <c r="I5533" t="n">
        <v>0</v>
      </c>
      <c r="J5533" t="n">
        <v>0</v>
      </c>
      <c r="K5533" t="n">
        <v>0</v>
      </c>
      <c r="L5533" t="n">
        <v>0</v>
      </c>
      <c r="M5533" t="n">
        <v>0</v>
      </c>
      <c r="N5533" t="n">
        <v>0</v>
      </c>
      <c r="O5533" t="n">
        <v>0</v>
      </c>
      <c r="P5533" t="n">
        <v>0</v>
      </c>
      <c r="Q5533" t="n">
        <v>0</v>
      </c>
      <c r="R5533" s="2" t="inlineStr"/>
    </row>
    <row r="5534" ht="15" customHeight="1">
      <c r="A5534" t="inlineStr">
        <is>
          <t>A 51559-2022</t>
        </is>
      </c>
      <c r="B5534" s="1" t="n">
        <v>44869</v>
      </c>
      <c r="C5534" s="1" t="n">
        <v>45182</v>
      </c>
      <c r="D5534" t="inlineStr">
        <is>
          <t>JÄMTLANDS LÄN</t>
        </is>
      </c>
      <c r="E5534" t="inlineStr">
        <is>
          <t>BRÄCKE</t>
        </is>
      </c>
      <c r="F5534" t="inlineStr">
        <is>
          <t>SCA</t>
        </is>
      </c>
      <c r="G5534" t="n">
        <v>21.1</v>
      </c>
      <c r="H5534" t="n">
        <v>0</v>
      </c>
      <c r="I5534" t="n">
        <v>0</v>
      </c>
      <c r="J5534" t="n">
        <v>0</v>
      </c>
      <c r="K5534" t="n">
        <v>0</v>
      </c>
      <c r="L5534" t="n">
        <v>0</v>
      </c>
      <c r="M5534" t="n">
        <v>0</v>
      </c>
      <c r="N5534" t="n">
        <v>0</v>
      </c>
      <c r="O5534" t="n">
        <v>0</v>
      </c>
      <c r="P5534" t="n">
        <v>0</v>
      </c>
      <c r="Q5534" t="n">
        <v>0</v>
      </c>
      <c r="R5534" s="2" t="inlineStr"/>
    </row>
    <row r="5535" ht="15" customHeight="1">
      <c r="A5535" t="inlineStr">
        <is>
          <t>A 52806-2022</t>
        </is>
      </c>
      <c r="B5535" s="1" t="n">
        <v>44872</v>
      </c>
      <c r="C5535" s="1" t="n">
        <v>45182</v>
      </c>
      <c r="D5535" t="inlineStr">
        <is>
          <t>JÄMTLANDS LÄN</t>
        </is>
      </c>
      <c r="E5535" t="inlineStr">
        <is>
          <t>STRÖMSUND</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52844-2022</t>
        </is>
      </c>
      <c r="B5536" s="1" t="n">
        <v>44872</v>
      </c>
      <c r="C5536" s="1" t="n">
        <v>45182</v>
      </c>
      <c r="D5536" t="inlineStr">
        <is>
          <t>JÄMTLANDS LÄN</t>
        </is>
      </c>
      <c r="E5536" t="inlineStr">
        <is>
          <t>BRÄCKE</t>
        </is>
      </c>
      <c r="G5536" t="n">
        <v>9.5</v>
      </c>
      <c r="H5536" t="n">
        <v>0</v>
      </c>
      <c r="I5536" t="n">
        <v>0</v>
      </c>
      <c r="J5536" t="n">
        <v>0</v>
      </c>
      <c r="K5536" t="n">
        <v>0</v>
      </c>
      <c r="L5536" t="n">
        <v>0</v>
      </c>
      <c r="M5536" t="n">
        <v>0</v>
      </c>
      <c r="N5536" t="n">
        <v>0</v>
      </c>
      <c r="O5536" t="n">
        <v>0</v>
      </c>
      <c r="P5536" t="n">
        <v>0</v>
      </c>
      <c r="Q5536" t="n">
        <v>0</v>
      </c>
      <c r="R5536" s="2" t="inlineStr"/>
    </row>
    <row r="5537" ht="15" customHeight="1">
      <c r="A5537" t="inlineStr">
        <is>
          <t>A 51787-2022</t>
        </is>
      </c>
      <c r="B5537" s="1" t="n">
        <v>44872</v>
      </c>
      <c r="C5537" s="1" t="n">
        <v>45182</v>
      </c>
      <c r="D5537" t="inlineStr">
        <is>
          <t>JÄMTLANDS LÄN</t>
        </is>
      </c>
      <c r="E5537" t="inlineStr">
        <is>
          <t>BRÄCKE</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52867-2022</t>
        </is>
      </c>
      <c r="B5538" s="1" t="n">
        <v>44872</v>
      </c>
      <c r="C5538" s="1" t="n">
        <v>45182</v>
      </c>
      <c r="D5538" t="inlineStr">
        <is>
          <t>JÄMTLANDS LÄN</t>
        </is>
      </c>
      <c r="E5538" t="inlineStr">
        <is>
          <t>HÄRJEDALEN</t>
        </is>
      </c>
      <c r="G5538" t="n">
        <v>0.3</v>
      </c>
      <c r="H5538" t="n">
        <v>0</v>
      </c>
      <c r="I5538" t="n">
        <v>0</v>
      </c>
      <c r="J5538" t="n">
        <v>0</v>
      </c>
      <c r="K5538" t="n">
        <v>0</v>
      </c>
      <c r="L5538" t="n">
        <v>0</v>
      </c>
      <c r="M5538" t="n">
        <v>0</v>
      </c>
      <c r="N5538" t="n">
        <v>0</v>
      </c>
      <c r="O5538" t="n">
        <v>0</v>
      </c>
      <c r="P5538" t="n">
        <v>0</v>
      </c>
      <c r="Q5538" t="n">
        <v>0</v>
      </c>
      <c r="R5538" s="2" t="inlineStr"/>
    </row>
    <row r="5539" ht="15" customHeight="1">
      <c r="A5539" t="inlineStr">
        <is>
          <t>A 52028-2022</t>
        </is>
      </c>
      <c r="B5539" s="1" t="n">
        <v>44872</v>
      </c>
      <c r="C5539" s="1" t="n">
        <v>45182</v>
      </c>
      <c r="D5539" t="inlineStr">
        <is>
          <t>JÄMTLANDS LÄN</t>
        </is>
      </c>
      <c r="E5539" t="inlineStr">
        <is>
          <t>STRÖMSUND</t>
        </is>
      </c>
      <c r="F5539" t="inlineStr">
        <is>
          <t>SCA</t>
        </is>
      </c>
      <c r="G5539" t="n">
        <v>2.7</v>
      </c>
      <c r="H5539" t="n">
        <v>0</v>
      </c>
      <c r="I5539" t="n">
        <v>0</v>
      </c>
      <c r="J5539" t="n">
        <v>0</v>
      </c>
      <c r="K5539" t="n">
        <v>0</v>
      </c>
      <c r="L5539" t="n">
        <v>0</v>
      </c>
      <c r="M5539" t="n">
        <v>0</v>
      </c>
      <c r="N5539" t="n">
        <v>0</v>
      </c>
      <c r="O5539" t="n">
        <v>0</v>
      </c>
      <c r="P5539" t="n">
        <v>0</v>
      </c>
      <c r="Q5539" t="n">
        <v>0</v>
      </c>
      <c r="R5539" s="2" t="inlineStr"/>
    </row>
    <row r="5540" ht="15" customHeight="1">
      <c r="A5540" t="inlineStr">
        <is>
          <t>A 52927-2022</t>
        </is>
      </c>
      <c r="B5540" s="1" t="n">
        <v>44872</v>
      </c>
      <c r="C5540" s="1" t="n">
        <v>45182</v>
      </c>
      <c r="D5540" t="inlineStr">
        <is>
          <t>JÄMTLANDS LÄN</t>
        </is>
      </c>
      <c r="E5540" t="inlineStr">
        <is>
          <t>BERG</t>
        </is>
      </c>
      <c r="F5540" t="inlineStr">
        <is>
          <t>SCA</t>
        </is>
      </c>
      <c r="G5540" t="n">
        <v>2</v>
      </c>
      <c r="H5540" t="n">
        <v>0</v>
      </c>
      <c r="I5540" t="n">
        <v>0</v>
      </c>
      <c r="J5540" t="n">
        <v>0</v>
      </c>
      <c r="K5540" t="n">
        <v>0</v>
      </c>
      <c r="L5540" t="n">
        <v>0</v>
      </c>
      <c r="M5540" t="n">
        <v>0</v>
      </c>
      <c r="N5540" t="n">
        <v>0</v>
      </c>
      <c r="O5540" t="n">
        <v>0</v>
      </c>
      <c r="P5540" t="n">
        <v>0</v>
      </c>
      <c r="Q5540" t="n">
        <v>0</v>
      </c>
      <c r="R5540" s="2" t="inlineStr"/>
    </row>
    <row r="5541" ht="15" customHeight="1">
      <c r="A5541" t="inlineStr">
        <is>
          <t>A 51755-2022</t>
        </is>
      </c>
      <c r="B5541" s="1" t="n">
        <v>44872</v>
      </c>
      <c r="C5541" s="1" t="n">
        <v>45182</v>
      </c>
      <c r="D5541" t="inlineStr">
        <is>
          <t>JÄMTLANDS LÄN</t>
        </is>
      </c>
      <c r="E5541" t="inlineStr">
        <is>
          <t>ÖSTERSUND</t>
        </is>
      </c>
      <c r="G5541" t="n">
        <v>7</v>
      </c>
      <c r="H5541" t="n">
        <v>0</v>
      </c>
      <c r="I5541" t="n">
        <v>0</v>
      </c>
      <c r="J5541" t="n">
        <v>0</v>
      </c>
      <c r="K5541" t="n">
        <v>0</v>
      </c>
      <c r="L5541" t="n">
        <v>0</v>
      </c>
      <c r="M5541" t="n">
        <v>0</v>
      </c>
      <c r="N5541" t="n">
        <v>0</v>
      </c>
      <c r="O5541" t="n">
        <v>0</v>
      </c>
      <c r="P5541" t="n">
        <v>0</v>
      </c>
      <c r="Q5541" t="n">
        <v>0</v>
      </c>
      <c r="R5541" s="2" t="inlineStr"/>
    </row>
    <row r="5542" ht="15" customHeight="1">
      <c r="A5542" t="inlineStr">
        <is>
          <t>A 51948-2022</t>
        </is>
      </c>
      <c r="B5542" s="1" t="n">
        <v>44872</v>
      </c>
      <c r="C5542" s="1" t="n">
        <v>45182</v>
      </c>
      <c r="D5542" t="inlineStr">
        <is>
          <t>JÄMTLANDS LÄN</t>
        </is>
      </c>
      <c r="E5542" t="inlineStr">
        <is>
          <t>HÄRJEDALEN</t>
        </is>
      </c>
      <c r="F5542" t="inlineStr">
        <is>
          <t>Bergvik skog väst AB</t>
        </is>
      </c>
      <c r="G5542" t="n">
        <v>3.8</v>
      </c>
      <c r="H5542" t="n">
        <v>0</v>
      </c>
      <c r="I5542" t="n">
        <v>0</v>
      </c>
      <c r="J5542" t="n">
        <v>0</v>
      </c>
      <c r="K5542" t="n">
        <v>0</v>
      </c>
      <c r="L5542" t="n">
        <v>0</v>
      </c>
      <c r="M5542" t="n">
        <v>0</v>
      </c>
      <c r="N5542" t="n">
        <v>0</v>
      </c>
      <c r="O5542" t="n">
        <v>0</v>
      </c>
      <c r="P5542" t="n">
        <v>0</v>
      </c>
      <c r="Q5542" t="n">
        <v>0</v>
      </c>
      <c r="R5542" s="2" t="inlineStr"/>
    </row>
    <row r="5543" ht="15" customHeight="1">
      <c r="A5543" t="inlineStr">
        <is>
          <t>A 52852-2022</t>
        </is>
      </c>
      <c r="B5543" s="1" t="n">
        <v>44872</v>
      </c>
      <c r="C5543" s="1" t="n">
        <v>45182</v>
      </c>
      <c r="D5543" t="inlineStr">
        <is>
          <t>JÄMTLANDS LÄN</t>
        </is>
      </c>
      <c r="E5543" t="inlineStr">
        <is>
          <t>HÄRJEDALEN</t>
        </is>
      </c>
      <c r="F5543" t="inlineStr">
        <is>
          <t>Holmen skog AB</t>
        </is>
      </c>
      <c r="G5543" t="n">
        <v>0.6</v>
      </c>
      <c r="H5543" t="n">
        <v>0</v>
      </c>
      <c r="I5543" t="n">
        <v>0</v>
      </c>
      <c r="J5543" t="n">
        <v>0</v>
      </c>
      <c r="K5543" t="n">
        <v>0</v>
      </c>
      <c r="L5543" t="n">
        <v>0</v>
      </c>
      <c r="M5543" t="n">
        <v>0</v>
      </c>
      <c r="N5543" t="n">
        <v>0</v>
      </c>
      <c r="O5543" t="n">
        <v>0</v>
      </c>
      <c r="P5543" t="n">
        <v>0</v>
      </c>
      <c r="Q5543" t="n">
        <v>0</v>
      </c>
      <c r="R5543" s="2" t="inlineStr"/>
    </row>
    <row r="5544" ht="15" customHeight="1">
      <c r="A5544" t="inlineStr">
        <is>
          <t>A 52258-2022</t>
        </is>
      </c>
      <c r="B5544" s="1" t="n">
        <v>44873</v>
      </c>
      <c r="C5544" s="1" t="n">
        <v>45182</v>
      </c>
      <c r="D5544" t="inlineStr">
        <is>
          <t>JÄMTLANDS LÄN</t>
        </is>
      </c>
      <c r="E5544" t="inlineStr">
        <is>
          <t>KROKOM</t>
        </is>
      </c>
      <c r="G5544" t="n">
        <v>1.3</v>
      </c>
      <c r="H5544" t="n">
        <v>0</v>
      </c>
      <c r="I5544" t="n">
        <v>0</v>
      </c>
      <c r="J5544" t="n">
        <v>0</v>
      </c>
      <c r="K5544" t="n">
        <v>0</v>
      </c>
      <c r="L5544" t="n">
        <v>0</v>
      </c>
      <c r="M5544" t="n">
        <v>0</v>
      </c>
      <c r="N5544" t="n">
        <v>0</v>
      </c>
      <c r="O5544" t="n">
        <v>0</v>
      </c>
      <c r="P5544" t="n">
        <v>0</v>
      </c>
      <c r="Q5544" t="n">
        <v>0</v>
      </c>
      <c r="R5544" s="2" t="inlineStr"/>
    </row>
    <row r="5545" ht="15" customHeight="1">
      <c r="A5545" t="inlineStr">
        <is>
          <t>A 52344-2022</t>
        </is>
      </c>
      <c r="B5545" s="1" t="n">
        <v>44873</v>
      </c>
      <c r="C5545" s="1" t="n">
        <v>45182</v>
      </c>
      <c r="D5545" t="inlineStr">
        <is>
          <t>JÄMTLANDS LÄN</t>
        </is>
      </c>
      <c r="E5545" t="inlineStr">
        <is>
          <t>STRÖMSUND</t>
        </is>
      </c>
      <c r="F5545" t="inlineStr">
        <is>
          <t>SCA</t>
        </is>
      </c>
      <c r="G5545" t="n">
        <v>5.4</v>
      </c>
      <c r="H5545" t="n">
        <v>0</v>
      </c>
      <c r="I5545" t="n">
        <v>0</v>
      </c>
      <c r="J5545" t="n">
        <v>0</v>
      </c>
      <c r="K5545" t="n">
        <v>0</v>
      </c>
      <c r="L5545" t="n">
        <v>0</v>
      </c>
      <c r="M5545" t="n">
        <v>0</v>
      </c>
      <c r="N5545" t="n">
        <v>0</v>
      </c>
      <c r="O5545" t="n">
        <v>0</v>
      </c>
      <c r="P5545" t="n">
        <v>0</v>
      </c>
      <c r="Q5545" t="n">
        <v>0</v>
      </c>
      <c r="R5545" s="2" t="inlineStr"/>
    </row>
    <row r="5546" ht="15" customHeight="1">
      <c r="A5546" t="inlineStr">
        <is>
          <t>A 52268-2022</t>
        </is>
      </c>
      <c r="B5546" s="1" t="n">
        <v>44873</v>
      </c>
      <c r="C5546" s="1" t="n">
        <v>45182</v>
      </c>
      <c r="D5546" t="inlineStr">
        <is>
          <t>JÄMTLANDS LÄN</t>
        </is>
      </c>
      <c r="E5546" t="inlineStr">
        <is>
          <t>KROKOM</t>
        </is>
      </c>
      <c r="G5546" t="n">
        <v>0.7</v>
      </c>
      <c r="H5546" t="n">
        <v>0</v>
      </c>
      <c r="I5546" t="n">
        <v>0</v>
      </c>
      <c r="J5546" t="n">
        <v>0</v>
      </c>
      <c r="K5546" t="n">
        <v>0</v>
      </c>
      <c r="L5546" t="n">
        <v>0</v>
      </c>
      <c r="M5546" t="n">
        <v>0</v>
      </c>
      <c r="N5546" t="n">
        <v>0</v>
      </c>
      <c r="O5546" t="n">
        <v>0</v>
      </c>
      <c r="P5546" t="n">
        <v>0</v>
      </c>
      <c r="Q5546" t="n">
        <v>0</v>
      </c>
      <c r="R5546" s="2" t="inlineStr"/>
      <c r="U5546">
        <f>HYPERLINK("https://klasma.github.io/Logging_KROKOM/knärot/A 52268-2022.png")</f>
        <v/>
      </c>
      <c r="V5546">
        <f>HYPERLINK("https://klasma.github.io/Logging_KROKOM/klagomål/A 52268-2022.docx")</f>
        <v/>
      </c>
      <c r="W5546">
        <f>HYPERLINK("https://klasma.github.io/Logging_KROKOM/klagomålsmail/A 52268-2022.docx")</f>
        <v/>
      </c>
      <c r="X5546">
        <f>HYPERLINK("https://klasma.github.io/Logging_KROKOM/tillsyn/A 52268-2022.docx")</f>
        <v/>
      </c>
      <c r="Y5546">
        <f>HYPERLINK("https://klasma.github.io/Logging_KROKOM/tillsynsmail/A 52268-2022.docx")</f>
        <v/>
      </c>
    </row>
    <row r="5547" ht="15" customHeight="1">
      <c r="A5547" t="inlineStr">
        <is>
          <t>A 52345-2022</t>
        </is>
      </c>
      <c r="B5547" s="1" t="n">
        <v>44873</v>
      </c>
      <c r="C5547" s="1" t="n">
        <v>45182</v>
      </c>
      <c r="D5547" t="inlineStr">
        <is>
          <t>JÄMTLANDS LÄN</t>
        </is>
      </c>
      <c r="E5547" t="inlineStr">
        <is>
          <t>STRÖMSUND</t>
        </is>
      </c>
      <c r="F5547" t="inlineStr">
        <is>
          <t>SCA</t>
        </is>
      </c>
      <c r="G5547" t="n">
        <v>4</v>
      </c>
      <c r="H5547" t="n">
        <v>0</v>
      </c>
      <c r="I5547" t="n">
        <v>0</v>
      </c>
      <c r="J5547" t="n">
        <v>0</v>
      </c>
      <c r="K5547" t="n">
        <v>0</v>
      </c>
      <c r="L5547" t="n">
        <v>0</v>
      </c>
      <c r="M5547" t="n">
        <v>0</v>
      </c>
      <c r="N5547" t="n">
        <v>0</v>
      </c>
      <c r="O5547" t="n">
        <v>0</v>
      </c>
      <c r="P5547" t="n">
        <v>0</v>
      </c>
      <c r="Q5547" t="n">
        <v>0</v>
      </c>
      <c r="R5547" s="2" t="inlineStr"/>
    </row>
    <row r="5548" ht="15" customHeight="1">
      <c r="A5548" t="inlineStr">
        <is>
          <t>A 53113-2022</t>
        </is>
      </c>
      <c r="B5548" s="1" t="n">
        <v>44873</v>
      </c>
      <c r="C5548" s="1" t="n">
        <v>45182</v>
      </c>
      <c r="D5548" t="inlineStr">
        <is>
          <t>JÄMTLANDS LÄN</t>
        </is>
      </c>
      <c r="E5548" t="inlineStr">
        <is>
          <t>BRÄCKE</t>
        </is>
      </c>
      <c r="G5548" t="n">
        <v>1.3</v>
      </c>
      <c r="H5548" t="n">
        <v>0</v>
      </c>
      <c r="I5548" t="n">
        <v>0</v>
      </c>
      <c r="J5548" t="n">
        <v>0</v>
      </c>
      <c r="K5548" t="n">
        <v>0</v>
      </c>
      <c r="L5548" t="n">
        <v>0</v>
      </c>
      <c r="M5548" t="n">
        <v>0</v>
      </c>
      <c r="N5548" t="n">
        <v>0</v>
      </c>
      <c r="O5548" t="n">
        <v>0</v>
      </c>
      <c r="P5548" t="n">
        <v>0</v>
      </c>
      <c r="Q5548" t="n">
        <v>0</v>
      </c>
      <c r="R5548" s="2" t="inlineStr"/>
    </row>
    <row r="5549" ht="15" customHeight="1">
      <c r="A5549" t="inlineStr">
        <is>
          <t>A 52253-2022</t>
        </is>
      </c>
      <c r="B5549" s="1" t="n">
        <v>44873</v>
      </c>
      <c r="C5549" s="1" t="n">
        <v>45182</v>
      </c>
      <c r="D5549" t="inlineStr">
        <is>
          <t>JÄMTLANDS LÄN</t>
        </is>
      </c>
      <c r="E5549" t="inlineStr">
        <is>
          <t>KROKOM</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52339-2022</t>
        </is>
      </c>
      <c r="B5550" s="1" t="n">
        <v>44873</v>
      </c>
      <c r="C5550" s="1" t="n">
        <v>45182</v>
      </c>
      <c r="D5550" t="inlineStr">
        <is>
          <t>JÄMTLANDS LÄN</t>
        </is>
      </c>
      <c r="E5550" t="inlineStr">
        <is>
          <t>HÄRJEDALEN</t>
        </is>
      </c>
      <c r="G5550" t="n">
        <v>28.1</v>
      </c>
      <c r="H5550" t="n">
        <v>0</v>
      </c>
      <c r="I5550" t="n">
        <v>0</v>
      </c>
      <c r="J5550" t="n">
        <v>0</v>
      </c>
      <c r="K5550" t="n">
        <v>0</v>
      </c>
      <c r="L5550" t="n">
        <v>0</v>
      </c>
      <c r="M5550" t="n">
        <v>0</v>
      </c>
      <c r="N5550" t="n">
        <v>0</v>
      </c>
      <c r="O5550" t="n">
        <v>0</v>
      </c>
      <c r="P5550" t="n">
        <v>0</v>
      </c>
      <c r="Q5550" t="n">
        <v>0</v>
      </c>
      <c r="R5550" s="2" t="inlineStr"/>
    </row>
    <row r="5551" ht="15" customHeight="1">
      <c r="A5551" t="inlineStr">
        <is>
          <t>A 52707-2022</t>
        </is>
      </c>
      <c r="B5551" s="1" t="n">
        <v>44874</v>
      </c>
      <c r="C5551" s="1" t="n">
        <v>45182</v>
      </c>
      <c r="D5551" t="inlineStr">
        <is>
          <t>JÄMTLANDS LÄN</t>
        </is>
      </c>
      <c r="E5551" t="inlineStr">
        <is>
          <t>ÅRE</t>
        </is>
      </c>
      <c r="F5551" t="inlineStr">
        <is>
          <t>Övriga Aktiebolag</t>
        </is>
      </c>
      <c r="G5551" t="n">
        <v>2.3</v>
      </c>
      <c r="H5551" t="n">
        <v>0</v>
      </c>
      <c r="I5551" t="n">
        <v>0</v>
      </c>
      <c r="J5551" t="n">
        <v>0</v>
      </c>
      <c r="K5551" t="n">
        <v>0</v>
      </c>
      <c r="L5551" t="n">
        <v>0</v>
      </c>
      <c r="M5551" t="n">
        <v>0</v>
      </c>
      <c r="N5551" t="n">
        <v>0</v>
      </c>
      <c r="O5551" t="n">
        <v>0</v>
      </c>
      <c r="P5551" t="n">
        <v>0</v>
      </c>
      <c r="Q5551" t="n">
        <v>0</v>
      </c>
      <c r="R5551" s="2" t="inlineStr"/>
    </row>
    <row r="5552" ht="15" customHeight="1">
      <c r="A5552" t="inlineStr">
        <is>
          <t>A 53402-2022</t>
        </is>
      </c>
      <c r="B5552" s="1" t="n">
        <v>44874</v>
      </c>
      <c r="C5552" s="1" t="n">
        <v>45182</v>
      </c>
      <c r="D5552" t="inlineStr">
        <is>
          <t>JÄMTLANDS LÄN</t>
        </is>
      </c>
      <c r="E5552" t="inlineStr">
        <is>
          <t>KROKOM</t>
        </is>
      </c>
      <c r="G5552" t="n">
        <v>36.7</v>
      </c>
      <c r="H5552" t="n">
        <v>0</v>
      </c>
      <c r="I5552" t="n">
        <v>0</v>
      </c>
      <c r="J5552" t="n">
        <v>0</v>
      </c>
      <c r="K5552" t="n">
        <v>0</v>
      </c>
      <c r="L5552" t="n">
        <v>0</v>
      </c>
      <c r="M5552" t="n">
        <v>0</v>
      </c>
      <c r="N5552" t="n">
        <v>0</v>
      </c>
      <c r="O5552" t="n">
        <v>0</v>
      </c>
      <c r="P5552" t="n">
        <v>0</v>
      </c>
      <c r="Q5552" t="n">
        <v>0</v>
      </c>
      <c r="R5552" s="2" t="inlineStr"/>
    </row>
    <row r="5553" ht="15" customHeight="1">
      <c r="A5553" t="inlineStr">
        <is>
          <t>A 52586-2022</t>
        </is>
      </c>
      <c r="B5553" s="1" t="n">
        <v>44874</v>
      </c>
      <c r="C5553" s="1" t="n">
        <v>45182</v>
      </c>
      <c r="D5553" t="inlineStr">
        <is>
          <t>JÄMTLANDS LÄN</t>
        </is>
      </c>
      <c r="E5553" t="inlineStr">
        <is>
          <t>HÄRJEDALEN</t>
        </is>
      </c>
      <c r="F5553" t="inlineStr">
        <is>
          <t>Bergvik skog väst AB</t>
        </is>
      </c>
      <c r="G5553" t="n">
        <v>6.1</v>
      </c>
      <c r="H5553" t="n">
        <v>0</v>
      </c>
      <c r="I5553" t="n">
        <v>0</v>
      </c>
      <c r="J5553" t="n">
        <v>0</v>
      </c>
      <c r="K5553" t="n">
        <v>0</v>
      </c>
      <c r="L5553" t="n">
        <v>0</v>
      </c>
      <c r="M5553" t="n">
        <v>0</v>
      </c>
      <c r="N5553" t="n">
        <v>0</v>
      </c>
      <c r="O5553" t="n">
        <v>0</v>
      </c>
      <c r="P5553" t="n">
        <v>0</v>
      </c>
      <c r="Q5553" t="n">
        <v>0</v>
      </c>
      <c r="R5553" s="2" t="inlineStr"/>
    </row>
    <row r="5554" ht="15" customHeight="1">
      <c r="A5554" t="inlineStr">
        <is>
          <t>A 52697-2022</t>
        </is>
      </c>
      <c r="B5554" s="1" t="n">
        <v>44874</v>
      </c>
      <c r="C5554" s="1" t="n">
        <v>45182</v>
      </c>
      <c r="D5554" t="inlineStr">
        <is>
          <t>JÄMTLANDS LÄN</t>
        </is>
      </c>
      <c r="E5554" t="inlineStr">
        <is>
          <t>RAGUNDA</t>
        </is>
      </c>
      <c r="G5554" t="n">
        <v>3.9</v>
      </c>
      <c r="H5554" t="n">
        <v>0</v>
      </c>
      <c r="I5554" t="n">
        <v>0</v>
      </c>
      <c r="J5554" t="n">
        <v>0</v>
      </c>
      <c r="K5554" t="n">
        <v>0</v>
      </c>
      <c r="L5554" t="n">
        <v>0</v>
      </c>
      <c r="M5554" t="n">
        <v>0</v>
      </c>
      <c r="N5554" t="n">
        <v>0</v>
      </c>
      <c r="O5554" t="n">
        <v>0</v>
      </c>
      <c r="P5554" t="n">
        <v>0</v>
      </c>
      <c r="Q5554" t="n">
        <v>0</v>
      </c>
      <c r="R5554" s="2" t="inlineStr"/>
    </row>
    <row r="5555" ht="15" customHeight="1">
      <c r="A5555" t="inlineStr">
        <is>
          <t>A 52485-2022</t>
        </is>
      </c>
      <c r="B5555" s="1" t="n">
        <v>44874</v>
      </c>
      <c r="C5555" s="1" t="n">
        <v>45182</v>
      </c>
      <c r="D5555" t="inlineStr">
        <is>
          <t>JÄMTLANDS LÄN</t>
        </is>
      </c>
      <c r="E5555" t="inlineStr">
        <is>
          <t>ÅRE</t>
        </is>
      </c>
      <c r="G5555" t="n">
        <v>3.2</v>
      </c>
      <c r="H5555" t="n">
        <v>0</v>
      </c>
      <c r="I5555" t="n">
        <v>0</v>
      </c>
      <c r="J5555" t="n">
        <v>0</v>
      </c>
      <c r="K5555" t="n">
        <v>0</v>
      </c>
      <c r="L5555" t="n">
        <v>0</v>
      </c>
      <c r="M5555" t="n">
        <v>0</v>
      </c>
      <c r="N5555" t="n">
        <v>0</v>
      </c>
      <c r="O5555" t="n">
        <v>0</v>
      </c>
      <c r="P5555" t="n">
        <v>0</v>
      </c>
      <c r="Q5555" t="n">
        <v>0</v>
      </c>
      <c r="R5555" s="2" t="inlineStr"/>
    </row>
    <row r="5556" ht="15" customHeight="1">
      <c r="A5556" t="inlineStr">
        <is>
          <t>A 53407-2022</t>
        </is>
      </c>
      <c r="B5556" s="1" t="n">
        <v>44874</v>
      </c>
      <c r="C5556" s="1" t="n">
        <v>45182</v>
      </c>
      <c r="D5556" t="inlineStr">
        <is>
          <t>JÄMTLANDS LÄN</t>
        </is>
      </c>
      <c r="E5556" t="inlineStr">
        <is>
          <t>BRÄCKE</t>
        </is>
      </c>
      <c r="G5556" t="n">
        <v>1.8</v>
      </c>
      <c r="H5556" t="n">
        <v>0</v>
      </c>
      <c r="I5556" t="n">
        <v>0</v>
      </c>
      <c r="J5556" t="n">
        <v>0</v>
      </c>
      <c r="K5556" t="n">
        <v>0</v>
      </c>
      <c r="L5556" t="n">
        <v>0</v>
      </c>
      <c r="M5556" t="n">
        <v>0</v>
      </c>
      <c r="N5556" t="n">
        <v>0</v>
      </c>
      <c r="O5556" t="n">
        <v>0</v>
      </c>
      <c r="P5556" t="n">
        <v>0</v>
      </c>
      <c r="Q5556" t="n">
        <v>0</v>
      </c>
      <c r="R5556" s="2" t="inlineStr"/>
    </row>
    <row r="5557" ht="15" customHeight="1">
      <c r="A5557" t="inlineStr">
        <is>
          <t>A 52712-2022</t>
        </is>
      </c>
      <c r="B5557" s="1" t="n">
        <v>44874</v>
      </c>
      <c r="C5557" s="1" t="n">
        <v>45182</v>
      </c>
      <c r="D5557" t="inlineStr">
        <is>
          <t>JÄMTLANDS LÄN</t>
        </is>
      </c>
      <c r="E5557" t="inlineStr">
        <is>
          <t>BRÄCKE</t>
        </is>
      </c>
      <c r="F5557" t="inlineStr">
        <is>
          <t>SCA</t>
        </is>
      </c>
      <c r="G5557" t="n">
        <v>9.300000000000001</v>
      </c>
      <c r="H5557" t="n">
        <v>0</v>
      </c>
      <c r="I5557" t="n">
        <v>0</v>
      </c>
      <c r="J5557" t="n">
        <v>0</v>
      </c>
      <c r="K5557" t="n">
        <v>0</v>
      </c>
      <c r="L5557" t="n">
        <v>0</v>
      </c>
      <c r="M5557" t="n">
        <v>0</v>
      </c>
      <c r="N5557" t="n">
        <v>0</v>
      </c>
      <c r="O5557" t="n">
        <v>0</v>
      </c>
      <c r="P5557" t="n">
        <v>0</v>
      </c>
      <c r="Q5557" t="n">
        <v>0</v>
      </c>
      <c r="R5557" s="2" t="inlineStr"/>
    </row>
    <row r="5558" ht="15" customHeight="1">
      <c r="A5558" t="inlineStr">
        <is>
          <t>A 53456-2022</t>
        </is>
      </c>
      <c r="B5558" s="1" t="n">
        <v>44874</v>
      </c>
      <c r="C5558" s="1" t="n">
        <v>45182</v>
      </c>
      <c r="D5558" t="inlineStr">
        <is>
          <t>JÄMTLANDS LÄN</t>
        </is>
      </c>
      <c r="E5558" t="inlineStr">
        <is>
          <t>BERG</t>
        </is>
      </c>
      <c r="G5558" t="n">
        <v>13.3</v>
      </c>
      <c r="H5558" t="n">
        <v>0</v>
      </c>
      <c r="I5558" t="n">
        <v>0</v>
      </c>
      <c r="J5558" t="n">
        <v>0</v>
      </c>
      <c r="K5558" t="n">
        <v>0</v>
      </c>
      <c r="L5558" t="n">
        <v>0</v>
      </c>
      <c r="M5558" t="n">
        <v>0</v>
      </c>
      <c r="N5558" t="n">
        <v>0</v>
      </c>
      <c r="O5558" t="n">
        <v>0</v>
      </c>
      <c r="P5558" t="n">
        <v>0</v>
      </c>
      <c r="Q5558" t="n">
        <v>0</v>
      </c>
      <c r="R5558" s="2" t="inlineStr"/>
    </row>
    <row r="5559" ht="15" customHeight="1">
      <c r="A5559" t="inlineStr">
        <is>
          <t>A 53765-2022</t>
        </is>
      </c>
      <c r="B5559" s="1" t="n">
        <v>44875</v>
      </c>
      <c r="C5559" s="1" t="n">
        <v>45182</v>
      </c>
      <c r="D5559" t="inlineStr">
        <is>
          <t>JÄMTLANDS LÄN</t>
        </is>
      </c>
      <c r="E5559" t="inlineStr">
        <is>
          <t>KROKOM</t>
        </is>
      </c>
      <c r="G5559" t="n">
        <v>6.4</v>
      </c>
      <c r="H5559" t="n">
        <v>0</v>
      </c>
      <c r="I5559" t="n">
        <v>0</v>
      </c>
      <c r="J5559" t="n">
        <v>0</v>
      </c>
      <c r="K5559" t="n">
        <v>0</v>
      </c>
      <c r="L5559" t="n">
        <v>0</v>
      </c>
      <c r="M5559" t="n">
        <v>0</v>
      </c>
      <c r="N5559" t="n">
        <v>0</v>
      </c>
      <c r="O5559" t="n">
        <v>0</v>
      </c>
      <c r="P5559" t="n">
        <v>0</v>
      </c>
      <c r="Q5559" t="n">
        <v>0</v>
      </c>
      <c r="R5559" s="2" t="inlineStr"/>
    </row>
    <row r="5560" ht="15" customHeight="1">
      <c r="A5560" t="inlineStr">
        <is>
          <t>A 52898-2022</t>
        </is>
      </c>
      <c r="B5560" s="1" t="n">
        <v>44875</v>
      </c>
      <c r="C5560" s="1" t="n">
        <v>45182</v>
      </c>
      <c r="D5560" t="inlineStr">
        <is>
          <t>JÄMTLANDS LÄN</t>
        </is>
      </c>
      <c r="E5560" t="inlineStr">
        <is>
          <t>ÖSTERSUND</t>
        </is>
      </c>
      <c r="F5560" t="inlineStr">
        <is>
          <t>Övriga Aktiebolag</t>
        </is>
      </c>
      <c r="G5560" t="n">
        <v>12.1</v>
      </c>
      <c r="H5560" t="n">
        <v>0</v>
      </c>
      <c r="I5560" t="n">
        <v>0</v>
      </c>
      <c r="J5560" t="n">
        <v>0</v>
      </c>
      <c r="K5560" t="n">
        <v>0</v>
      </c>
      <c r="L5560" t="n">
        <v>0</v>
      </c>
      <c r="M5560" t="n">
        <v>0</v>
      </c>
      <c r="N5560" t="n">
        <v>0</v>
      </c>
      <c r="O5560" t="n">
        <v>0</v>
      </c>
      <c r="P5560" t="n">
        <v>0</v>
      </c>
      <c r="Q5560" t="n">
        <v>0</v>
      </c>
      <c r="R5560" s="2" t="inlineStr"/>
    </row>
    <row r="5561" ht="15" customHeight="1">
      <c r="A5561" t="inlineStr">
        <is>
          <t>A 53017-2022</t>
        </is>
      </c>
      <c r="B5561" s="1" t="n">
        <v>44875</v>
      </c>
      <c r="C5561" s="1" t="n">
        <v>45182</v>
      </c>
      <c r="D5561" t="inlineStr">
        <is>
          <t>JÄMTLANDS LÄN</t>
        </is>
      </c>
      <c r="E5561" t="inlineStr">
        <is>
          <t>STRÖMSUND</t>
        </is>
      </c>
      <c r="F5561" t="inlineStr">
        <is>
          <t>SCA</t>
        </is>
      </c>
      <c r="G5561" t="n">
        <v>3.6</v>
      </c>
      <c r="H5561" t="n">
        <v>0</v>
      </c>
      <c r="I5561" t="n">
        <v>0</v>
      </c>
      <c r="J5561" t="n">
        <v>0</v>
      </c>
      <c r="K5561" t="n">
        <v>0</v>
      </c>
      <c r="L5561" t="n">
        <v>0</v>
      </c>
      <c r="M5561" t="n">
        <v>0</v>
      </c>
      <c r="N5561" t="n">
        <v>0</v>
      </c>
      <c r="O5561" t="n">
        <v>0</v>
      </c>
      <c r="P5561" t="n">
        <v>0</v>
      </c>
      <c r="Q5561" t="n">
        <v>0</v>
      </c>
      <c r="R5561" s="2" t="inlineStr"/>
    </row>
    <row r="5562" ht="15" customHeight="1">
      <c r="A5562" t="inlineStr">
        <is>
          <t>A 53521-2022</t>
        </is>
      </c>
      <c r="B5562" s="1" t="n">
        <v>44875</v>
      </c>
      <c r="C5562" s="1" t="n">
        <v>45182</v>
      </c>
      <c r="D5562" t="inlineStr">
        <is>
          <t>JÄMTLANDS LÄN</t>
        </is>
      </c>
      <c r="E5562" t="inlineStr">
        <is>
          <t>BERG</t>
        </is>
      </c>
      <c r="G5562" t="n">
        <v>1.4</v>
      </c>
      <c r="H5562" t="n">
        <v>0</v>
      </c>
      <c r="I5562" t="n">
        <v>0</v>
      </c>
      <c r="J5562" t="n">
        <v>0</v>
      </c>
      <c r="K5562" t="n">
        <v>0</v>
      </c>
      <c r="L5562" t="n">
        <v>0</v>
      </c>
      <c r="M5562" t="n">
        <v>0</v>
      </c>
      <c r="N5562" t="n">
        <v>0</v>
      </c>
      <c r="O5562" t="n">
        <v>0</v>
      </c>
      <c r="P5562" t="n">
        <v>0</v>
      </c>
      <c r="Q5562" t="n">
        <v>0</v>
      </c>
      <c r="R5562" s="2" t="inlineStr"/>
    </row>
    <row r="5563" ht="15" customHeight="1">
      <c r="A5563" t="inlineStr">
        <is>
          <t>A 53764-2022</t>
        </is>
      </c>
      <c r="B5563" s="1" t="n">
        <v>44875</v>
      </c>
      <c r="C5563" s="1" t="n">
        <v>45182</v>
      </c>
      <c r="D5563" t="inlineStr">
        <is>
          <t>JÄMTLANDS LÄN</t>
        </is>
      </c>
      <c r="E5563" t="inlineStr">
        <is>
          <t>ÖSTERSUND</t>
        </is>
      </c>
      <c r="G5563" t="n">
        <v>0.2</v>
      </c>
      <c r="H5563" t="n">
        <v>0</v>
      </c>
      <c r="I5563" t="n">
        <v>0</v>
      </c>
      <c r="J5563" t="n">
        <v>0</v>
      </c>
      <c r="K5563" t="n">
        <v>0</v>
      </c>
      <c r="L5563" t="n">
        <v>0</v>
      </c>
      <c r="M5563" t="n">
        <v>0</v>
      </c>
      <c r="N5563" t="n">
        <v>0</v>
      </c>
      <c r="O5563" t="n">
        <v>0</v>
      </c>
      <c r="P5563" t="n">
        <v>0</v>
      </c>
      <c r="Q5563" t="n">
        <v>0</v>
      </c>
      <c r="R5563" s="2" t="inlineStr"/>
    </row>
    <row r="5564" ht="15" customHeight="1">
      <c r="A5564" t="inlineStr">
        <is>
          <t>A 53015-2022</t>
        </is>
      </c>
      <c r="B5564" s="1" t="n">
        <v>44875</v>
      </c>
      <c r="C5564" s="1" t="n">
        <v>45182</v>
      </c>
      <c r="D5564" t="inlineStr">
        <is>
          <t>JÄMTLANDS LÄN</t>
        </is>
      </c>
      <c r="E5564" t="inlineStr">
        <is>
          <t>BERG</t>
        </is>
      </c>
      <c r="F5564" t="inlineStr">
        <is>
          <t>SCA</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53802-2022</t>
        </is>
      </c>
      <c r="B5565" s="1" t="n">
        <v>44875</v>
      </c>
      <c r="C5565" s="1" t="n">
        <v>45182</v>
      </c>
      <c r="D5565" t="inlineStr">
        <is>
          <t>JÄMTLANDS LÄN</t>
        </is>
      </c>
      <c r="E5565" t="inlineStr">
        <is>
          <t>ÖSTERSUND</t>
        </is>
      </c>
      <c r="G5565" t="n">
        <v>0.2</v>
      </c>
      <c r="H5565" t="n">
        <v>0</v>
      </c>
      <c r="I5565" t="n">
        <v>0</v>
      </c>
      <c r="J5565" t="n">
        <v>0</v>
      </c>
      <c r="K5565" t="n">
        <v>0</v>
      </c>
      <c r="L5565" t="n">
        <v>0</v>
      </c>
      <c r="M5565" t="n">
        <v>0</v>
      </c>
      <c r="N5565" t="n">
        <v>0</v>
      </c>
      <c r="O5565" t="n">
        <v>0</v>
      </c>
      <c r="P5565" t="n">
        <v>0</v>
      </c>
      <c r="Q5565" t="n">
        <v>0</v>
      </c>
      <c r="R5565" s="2" t="inlineStr"/>
    </row>
    <row r="5566" ht="15" customHeight="1">
      <c r="A5566" t="inlineStr">
        <is>
          <t>A 52788-2022</t>
        </is>
      </c>
      <c r="B5566" s="1" t="n">
        <v>44875</v>
      </c>
      <c r="C5566" s="1" t="n">
        <v>45182</v>
      </c>
      <c r="D5566" t="inlineStr">
        <is>
          <t>JÄMTLANDS LÄN</t>
        </is>
      </c>
      <c r="E5566" t="inlineStr">
        <is>
          <t>KROKOM</t>
        </is>
      </c>
      <c r="F5566" t="inlineStr">
        <is>
          <t>Övriga Aktiebolag</t>
        </is>
      </c>
      <c r="G5566" t="n">
        <v>1.7</v>
      </c>
      <c r="H5566" t="n">
        <v>0</v>
      </c>
      <c r="I5566" t="n">
        <v>0</v>
      </c>
      <c r="J5566" t="n">
        <v>0</v>
      </c>
      <c r="K5566" t="n">
        <v>0</v>
      </c>
      <c r="L5566" t="n">
        <v>0</v>
      </c>
      <c r="M5566" t="n">
        <v>0</v>
      </c>
      <c r="N5566" t="n">
        <v>0</v>
      </c>
      <c r="O5566" t="n">
        <v>0</v>
      </c>
      <c r="P5566" t="n">
        <v>0</v>
      </c>
      <c r="Q5566" t="n">
        <v>0</v>
      </c>
      <c r="R5566" s="2" t="inlineStr"/>
    </row>
    <row r="5567" ht="15" customHeight="1">
      <c r="A5567" t="inlineStr">
        <is>
          <t>A 52846-2022</t>
        </is>
      </c>
      <c r="B5567" s="1" t="n">
        <v>44875</v>
      </c>
      <c r="C5567" s="1" t="n">
        <v>45182</v>
      </c>
      <c r="D5567" t="inlineStr">
        <is>
          <t>JÄMTLANDS LÄN</t>
        </is>
      </c>
      <c r="E5567" t="inlineStr">
        <is>
          <t>BRÄCKE</t>
        </is>
      </c>
      <c r="F5567" t="inlineStr">
        <is>
          <t>Övriga Aktiebolag</t>
        </is>
      </c>
      <c r="G5567" t="n">
        <v>13.1</v>
      </c>
      <c r="H5567" t="n">
        <v>0</v>
      </c>
      <c r="I5567" t="n">
        <v>0</v>
      </c>
      <c r="J5567" t="n">
        <v>0</v>
      </c>
      <c r="K5567" t="n">
        <v>0</v>
      </c>
      <c r="L5567" t="n">
        <v>0</v>
      </c>
      <c r="M5567" t="n">
        <v>0</v>
      </c>
      <c r="N5567" t="n">
        <v>0</v>
      </c>
      <c r="O5567" t="n">
        <v>0</v>
      </c>
      <c r="P5567" t="n">
        <v>0</v>
      </c>
      <c r="Q5567" t="n">
        <v>0</v>
      </c>
      <c r="R5567" s="2" t="inlineStr"/>
    </row>
    <row r="5568" ht="15" customHeight="1">
      <c r="A5568" t="inlineStr">
        <is>
          <t>A 53018-2022</t>
        </is>
      </c>
      <c r="B5568" s="1" t="n">
        <v>44875</v>
      </c>
      <c r="C5568" s="1" t="n">
        <v>45182</v>
      </c>
      <c r="D5568" t="inlineStr">
        <is>
          <t>JÄMTLANDS LÄN</t>
        </is>
      </c>
      <c r="E5568" t="inlineStr">
        <is>
          <t>STRÖMSUND</t>
        </is>
      </c>
      <c r="F5568" t="inlineStr">
        <is>
          <t>SCA</t>
        </is>
      </c>
      <c r="G5568" t="n">
        <v>2.7</v>
      </c>
      <c r="H5568" t="n">
        <v>0</v>
      </c>
      <c r="I5568" t="n">
        <v>0</v>
      </c>
      <c r="J5568" t="n">
        <v>0</v>
      </c>
      <c r="K5568" t="n">
        <v>0</v>
      </c>
      <c r="L5568" t="n">
        <v>0</v>
      </c>
      <c r="M5568" t="n">
        <v>0</v>
      </c>
      <c r="N5568" t="n">
        <v>0</v>
      </c>
      <c r="O5568" t="n">
        <v>0</v>
      </c>
      <c r="P5568" t="n">
        <v>0</v>
      </c>
      <c r="Q5568" t="n">
        <v>0</v>
      </c>
      <c r="R5568" s="2" t="inlineStr"/>
    </row>
    <row r="5569" ht="15" customHeight="1">
      <c r="A5569" t="inlineStr">
        <is>
          <t>A 53771-2022</t>
        </is>
      </c>
      <c r="B5569" s="1" t="n">
        <v>44875</v>
      </c>
      <c r="C5569" s="1" t="n">
        <v>45182</v>
      </c>
      <c r="D5569" t="inlineStr">
        <is>
          <t>JÄMTLANDS LÄN</t>
        </is>
      </c>
      <c r="E5569" t="inlineStr">
        <is>
          <t>KROKOM</t>
        </is>
      </c>
      <c r="G5569" t="n">
        <v>8.1</v>
      </c>
      <c r="H5569" t="n">
        <v>0</v>
      </c>
      <c r="I5569" t="n">
        <v>0</v>
      </c>
      <c r="J5569" t="n">
        <v>0</v>
      </c>
      <c r="K5569" t="n">
        <v>0</v>
      </c>
      <c r="L5569" t="n">
        <v>0</v>
      </c>
      <c r="M5569" t="n">
        <v>0</v>
      </c>
      <c r="N5569" t="n">
        <v>0</v>
      </c>
      <c r="O5569" t="n">
        <v>0</v>
      </c>
      <c r="P5569" t="n">
        <v>0</v>
      </c>
      <c r="Q5569" t="n">
        <v>0</v>
      </c>
      <c r="R5569" s="2" t="inlineStr"/>
    </row>
    <row r="5570" ht="15" customHeight="1">
      <c r="A5570" t="inlineStr">
        <is>
          <t>A 53807-2022</t>
        </is>
      </c>
      <c r="B5570" s="1" t="n">
        <v>44875</v>
      </c>
      <c r="C5570" s="1" t="n">
        <v>45182</v>
      </c>
      <c r="D5570" t="inlineStr">
        <is>
          <t>JÄMTLANDS LÄN</t>
        </is>
      </c>
      <c r="E5570" t="inlineStr">
        <is>
          <t>ÖSTERSUND</t>
        </is>
      </c>
      <c r="G5570" t="n">
        <v>1</v>
      </c>
      <c r="H5570" t="n">
        <v>0</v>
      </c>
      <c r="I5570" t="n">
        <v>0</v>
      </c>
      <c r="J5570" t="n">
        <v>0</v>
      </c>
      <c r="K5570" t="n">
        <v>0</v>
      </c>
      <c r="L5570" t="n">
        <v>0</v>
      </c>
      <c r="M5570" t="n">
        <v>0</v>
      </c>
      <c r="N5570" t="n">
        <v>0</v>
      </c>
      <c r="O5570" t="n">
        <v>0</v>
      </c>
      <c r="P5570" t="n">
        <v>0</v>
      </c>
      <c r="Q5570" t="n">
        <v>0</v>
      </c>
      <c r="R5570" s="2" t="inlineStr"/>
    </row>
    <row r="5571" ht="15" customHeight="1">
      <c r="A5571" t="inlineStr">
        <is>
          <t>A 53019-2022</t>
        </is>
      </c>
      <c r="B5571" s="1" t="n">
        <v>44875</v>
      </c>
      <c r="C5571" s="1" t="n">
        <v>45182</v>
      </c>
      <c r="D5571" t="inlineStr">
        <is>
          <t>JÄMTLANDS LÄN</t>
        </is>
      </c>
      <c r="E5571" t="inlineStr">
        <is>
          <t>STRÖMSUND</t>
        </is>
      </c>
      <c r="F5571" t="inlineStr">
        <is>
          <t>SCA</t>
        </is>
      </c>
      <c r="G5571" t="n">
        <v>4.8</v>
      </c>
      <c r="H5571" t="n">
        <v>0</v>
      </c>
      <c r="I5571" t="n">
        <v>0</v>
      </c>
      <c r="J5571" t="n">
        <v>0</v>
      </c>
      <c r="K5571" t="n">
        <v>0</v>
      </c>
      <c r="L5571" t="n">
        <v>0</v>
      </c>
      <c r="M5571" t="n">
        <v>0</v>
      </c>
      <c r="N5571" t="n">
        <v>0</v>
      </c>
      <c r="O5571" t="n">
        <v>0</v>
      </c>
      <c r="P5571" t="n">
        <v>0</v>
      </c>
      <c r="Q5571" t="n">
        <v>0</v>
      </c>
      <c r="R5571" s="2" t="inlineStr"/>
    </row>
    <row r="5572" ht="15" customHeight="1">
      <c r="A5572" t="inlineStr">
        <is>
          <t>A 53143-2022</t>
        </is>
      </c>
      <c r="B5572" s="1" t="n">
        <v>44876</v>
      </c>
      <c r="C5572" s="1" t="n">
        <v>45182</v>
      </c>
      <c r="D5572" t="inlineStr">
        <is>
          <t>JÄMTLANDS LÄN</t>
        </is>
      </c>
      <c r="E5572" t="inlineStr">
        <is>
          <t>STRÖMSUND</t>
        </is>
      </c>
      <c r="F5572" t="inlineStr">
        <is>
          <t>Holmen skog AB</t>
        </is>
      </c>
      <c r="G5572" t="n">
        <v>1.4</v>
      </c>
      <c r="H5572" t="n">
        <v>0</v>
      </c>
      <c r="I5572" t="n">
        <v>0</v>
      </c>
      <c r="J5572" t="n">
        <v>0</v>
      </c>
      <c r="K5572" t="n">
        <v>0</v>
      </c>
      <c r="L5572" t="n">
        <v>0</v>
      </c>
      <c r="M5572" t="n">
        <v>0</v>
      </c>
      <c r="N5572" t="n">
        <v>0</v>
      </c>
      <c r="O5572" t="n">
        <v>0</v>
      </c>
      <c r="P5572" t="n">
        <v>0</v>
      </c>
      <c r="Q5572" t="n">
        <v>0</v>
      </c>
      <c r="R5572" s="2" t="inlineStr"/>
    </row>
    <row r="5573" ht="15" customHeight="1">
      <c r="A5573" t="inlineStr">
        <is>
          <t>A 53283-2022</t>
        </is>
      </c>
      <c r="B5573" s="1" t="n">
        <v>44876</v>
      </c>
      <c r="C5573" s="1" t="n">
        <v>45182</v>
      </c>
      <c r="D5573" t="inlineStr">
        <is>
          <t>JÄMTLANDS LÄN</t>
        </is>
      </c>
      <c r="E5573" t="inlineStr">
        <is>
          <t>BRÄCKE</t>
        </is>
      </c>
      <c r="F5573" t="inlineStr">
        <is>
          <t>SCA</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53281-2022</t>
        </is>
      </c>
      <c r="B5574" s="1" t="n">
        <v>44876</v>
      </c>
      <c r="C5574" s="1" t="n">
        <v>45182</v>
      </c>
      <c r="D5574" t="inlineStr">
        <is>
          <t>JÄMTLANDS LÄN</t>
        </is>
      </c>
      <c r="E5574" t="inlineStr">
        <is>
          <t>BRÄCKE</t>
        </is>
      </c>
      <c r="F5574" t="inlineStr">
        <is>
          <t>SCA</t>
        </is>
      </c>
      <c r="G5574" t="n">
        <v>3.1</v>
      </c>
      <c r="H5574" t="n">
        <v>0</v>
      </c>
      <c r="I5574" t="n">
        <v>0</v>
      </c>
      <c r="J5574" t="n">
        <v>0</v>
      </c>
      <c r="K5574" t="n">
        <v>0</v>
      </c>
      <c r="L5574" t="n">
        <v>0</v>
      </c>
      <c r="M5574" t="n">
        <v>0</v>
      </c>
      <c r="N5574" t="n">
        <v>0</v>
      </c>
      <c r="O5574" t="n">
        <v>0</v>
      </c>
      <c r="P5574" t="n">
        <v>0</v>
      </c>
      <c r="Q5574" t="n">
        <v>0</v>
      </c>
      <c r="R5574" s="2" t="inlineStr"/>
    </row>
    <row r="5575" ht="15" customHeight="1">
      <c r="A5575" t="inlineStr">
        <is>
          <t>A 53149-2022</t>
        </is>
      </c>
      <c r="B5575" s="1" t="n">
        <v>44876</v>
      </c>
      <c r="C5575" s="1" t="n">
        <v>45182</v>
      </c>
      <c r="D5575" t="inlineStr">
        <is>
          <t>JÄMTLANDS LÄN</t>
        </is>
      </c>
      <c r="E5575" t="inlineStr">
        <is>
          <t>STRÖMSUND</t>
        </is>
      </c>
      <c r="F5575" t="inlineStr">
        <is>
          <t>SCA</t>
        </is>
      </c>
      <c r="G5575" t="n">
        <v>2.8</v>
      </c>
      <c r="H5575" t="n">
        <v>0</v>
      </c>
      <c r="I5575" t="n">
        <v>0</v>
      </c>
      <c r="J5575" t="n">
        <v>0</v>
      </c>
      <c r="K5575" t="n">
        <v>0</v>
      </c>
      <c r="L5575" t="n">
        <v>0</v>
      </c>
      <c r="M5575" t="n">
        <v>0</v>
      </c>
      <c r="N5575" t="n">
        <v>0</v>
      </c>
      <c r="O5575" t="n">
        <v>0</v>
      </c>
      <c r="P5575" t="n">
        <v>0</v>
      </c>
      <c r="Q5575" t="n">
        <v>0</v>
      </c>
      <c r="R5575" s="2" t="inlineStr"/>
    </row>
    <row r="5576" ht="15" customHeight="1">
      <c r="A5576" t="inlineStr">
        <is>
          <t>A 53287-2022</t>
        </is>
      </c>
      <c r="B5576" s="1" t="n">
        <v>44876</v>
      </c>
      <c r="C5576" s="1" t="n">
        <v>45182</v>
      </c>
      <c r="D5576" t="inlineStr">
        <is>
          <t>JÄMTLANDS LÄN</t>
        </is>
      </c>
      <c r="E5576" t="inlineStr">
        <is>
          <t>RAGUNDA</t>
        </is>
      </c>
      <c r="F5576" t="inlineStr">
        <is>
          <t>SCA</t>
        </is>
      </c>
      <c r="G5576" t="n">
        <v>6.2</v>
      </c>
      <c r="H5576" t="n">
        <v>0</v>
      </c>
      <c r="I5576" t="n">
        <v>0</v>
      </c>
      <c r="J5576" t="n">
        <v>0</v>
      </c>
      <c r="K5576" t="n">
        <v>0</v>
      </c>
      <c r="L5576" t="n">
        <v>0</v>
      </c>
      <c r="M5576" t="n">
        <v>0</v>
      </c>
      <c r="N5576" t="n">
        <v>0</v>
      </c>
      <c r="O5576" t="n">
        <v>0</v>
      </c>
      <c r="P5576" t="n">
        <v>0</v>
      </c>
      <c r="Q5576" t="n">
        <v>0</v>
      </c>
      <c r="R5576" s="2" t="inlineStr"/>
    </row>
    <row r="5577" ht="15" customHeight="1">
      <c r="A5577" t="inlineStr">
        <is>
          <t>A 53816-2022</t>
        </is>
      </c>
      <c r="B5577" s="1" t="n">
        <v>44876</v>
      </c>
      <c r="C5577" s="1" t="n">
        <v>45182</v>
      </c>
      <c r="D5577" t="inlineStr">
        <is>
          <t>JÄMTLANDS LÄN</t>
        </is>
      </c>
      <c r="E5577" t="inlineStr">
        <is>
          <t>STRÖMSUND</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54050-2022</t>
        </is>
      </c>
      <c r="B5578" s="1" t="n">
        <v>44876</v>
      </c>
      <c r="C5578" s="1" t="n">
        <v>45182</v>
      </c>
      <c r="D5578" t="inlineStr">
        <is>
          <t>JÄMTLANDS LÄN</t>
        </is>
      </c>
      <c r="E5578" t="inlineStr">
        <is>
          <t>STRÖMSUND</t>
        </is>
      </c>
      <c r="G5578" t="n">
        <v>5.3</v>
      </c>
      <c r="H5578" t="n">
        <v>0</v>
      </c>
      <c r="I5578" t="n">
        <v>0</v>
      </c>
      <c r="J5578" t="n">
        <v>0</v>
      </c>
      <c r="K5578" t="n">
        <v>0</v>
      </c>
      <c r="L5578" t="n">
        <v>0</v>
      </c>
      <c r="M5578" t="n">
        <v>0</v>
      </c>
      <c r="N5578" t="n">
        <v>0</v>
      </c>
      <c r="O5578" t="n">
        <v>0</v>
      </c>
      <c r="P5578" t="n">
        <v>0</v>
      </c>
      <c r="Q5578" t="n">
        <v>0</v>
      </c>
      <c r="R5578" s="2" t="inlineStr"/>
    </row>
    <row r="5579" ht="15" customHeight="1">
      <c r="A5579" t="inlineStr">
        <is>
          <t>A 53563-2022</t>
        </is>
      </c>
      <c r="B5579" s="1" t="n">
        <v>44879</v>
      </c>
      <c r="C5579" s="1" t="n">
        <v>45182</v>
      </c>
      <c r="D5579" t="inlineStr">
        <is>
          <t>JÄMTLANDS LÄN</t>
        </is>
      </c>
      <c r="E5579" t="inlineStr">
        <is>
          <t>HÄRJEDALEN</t>
        </is>
      </c>
      <c r="G5579" t="n">
        <v>8.6</v>
      </c>
      <c r="H5579" t="n">
        <v>0</v>
      </c>
      <c r="I5579" t="n">
        <v>0</v>
      </c>
      <c r="J5579" t="n">
        <v>0</v>
      </c>
      <c r="K5579" t="n">
        <v>0</v>
      </c>
      <c r="L5579" t="n">
        <v>0</v>
      </c>
      <c r="M5579" t="n">
        <v>0</v>
      </c>
      <c r="N5579" t="n">
        <v>0</v>
      </c>
      <c r="O5579" t="n">
        <v>0</v>
      </c>
      <c r="P5579" t="n">
        <v>0</v>
      </c>
      <c r="Q5579" t="n">
        <v>0</v>
      </c>
      <c r="R5579" s="2" t="inlineStr"/>
    </row>
    <row r="5580" ht="15" customHeight="1">
      <c r="A5580" t="inlineStr">
        <is>
          <t>A 54189-2022</t>
        </is>
      </c>
      <c r="B5580" s="1" t="n">
        <v>44879</v>
      </c>
      <c r="C5580" s="1" t="n">
        <v>45182</v>
      </c>
      <c r="D5580" t="inlineStr">
        <is>
          <t>JÄMTLANDS LÄN</t>
        </is>
      </c>
      <c r="E5580" t="inlineStr">
        <is>
          <t>KROKOM</t>
        </is>
      </c>
      <c r="G5580" t="n">
        <v>24.1</v>
      </c>
      <c r="H5580" t="n">
        <v>0</v>
      </c>
      <c r="I5580" t="n">
        <v>0</v>
      </c>
      <c r="J5580" t="n">
        <v>0</v>
      </c>
      <c r="K5580" t="n">
        <v>0</v>
      </c>
      <c r="L5580" t="n">
        <v>0</v>
      </c>
      <c r="M5580" t="n">
        <v>0</v>
      </c>
      <c r="N5580" t="n">
        <v>0</v>
      </c>
      <c r="O5580" t="n">
        <v>0</v>
      </c>
      <c r="P5580" t="n">
        <v>0</v>
      </c>
      <c r="Q5580" t="n">
        <v>0</v>
      </c>
      <c r="R5580" s="2" t="inlineStr"/>
    </row>
    <row r="5581" ht="15" customHeight="1">
      <c r="A5581" t="inlineStr">
        <is>
          <t>A 53676-2022</t>
        </is>
      </c>
      <c r="B5581" s="1" t="n">
        <v>44879</v>
      </c>
      <c r="C5581" s="1" t="n">
        <v>45182</v>
      </c>
      <c r="D5581" t="inlineStr">
        <is>
          <t>JÄMTLANDS LÄN</t>
        </is>
      </c>
      <c r="E5581" t="inlineStr">
        <is>
          <t>RAGUNDA</t>
        </is>
      </c>
      <c r="F5581" t="inlineStr">
        <is>
          <t>Sveaskog</t>
        </is>
      </c>
      <c r="G5581" t="n">
        <v>2.5</v>
      </c>
      <c r="H5581" t="n">
        <v>0</v>
      </c>
      <c r="I5581" t="n">
        <v>0</v>
      </c>
      <c r="J5581" t="n">
        <v>0</v>
      </c>
      <c r="K5581" t="n">
        <v>0</v>
      </c>
      <c r="L5581" t="n">
        <v>0</v>
      </c>
      <c r="M5581" t="n">
        <v>0</v>
      </c>
      <c r="N5581" t="n">
        <v>0</v>
      </c>
      <c r="O5581" t="n">
        <v>0</v>
      </c>
      <c r="P5581" t="n">
        <v>0</v>
      </c>
      <c r="Q5581" t="n">
        <v>0</v>
      </c>
      <c r="R5581" s="2" t="inlineStr"/>
    </row>
    <row r="5582" ht="15" customHeight="1">
      <c r="A5582" t="inlineStr">
        <is>
          <t>A 53338-2022</t>
        </is>
      </c>
      <c r="B5582" s="1" t="n">
        <v>44879</v>
      </c>
      <c r="C5582" s="1" t="n">
        <v>45182</v>
      </c>
      <c r="D5582" t="inlineStr">
        <is>
          <t>JÄMTLANDS LÄN</t>
        </is>
      </c>
      <c r="E5582" t="inlineStr">
        <is>
          <t>STRÖMSUND</t>
        </is>
      </c>
      <c r="G5582" t="n">
        <v>3.6</v>
      </c>
      <c r="H5582" t="n">
        <v>0</v>
      </c>
      <c r="I5582" t="n">
        <v>0</v>
      </c>
      <c r="J5582" t="n">
        <v>0</v>
      </c>
      <c r="K5582" t="n">
        <v>0</v>
      </c>
      <c r="L5582" t="n">
        <v>0</v>
      </c>
      <c r="M5582" t="n">
        <v>0</v>
      </c>
      <c r="N5582" t="n">
        <v>0</v>
      </c>
      <c r="O5582" t="n">
        <v>0</v>
      </c>
      <c r="P5582" t="n">
        <v>0</v>
      </c>
      <c r="Q5582" t="n">
        <v>0</v>
      </c>
      <c r="R5582" s="2" t="inlineStr"/>
    </row>
    <row r="5583" ht="15" customHeight="1">
      <c r="A5583" t="inlineStr">
        <is>
          <t>A 53387-2022</t>
        </is>
      </c>
      <c r="B5583" s="1" t="n">
        <v>44879</v>
      </c>
      <c r="C5583" s="1" t="n">
        <v>45182</v>
      </c>
      <c r="D5583" t="inlineStr">
        <is>
          <t>JÄMTLANDS LÄN</t>
        </is>
      </c>
      <c r="E5583" t="inlineStr">
        <is>
          <t>STRÖMSUND</t>
        </is>
      </c>
      <c r="G5583" t="n">
        <v>4.9</v>
      </c>
      <c r="H5583" t="n">
        <v>0</v>
      </c>
      <c r="I5583" t="n">
        <v>0</v>
      </c>
      <c r="J5583" t="n">
        <v>0</v>
      </c>
      <c r="K5583" t="n">
        <v>0</v>
      </c>
      <c r="L5583" t="n">
        <v>0</v>
      </c>
      <c r="M5583" t="n">
        <v>0</v>
      </c>
      <c r="N5583" t="n">
        <v>0</v>
      </c>
      <c r="O5583" t="n">
        <v>0</v>
      </c>
      <c r="P5583" t="n">
        <v>0</v>
      </c>
      <c r="Q5583" t="n">
        <v>0</v>
      </c>
      <c r="R5583" s="2" t="inlineStr"/>
    </row>
    <row r="5584" ht="15" customHeight="1">
      <c r="A5584" t="inlineStr">
        <is>
          <t>A 53400-2022</t>
        </is>
      </c>
      <c r="B5584" s="1" t="n">
        <v>44879</v>
      </c>
      <c r="C5584" s="1" t="n">
        <v>45182</v>
      </c>
      <c r="D5584" t="inlineStr">
        <is>
          <t>JÄMTLANDS LÄN</t>
        </is>
      </c>
      <c r="E5584" t="inlineStr">
        <is>
          <t>STRÖMSUND</t>
        </is>
      </c>
      <c r="G5584" t="n">
        <v>0.9</v>
      </c>
      <c r="H5584" t="n">
        <v>0</v>
      </c>
      <c r="I5584" t="n">
        <v>0</v>
      </c>
      <c r="J5584" t="n">
        <v>0</v>
      </c>
      <c r="K5584" t="n">
        <v>0</v>
      </c>
      <c r="L5584" t="n">
        <v>0</v>
      </c>
      <c r="M5584" t="n">
        <v>0</v>
      </c>
      <c r="N5584" t="n">
        <v>0</v>
      </c>
      <c r="O5584" t="n">
        <v>0</v>
      </c>
      <c r="P5584" t="n">
        <v>0</v>
      </c>
      <c r="Q5584" t="n">
        <v>0</v>
      </c>
      <c r="R5584" s="2" t="inlineStr"/>
    </row>
    <row r="5585" ht="15" customHeight="1">
      <c r="A5585" t="inlineStr">
        <is>
          <t>A 54274-2022</t>
        </is>
      </c>
      <c r="B5585" s="1" t="n">
        <v>44879</v>
      </c>
      <c r="C5585" s="1" t="n">
        <v>45182</v>
      </c>
      <c r="D5585" t="inlineStr">
        <is>
          <t>JÄMTLANDS LÄN</t>
        </is>
      </c>
      <c r="E5585" t="inlineStr">
        <is>
          <t>BRÄCKE</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54410-2022</t>
        </is>
      </c>
      <c r="B5586" s="1" t="n">
        <v>44879</v>
      </c>
      <c r="C5586" s="1" t="n">
        <v>45182</v>
      </c>
      <c r="D5586" t="inlineStr">
        <is>
          <t>JÄMTLANDS LÄN</t>
        </is>
      </c>
      <c r="E5586" t="inlineStr">
        <is>
          <t>BERG</t>
        </is>
      </c>
      <c r="G5586" t="n">
        <v>8.5</v>
      </c>
      <c r="H5586" t="n">
        <v>0</v>
      </c>
      <c r="I5586" t="n">
        <v>0</v>
      </c>
      <c r="J5586" t="n">
        <v>0</v>
      </c>
      <c r="K5586" t="n">
        <v>0</v>
      </c>
      <c r="L5586" t="n">
        <v>0</v>
      </c>
      <c r="M5586" t="n">
        <v>0</v>
      </c>
      <c r="N5586" t="n">
        <v>0</v>
      </c>
      <c r="O5586" t="n">
        <v>0</v>
      </c>
      <c r="P5586" t="n">
        <v>0</v>
      </c>
      <c r="Q5586" t="n">
        <v>0</v>
      </c>
      <c r="R5586" s="2" t="inlineStr"/>
    </row>
    <row r="5587" ht="15" customHeight="1">
      <c r="A5587" t="inlineStr">
        <is>
          <t>A 53394-2022</t>
        </is>
      </c>
      <c r="B5587" s="1" t="n">
        <v>44879</v>
      </c>
      <c r="C5587" s="1" t="n">
        <v>45182</v>
      </c>
      <c r="D5587" t="inlineStr">
        <is>
          <t>JÄMTLANDS LÄN</t>
        </is>
      </c>
      <c r="E5587" t="inlineStr">
        <is>
          <t>STRÖMSUND</t>
        </is>
      </c>
      <c r="G5587" t="n">
        <v>5.2</v>
      </c>
      <c r="H5587" t="n">
        <v>0</v>
      </c>
      <c r="I5587" t="n">
        <v>0</v>
      </c>
      <c r="J5587" t="n">
        <v>0</v>
      </c>
      <c r="K5587" t="n">
        <v>0</v>
      </c>
      <c r="L5587" t="n">
        <v>0</v>
      </c>
      <c r="M5587" t="n">
        <v>0</v>
      </c>
      <c r="N5587" t="n">
        <v>0</v>
      </c>
      <c r="O5587" t="n">
        <v>0</v>
      </c>
      <c r="P5587" t="n">
        <v>0</v>
      </c>
      <c r="Q5587" t="n">
        <v>0</v>
      </c>
      <c r="R5587" s="2" t="inlineStr"/>
    </row>
    <row r="5588" ht="15" customHeight="1">
      <c r="A5588" t="inlineStr">
        <is>
          <t>A 53941-2022</t>
        </is>
      </c>
      <c r="B5588" s="1" t="n">
        <v>44880</v>
      </c>
      <c r="C5588" s="1" t="n">
        <v>45182</v>
      </c>
      <c r="D5588" t="inlineStr">
        <is>
          <t>JÄMTLANDS LÄN</t>
        </is>
      </c>
      <c r="E5588" t="inlineStr">
        <is>
          <t>BRÄCKE</t>
        </is>
      </c>
      <c r="F5588" t="inlineStr">
        <is>
          <t>SCA</t>
        </is>
      </c>
      <c r="G5588" t="n">
        <v>3</v>
      </c>
      <c r="H5588" t="n">
        <v>0</v>
      </c>
      <c r="I5588" t="n">
        <v>0</v>
      </c>
      <c r="J5588" t="n">
        <v>0</v>
      </c>
      <c r="K5588" t="n">
        <v>0</v>
      </c>
      <c r="L5588" t="n">
        <v>0</v>
      </c>
      <c r="M5588" t="n">
        <v>0</v>
      </c>
      <c r="N5588" t="n">
        <v>0</v>
      </c>
      <c r="O5588" t="n">
        <v>0</v>
      </c>
      <c r="P5588" t="n">
        <v>0</v>
      </c>
      <c r="Q5588" t="n">
        <v>0</v>
      </c>
      <c r="R5588" s="2" t="inlineStr"/>
    </row>
    <row r="5589" ht="15" customHeight="1">
      <c r="A5589" t="inlineStr">
        <is>
          <t>A 53843-2022</t>
        </is>
      </c>
      <c r="B5589" s="1" t="n">
        <v>44880</v>
      </c>
      <c r="C5589" s="1" t="n">
        <v>45182</v>
      </c>
      <c r="D5589" t="inlineStr">
        <is>
          <t>JÄMTLANDS LÄN</t>
        </is>
      </c>
      <c r="E5589" t="inlineStr">
        <is>
          <t>KROKOM</t>
        </is>
      </c>
      <c r="F5589" t="inlineStr">
        <is>
          <t>Övriga Aktiebolag</t>
        </is>
      </c>
      <c r="G5589" t="n">
        <v>26.4</v>
      </c>
      <c r="H5589" t="n">
        <v>0</v>
      </c>
      <c r="I5589" t="n">
        <v>0</v>
      </c>
      <c r="J5589" t="n">
        <v>0</v>
      </c>
      <c r="K5589" t="n">
        <v>0</v>
      </c>
      <c r="L5589" t="n">
        <v>0</v>
      </c>
      <c r="M5589" t="n">
        <v>0</v>
      </c>
      <c r="N5589" t="n">
        <v>0</v>
      </c>
      <c r="O5589" t="n">
        <v>0</v>
      </c>
      <c r="P5589" t="n">
        <v>0</v>
      </c>
      <c r="Q5589" t="n">
        <v>0</v>
      </c>
      <c r="R5589" s="2" t="inlineStr"/>
    </row>
    <row r="5590" ht="15" customHeight="1">
      <c r="A5590" t="inlineStr">
        <is>
          <t>A 53935-2022</t>
        </is>
      </c>
      <c r="B5590" s="1" t="n">
        <v>44880</v>
      </c>
      <c r="C5590" s="1" t="n">
        <v>45182</v>
      </c>
      <c r="D5590" t="inlineStr">
        <is>
          <t>JÄMTLANDS LÄN</t>
        </is>
      </c>
      <c r="E5590" t="inlineStr">
        <is>
          <t>RAGUNDA</t>
        </is>
      </c>
      <c r="F5590" t="inlineStr">
        <is>
          <t>SCA</t>
        </is>
      </c>
      <c r="G5590" t="n">
        <v>1.4</v>
      </c>
      <c r="H5590" t="n">
        <v>0</v>
      </c>
      <c r="I5590" t="n">
        <v>0</v>
      </c>
      <c r="J5590" t="n">
        <v>0</v>
      </c>
      <c r="K5590" t="n">
        <v>0</v>
      </c>
      <c r="L5590" t="n">
        <v>0</v>
      </c>
      <c r="M5590" t="n">
        <v>0</v>
      </c>
      <c r="N5590" t="n">
        <v>0</v>
      </c>
      <c r="O5590" t="n">
        <v>0</v>
      </c>
      <c r="P5590" t="n">
        <v>0</v>
      </c>
      <c r="Q5590" t="n">
        <v>0</v>
      </c>
      <c r="R5590" s="2" t="inlineStr"/>
    </row>
    <row r="5591" ht="15" customHeight="1">
      <c r="A5591" t="inlineStr">
        <is>
          <t>A 53714-2022</t>
        </is>
      </c>
      <c r="B5591" s="1" t="n">
        <v>44880</v>
      </c>
      <c r="C5591" s="1" t="n">
        <v>45182</v>
      </c>
      <c r="D5591" t="inlineStr">
        <is>
          <t>JÄMTLANDS LÄN</t>
        </is>
      </c>
      <c r="E5591" t="inlineStr">
        <is>
          <t>ÖSTERSUND</t>
        </is>
      </c>
      <c r="G5591" t="n">
        <v>1.3</v>
      </c>
      <c r="H5591" t="n">
        <v>0</v>
      </c>
      <c r="I5591" t="n">
        <v>0</v>
      </c>
      <c r="J5591" t="n">
        <v>0</v>
      </c>
      <c r="K5591" t="n">
        <v>0</v>
      </c>
      <c r="L5591" t="n">
        <v>0</v>
      </c>
      <c r="M5591" t="n">
        <v>0</v>
      </c>
      <c r="N5591" t="n">
        <v>0</v>
      </c>
      <c r="O5591" t="n">
        <v>0</v>
      </c>
      <c r="P5591" t="n">
        <v>0</v>
      </c>
      <c r="Q5591" t="n">
        <v>0</v>
      </c>
      <c r="R5591" s="2" t="inlineStr"/>
    </row>
    <row r="5592" ht="15" customHeight="1">
      <c r="A5592" t="inlineStr">
        <is>
          <t>A 53937-2022</t>
        </is>
      </c>
      <c r="B5592" s="1" t="n">
        <v>44880</v>
      </c>
      <c r="C5592" s="1" t="n">
        <v>45182</v>
      </c>
      <c r="D5592" t="inlineStr">
        <is>
          <t>JÄMTLANDS LÄN</t>
        </is>
      </c>
      <c r="E5592" t="inlineStr">
        <is>
          <t>RAGUNDA</t>
        </is>
      </c>
      <c r="F5592" t="inlineStr">
        <is>
          <t>SCA</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54491-2022</t>
        </is>
      </c>
      <c r="B5593" s="1" t="n">
        <v>44880</v>
      </c>
      <c r="C5593" s="1" t="n">
        <v>45182</v>
      </c>
      <c r="D5593" t="inlineStr">
        <is>
          <t>JÄMTLANDS LÄN</t>
        </is>
      </c>
      <c r="E5593" t="inlineStr">
        <is>
          <t>KROKOM</t>
        </is>
      </c>
      <c r="G5593" t="n">
        <v>0.2</v>
      </c>
      <c r="H5593" t="n">
        <v>0</v>
      </c>
      <c r="I5593" t="n">
        <v>0</v>
      </c>
      <c r="J5593" t="n">
        <v>0</v>
      </c>
      <c r="K5593" t="n">
        <v>0</v>
      </c>
      <c r="L5593" t="n">
        <v>0</v>
      </c>
      <c r="M5593" t="n">
        <v>0</v>
      </c>
      <c r="N5593" t="n">
        <v>0</v>
      </c>
      <c r="O5593" t="n">
        <v>0</v>
      </c>
      <c r="P5593" t="n">
        <v>0</v>
      </c>
      <c r="Q5593" t="n">
        <v>0</v>
      </c>
      <c r="R5593" s="2" t="inlineStr"/>
    </row>
    <row r="5594" ht="15" customHeight="1">
      <c r="A5594" t="inlineStr">
        <is>
          <t>A 54059-2022</t>
        </is>
      </c>
      <c r="B5594" s="1" t="n">
        <v>44881</v>
      </c>
      <c r="C5594" s="1" t="n">
        <v>45182</v>
      </c>
      <c r="D5594" t="inlineStr">
        <is>
          <t>JÄMTLANDS LÄN</t>
        </is>
      </c>
      <c r="E5594" t="inlineStr">
        <is>
          <t>HÄRJEDALEN</t>
        </is>
      </c>
      <c r="F5594" t="inlineStr">
        <is>
          <t>Sveaskog</t>
        </is>
      </c>
      <c r="G5594" t="n">
        <v>0.9</v>
      </c>
      <c r="H5594" t="n">
        <v>0</v>
      </c>
      <c r="I5594" t="n">
        <v>0</v>
      </c>
      <c r="J5594" t="n">
        <v>0</v>
      </c>
      <c r="K5594" t="n">
        <v>0</v>
      </c>
      <c r="L5594" t="n">
        <v>0</v>
      </c>
      <c r="M5594" t="n">
        <v>0</v>
      </c>
      <c r="N5594" t="n">
        <v>0</v>
      </c>
      <c r="O5594" t="n">
        <v>0</v>
      </c>
      <c r="P5594" t="n">
        <v>0</v>
      </c>
      <c r="Q5594" t="n">
        <v>0</v>
      </c>
      <c r="R5594" s="2" t="inlineStr"/>
    </row>
    <row r="5595" ht="15" customHeight="1">
      <c r="A5595" t="inlineStr">
        <is>
          <t>A 54243-2022</t>
        </is>
      </c>
      <c r="B5595" s="1" t="n">
        <v>44881</v>
      </c>
      <c r="C5595" s="1" t="n">
        <v>45182</v>
      </c>
      <c r="D5595" t="inlineStr">
        <is>
          <t>JÄMTLANDS LÄN</t>
        </is>
      </c>
      <c r="E5595" t="inlineStr">
        <is>
          <t>BRÄCKE</t>
        </is>
      </c>
      <c r="F5595" t="inlineStr">
        <is>
          <t>SCA</t>
        </is>
      </c>
      <c r="G5595" t="n">
        <v>0.6</v>
      </c>
      <c r="H5595" t="n">
        <v>0</v>
      </c>
      <c r="I5595" t="n">
        <v>0</v>
      </c>
      <c r="J5595" t="n">
        <v>0</v>
      </c>
      <c r="K5595" t="n">
        <v>0</v>
      </c>
      <c r="L5595" t="n">
        <v>0</v>
      </c>
      <c r="M5595" t="n">
        <v>0</v>
      </c>
      <c r="N5595" t="n">
        <v>0</v>
      </c>
      <c r="O5595" t="n">
        <v>0</v>
      </c>
      <c r="P5595" t="n">
        <v>0</v>
      </c>
      <c r="Q5595" t="n">
        <v>0</v>
      </c>
      <c r="R5595" s="2" t="inlineStr"/>
    </row>
    <row r="5596" ht="15" customHeight="1">
      <c r="A5596" t="inlineStr">
        <is>
          <t>A 54065-2022</t>
        </is>
      </c>
      <c r="B5596" s="1" t="n">
        <v>44881</v>
      </c>
      <c r="C5596" s="1" t="n">
        <v>45182</v>
      </c>
      <c r="D5596" t="inlineStr">
        <is>
          <t>JÄMTLANDS LÄN</t>
        </is>
      </c>
      <c r="E5596" t="inlineStr">
        <is>
          <t>HÄRJEDALEN</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54244-2022</t>
        </is>
      </c>
      <c r="B5597" s="1" t="n">
        <v>44881</v>
      </c>
      <c r="C5597" s="1" t="n">
        <v>45182</v>
      </c>
      <c r="D5597" t="inlineStr">
        <is>
          <t>JÄMTLANDS LÄN</t>
        </is>
      </c>
      <c r="E5597" t="inlineStr">
        <is>
          <t>RAGUNDA</t>
        </is>
      </c>
      <c r="G5597" t="n">
        <v>2.8</v>
      </c>
      <c r="H5597" t="n">
        <v>0</v>
      </c>
      <c r="I5597" t="n">
        <v>0</v>
      </c>
      <c r="J5597" t="n">
        <v>0</v>
      </c>
      <c r="K5597" t="n">
        <v>0</v>
      </c>
      <c r="L5597" t="n">
        <v>0</v>
      </c>
      <c r="M5597" t="n">
        <v>0</v>
      </c>
      <c r="N5597" t="n">
        <v>0</v>
      </c>
      <c r="O5597" t="n">
        <v>0</v>
      </c>
      <c r="P5597" t="n">
        <v>0</v>
      </c>
      <c r="Q5597" t="n">
        <v>0</v>
      </c>
      <c r="R5597" s="2" t="inlineStr"/>
    </row>
    <row r="5598" ht="15" customHeight="1">
      <c r="A5598" t="inlineStr">
        <is>
          <t>A 54605-2022</t>
        </is>
      </c>
      <c r="B5598" s="1" t="n">
        <v>44881</v>
      </c>
      <c r="C5598" s="1" t="n">
        <v>45182</v>
      </c>
      <c r="D5598" t="inlineStr">
        <is>
          <t>JÄMTLANDS LÄN</t>
        </is>
      </c>
      <c r="E5598" t="inlineStr">
        <is>
          <t>KROKOM</t>
        </is>
      </c>
      <c r="G5598" t="n">
        <v>1.4</v>
      </c>
      <c r="H5598" t="n">
        <v>0</v>
      </c>
      <c r="I5598" t="n">
        <v>0</v>
      </c>
      <c r="J5598" t="n">
        <v>0</v>
      </c>
      <c r="K5598" t="n">
        <v>0</v>
      </c>
      <c r="L5598" t="n">
        <v>0</v>
      </c>
      <c r="M5598" t="n">
        <v>0</v>
      </c>
      <c r="N5598" t="n">
        <v>0</v>
      </c>
      <c r="O5598" t="n">
        <v>0</v>
      </c>
      <c r="P5598" t="n">
        <v>0</v>
      </c>
      <c r="Q5598" t="n">
        <v>0</v>
      </c>
      <c r="R5598" s="2" t="inlineStr"/>
    </row>
    <row r="5599" ht="15" customHeight="1">
      <c r="A5599" t="inlineStr">
        <is>
          <t>A 54384-2022</t>
        </is>
      </c>
      <c r="B5599" s="1" t="n">
        <v>44882</v>
      </c>
      <c r="C5599" s="1" t="n">
        <v>45182</v>
      </c>
      <c r="D5599" t="inlineStr">
        <is>
          <t>JÄMTLANDS LÄN</t>
        </is>
      </c>
      <c r="E5599" t="inlineStr">
        <is>
          <t>ÖSTERSUND</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54566-2022</t>
        </is>
      </c>
      <c r="B5600" s="1" t="n">
        <v>44882</v>
      </c>
      <c r="C5600" s="1" t="n">
        <v>45182</v>
      </c>
      <c r="D5600" t="inlineStr">
        <is>
          <t>JÄMTLANDS LÄN</t>
        </is>
      </c>
      <c r="E5600" t="inlineStr">
        <is>
          <t>BRÄCKE</t>
        </is>
      </c>
      <c r="F5600" t="inlineStr">
        <is>
          <t>SCA</t>
        </is>
      </c>
      <c r="G5600" t="n">
        <v>3.3</v>
      </c>
      <c r="H5600" t="n">
        <v>0</v>
      </c>
      <c r="I5600" t="n">
        <v>0</v>
      </c>
      <c r="J5600" t="n">
        <v>0</v>
      </c>
      <c r="K5600" t="n">
        <v>0</v>
      </c>
      <c r="L5600" t="n">
        <v>0</v>
      </c>
      <c r="M5600" t="n">
        <v>0</v>
      </c>
      <c r="N5600" t="n">
        <v>0</v>
      </c>
      <c r="O5600" t="n">
        <v>0</v>
      </c>
      <c r="P5600" t="n">
        <v>0</v>
      </c>
      <c r="Q5600" t="n">
        <v>0</v>
      </c>
      <c r="R5600" s="2" t="inlineStr"/>
    </row>
    <row r="5601" ht="15" customHeight="1">
      <c r="A5601" t="inlineStr">
        <is>
          <t>A 55459-2022</t>
        </is>
      </c>
      <c r="B5601" s="1" t="n">
        <v>44882</v>
      </c>
      <c r="C5601" s="1" t="n">
        <v>45182</v>
      </c>
      <c r="D5601" t="inlineStr">
        <is>
          <t>JÄMTLANDS LÄN</t>
        </is>
      </c>
      <c r="E5601" t="inlineStr">
        <is>
          <t>STRÖMSUND</t>
        </is>
      </c>
      <c r="G5601" t="n">
        <v>3.1</v>
      </c>
      <c r="H5601" t="n">
        <v>0</v>
      </c>
      <c r="I5601" t="n">
        <v>0</v>
      </c>
      <c r="J5601" t="n">
        <v>0</v>
      </c>
      <c r="K5601" t="n">
        <v>0</v>
      </c>
      <c r="L5601" t="n">
        <v>0</v>
      </c>
      <c r="M5601" t="n">
        <v>0</v>
      </c>
      <c r="N5601" t="n">
        <v>0</v>
      </c>
      <c r="O5601" t="n">
        <v>0</v>
      </c>
      <c r="P5601" t="n">
        <v>0</v>
      </c>
      <c r="Q5601" t="n">
        <v>0</v>
      </c>
      <c r="R5601" s="2" t="inlineStr"/>
    </row>
    <row r="5602" ht="15" customHeight="1">
      <c r="A5602" t="inlineStr">
        <is>
          <t>A 54520-2022</t>
        </is>
      </c>
      <c r="B5602" s="1" t="n">
        <v>44882</v>
      </c>
      <c r="C5602" s="1" t="n">
        <v>45182</v>
      </c>
      <c r="D5602" t="inlineStr">
        <is>
          <t>JÄMTLANDS LÄN</t>
        </is>
      </c>
      <c r="E5602" t="inlineStr">
        <is>
          <t>BRÄCKE</t>
        </is>
      </c>
      <c r="G5602" t="n">
        <v>2.9</v>
      </c>
      <c r="H5602" t="n">
        <v>0</v>
      </c>
      <c r="I5602" t="n">
        <v>0</v>
      </c>
      <c r="J5602" t="n">
        <v>0</v>
      </c>
      <c r="K5602" t="n">
        <v>0</v>
      </c>
      <c r="L5602" t="n">
        <v>0</v>
      </c>
      <c r="M5602" t="n">
        <v>0</v>
      </c>
      <c r="N5602" t="n">
        <v>0</v>
      </c>
      <c r="O5602" t="n">
        <v>0</v>
      </c>
      <c r="P5602" t="n">
        <v>0</v>
      </c>
      <c r="Q5602" t="n">
        <v>0</v>
      </c>
      <c r="R5602" s="2" t="inlineStr"/>
    </row>
    <row r="5603" ht="15" customHeight="1">
      <c r="A5603" t="inlineStr">
        <is>
          <t>A 54577-2022</t>
        </is>
      </c>
      <c r="B5603" s="1" t="n">
        <v>44882</v>
      </c>
      <c r="C5603" s="1" t="n">
        <v>45182</v>
      </c>
      <c r="D5603" t="inlineStr">
        <is>
          <t>JÄMTLANDS LÄN</t>
        </is>
      </c>
      <c r="E5603" t="inlineStr">
        <is>
          <t>STRÖMSUND</t>
        </is>
      </c>
      <c r="F5603" t="inlineStr">
        <is>
          <t>SCA</t>
        </is>
      </c>
      <c r="G5603" t="n">
        <v>1</v>
      </c>
      <c r="H5603" t="n">
        <v>0</v>
      </c>
      <c r="I5603" t="n">
        <v>0</v>
      </c>
      <c r="J5603" t="n">
        <v>0</v>
      </c>
      <c r="K5603" t="n">
        <v>0</v>
      </c>
      <c r="L5603" t="n">
        <v>0</v>
      </c>
      <c r="M5603" t="n">
        <v>0</v>
      </c>
      <c r="N5603" t="n">
        <v>0</v>
      </c>
      <c r="O5603" t="n">
        <v>0</v>
      </c>
      <c r="P5603" t="n">
        <v>0</v>
      </c>
      <c r="Q5603" t="n">
        <v>0</v>
      </c>
      <c r="R5603" s="2" t="inlineStr"/>
    </row>
    <row r="5604" ht="15" customHeight="1">
      <c r="A5604" t="inlineStr">
        <is>
          <t>A 54582-2022</t>
        </is>
      </c>
      <c r="B5604" s="1" t="n">
        <v>44882</v>
      </c>
      <c r="C5604" s="1" t="n">
        <v>45182</v>
      </c>
      <c r="D5604" t="inlineStr">
        <is>
          <t>JÄMTLANDS LÄN</t>
        </is>
      </c>
      <c r="E5604" t="inlineStr">
        <is>
          <t>STRÖMSUND</t>
        </is>
      </c>
      <c r="F5604" t="inlineStr">
        <is>
          <t>SCA</t>
        </is>
      </c>
      <c r="G5604" t="n">
        <v>10.1</v>
      </c>
      <c r="H5604" t="n">
        <v>0</v>
      </c>
      <c r="I5604" t="n">
        <v>0</v>
      </c>
      <c r="J5604" t="n">
        <v>0</v>
      </c>
      <c r="K5604" t="n">
        <v>0</v>
      </c>
      <c r="L5604" t="n">
        <v>0</v>
      </c>
      <c r="M5604" t="n">
        <v>0</v>
      </c>
      <c r="N5604" t="n">
        <v>0</v>
      </c>
      <c r="O5604" t="n">
        <v>0</v>
      </c>
      <c r="P5604" t="n">
        <v>0</v>
      </c>
      <c r="Q5604" t="n">
        <v>0</v>
      </c>
      <c r="R5604" s="2" t="inlineStr"/>
    </row>
    <row r="5605" ht="15" customHeight="1">
      <c r="A5605" t="inlineStr">
        <is>
          <t>A 55383-2022</t>
        </is>
      </c>
      <c r="B5605" s="1" t="n">
        <v>44882</v>
      </c>
      <c r="C5605" s="1" t="n">
        <v>45182</v>
      </c>
      <c r="D5605" t="inlineStr">
        <is>
          <t>JÄMTLANDS LÄN</t>
        </is>
      </c>
      <c r="E5605" t="inlineStr">
        <is>
          <t>HÄRJEDALEN</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55485-2022</t>
        </is>
      </c>
      <c r="B5606" s="1" t="n">
        <v>44882</v>
      </c>
      <c r="C5606" s="1" t="n">
        <v>45182</v>
      </c>
      <c r="D5606" t="inlineStr">
        <is>
          <t>JÄMTLANDS LÄN</t>
        </is>
      </c>
      <c r="E5606" t="inlineStr">
        <is>
          <t>STRÖMSUND</t>
        </is>
      </c>
      <c r="G5606" t="n">
        <v>3.9</v>
      </c>
      <c r="H5606" t="n">
        <v>0</v>
      </c>
      <c r="I5606" t="n">
        <v>0</v>
      </c>
      <c r="J5606" t="n">
        <v>0</v>
      </c>
      <c r="K5606" t="n">
        <v>0</v>
      </c>
      <c r="L5606" t="n">
        <v>0</v>
      </c>
      <c r="M5606" t="n">
        <v>0</v>
      </c>
      <c r="N5606" t="n">
        <v>0</v>
      </c>
      <c r="O5606" t="n">
        <v>0</v>
      </c>
      <c r="P5606" t="n">
        <v>0</v>
      </c>
      <c r="Q5606" t="n">
        <v>0</v>
      </c>
      <c r="R5606" s="2" t="inlineStr"/>
    </row>
    <row r="5607" ht="15" customHeight="1">
      <c r="A5607" t="inlineStr">
        <is>
          <t>A 54611-2022</t>
        </is>
      </c>
      <c r="B5607" s="1" t="n">
        <v>44883</v>
      </c>
      <c r="C5607" s="1" t="n">
        <v>45182</v>
      </c>
      <c r="D5607" t="inlineStr">
        <is>
          <t>JÄMTLANDS LÄN</t>
        </is>
      </c>
      <c r="E5607" t="inlineStr">
        <is>
          <t>ÅRE</t>
        </is>
      </c>
      <c r="F5607" t="inlineStr">
        <is>
          <t>Övriga Aktiebolag</t>
        </is>
      </c>
      <c r="G5607" t="n">
        <v>11.7</v>
      </c>
      <c r="H5607" t="n">
        <v>0</v>
      </c>
      <c r="I5607" t="n">
        <v>0</v>
      </c>
      <c r="J5607" t="n">
        <v>0</v>
      </c>
      <c r="K5607" t="n">
        <v>0</v>
      </c>
      <c r="L5607" t="n">
        <v>0</v>
      </c>
      <c r="M5607" t="n">
        <v>0</v>
      </c>
      <c r="N5607" t="n">
        <v>0</v>
      </c>
      <c r="O5607" t="n">
        <v>0</v>
      </c>
      <c r="P5607" t="n">
        <v>0</v>
      </c>
      <c r="Q5607" t="n">
        <v>0</v>
      </c>
      <c r="R5607" s="2" t="inlineStr"/>
    </row>
    <row r="5608" ht="15" customHeight="1">
      <c r="A5608" t="inlineStr">
        <is>
          <t>A 54829-2022</t>
        </is>
      </c>
      <c r="B5608" s="1" t="n">
        <v>44883</v>
      </c>
      <c r="C5608" s="1" t="n">
        <v>45182</v>
      </c>
      <c r="D5608" t="inlineStr">
        <is>
          <t>JÄMTLANDS LÄN</t>
        </is>
      </c>
      <c r="E5608" t="inlineStr">
        <is>
          <t>BRÄCKE</t>
        </is>
      </c>
      <c r="F5608" t="inlineStr">
        <is>
          <t>SCA</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54762-2022</t>
        </is>
      </c>
      <c r="B5609" s="1" t="n">
        <v>44883</v>
      </c>
      <c r="C5609" s="1" t="n">
        <v>45182</v>
      </c>
      <c r="D5609" t="inlineStr">
        <is>
          <t>JÄMTLANDS LÄN</t>
        </is>
      </c>
      <c r="E5609" t="inlineStr">
        <is>
          <t>HÄRJEDALEN</t>
        </is>
      </c>
      <c r="G5609" t="n">
        <v>1.8</v>
      </c>
      <c r="H5609" t="n">
        <v>0</v>
      </c>
      <c r="I5609" t="n">
        <v>0</v>
      </c>
      <c r="J5609" t="n">
        <v>0</v>
      </c>
      <c r="K5609" t="n">
        <v>0</v>
      </c>
      <c r="L5609" t="n">
        <v>0</v>
      </c>
      <c r="M5609" t="n">
        <v>0</v>
      </c>
      <c r="N5609" t="n">
        <v>0</v>
      </c>
      <c r="O5609" t="n">
        <v>0</v>
      </c>
      <c r="P5609" t="n">
        <v>0</v>
      </c>
      <c r="Q5609" t="n">
        <v>0</v>
      </c>
      <c r="R5609" s="2" t="inlineStr"/>
    </row>
    <row r="5610" ht="15" customHeight="1">
      <c r="A5610" t="inlineStr">
        <is>
          <t>A 54827-2022</t>
        </is>
      </c>
      <c r="B5610" s="1" t="n">
        <v>44883</v>
      </c>
      <c r="C5610" s="1" t="n">
        <v>45182</v>
      </c>
      <c r="D5610" t="inlineStr">
        <is>
          <t>JÄMTLANDS LÄN</t>
        </is>
      </c>
      <c r="E5610" t="inlineStr">
        <is>
          <t>RAGUNDA</t>
        </is>
      </c>
      <c r="F5610" t="inlineStr">
        <is>
          <t>SCA</t>
        </is>
      </c>
      <c r="G5610" t="n">
        <v>10.6</v>
      </c>
      <c r="H5610" t="n">
        <v>0</v>
      </c>
      <c r="I5610" t="n">
        <v>0</v>
      </c>
      <c r="J5610" t="n">
        <v>0</v>
      </c>
      <c r="K5610" t="n">
        <v>0</v>
      </c>
      <c r="L5610" t="n">
        <v>0</v>
      </c>
      <c r="M5610" t="n">
        <v>0</v>
      </c>
      <c r="N5610" t="n">
        <v>0</v>
      </c>
      <c r="O5610" t="n">
        <v>0</v>
      </c>
      <c r="P5610" t="n">
        <v>0</v>
      </c>
      <c r="Q5610" t="n">
        <v>0</v>
      </c>
      <c r="R5610" s="2" t="inlineStr"/>
    </row>
    <row r="5611" ht="15" customHeight="1">
      <c r="A5611" t="inlineStr">
        <is>
          <t>A 55564-2022</t>
        </is>
      </c>
      <c r="B5611" s="1" t="n">
        <v>44883</v>
      </c>
      <c r="C5611" s="1" t="n">
        <v>45182</v>
      </c>
      <c r="D5611" t="inlineStr">
        <is>
          <t>JÄMTLANDS LÄN</t>
        </is>
      </c>
      <c r="E5611" t="inlineStr">
        <is>
          <t>KROKOM</t>
        </is>
      </c>
      <c r="G5611" t="n">
        <v>1</v>
      </c>
      <c r="H5611" t="n">
        <v>0</v>
      </c>
      <c r="I5611" t="n">
        <v>0</v>
      </c>
      <c r="J5611" t="n">
        <v>0</v>
      </c>
      <c r="K5611" t="n">
        <v>0</v>
      </c>
      <c r="L5611" t="n">
        <v>0</v>
      </c>
      <c r="M5611" t="n">
        <v>0</v>
      </c>
      <c r="N5611" t="n">
        <v>0</v>
      </c>
      <c r="O5611" t="n">
        <v>0</v>
      </c>
      <c r="P5611" t="n">
        <v>0</v>
      </c>
      <c r="Q5611" t="n">
        <v>0</v>
      </c>
      <c r="R5611" s="2" t="inlineStr"/>
    </row>
    <row r="5612" ht="15" customHeight="1">
      <c r="A5612" t="inlineStr">
        <is>
          <t>A 54661-2022</t>
        </is>
      </c>
      <c r="B5612" s="1" t="n">
        <v>44883</v>
      </c>
      <c r="C5612" s="1" t="n">
        <v>45182</v>
      </c>
      <c r="D5612" t="inlineStr">
        <is>
          <t>JÄMTLANDS LÄN</t>
        </is>
      </c>
      <c r="E5612" t="inlineStr">
        <is>
          <t>HÄRJEDALEN</t>
        </is>
      </c>
      <c r="G5612" t="n">
        <v>5.9</v>
      </c>
      <c r="H5612" t="n">
        <v>0</v>
      </c>
      <c r="I5612" t="n">
        <v>0</v>
      </c>
      <c r="J5612" t="n">
        <v>0</v>
      </c>
      <c r="K5612" t="n">
        <v>0</v>
      </c>
      <c r="L5612" t="n">
        <v>0</v>
      </c>
      <c r="M5612" t="n">
        <v>0</v>
      </c>
      <c r="N5612" t="n">
        <v>0</v>
      </c>
      <c r="O5612" t="n">
        <v>0</v>
      </c>
      <c r="P5612" t="n">
        <v>0</v>
      </c>
      <c r="Q5612" t="n">
        <v>0</v>
      </c>
      <c r="R5612" s="2" t="inlineStr"/>
    </row>
    <row r="5613" ht="15" customHeight="1">
      <c r="A5613" t="inlineStr">
        <is>
          <t>A 54668-2022</t>
        </is>
      </c>
      <c r="B5613" s="1" t="n">
        <v>44883</v>
      </c>
      <c r="C5613" s="1" t="n">
        <v>45182</v>
      </c>
      <c r="D5613" t="inlineStr">
        <is>
          <t>JÄMTLANDS LÄN</t>
        </is>
      </c>
      <c r="E5613" t="inlineStr">
        <is>
          <t>BRÄCKE</t>
        </is>
      </c>
      <c r="G5613" t="n">
        <v>2.8</v>
      </c>
      <c r="H5613" t="n">
        <v>0</v>
      </c>
      <c r="I5613" t="n">
        <v>0</v>
      </c>
      <c r="J5613" t="n">
        <v>0</v>
      </c>
      <c r="K5613" t="n">
        <v>0</v>
      </c>
      <c r="L5613" t="n">
        <v>0</v>
      </c>
      <c r="M5613" t="n">
        <v>0</v>
      </c>
      <c r="N5613" t="n">
        <v>0</v>
      </c>
      <c r="O5613" t="n">
        <v>0</v>
      </c>
      <c r="P5613" t="n">
        <v>0</v>
      </c>
      <c r="Q5613" t="n">
        <v>0</v>
      </c>
      <c r="R5613" s="2" t="inlineStr"/>
    </row>
    <row r="5614" ht="15" customHeight="1">
      <c r="A5614" t="inlineStr">
        <is>
          <t>A 54828-2022</t>
        </is>
      </c>
      <c r="B5614" s="1" t="n">
        <v>44883</v>
      </c>
      <c r="C5614" s="1" t="n">
        <v>45182</v>
      </c>
      <c r="D5614" t="inlineStr">
        <is>
          <t>JÄMTLANDS LÄN</t>
        </is>
      </c>
      <c r="E5614" t="inlineStr">
        <is>
          <t>STRÖMSUND</t>
        </is>
      </c>
      <c r="F5614" t="inlineStr">
        <is>
          <t>SCA</t>
        </is>
      </c>
      <c r="G5614" t="n">
        <v>2.3</v>
      </c>
      <c r="H5614" t="n">
        <v>0</v>
      </c>
      <c r="I5614" t="n">
        <v>0</v>
      </c>
      <c r="J5614" t="n">
        <v>0</v>
      </c>
      <c r="K5614" t="n">
        <v>0</v>
      </c>
      <c r="L5614" t="n">
        <v>0</v>
      </c>
      <c r="M5614" t="n">
        <v>0</v>
      </c>
      <c r="N5614" t="n">
        <v>0</v>
      </c>
      <c r="O5614" t="n">
        <v>0</v>
      </c>
      <c r="P5614" t="n">
        <v>0</v>
      </c>
      <c r="Q5614" t="n">
        <v>0</v>
      </c>
      <c r="R5614" s="2" t="inlineStr"/>
    </row>
    <row r="5615" ht="15" customHeight="1">
      <c r="A5615" t="inlineStr">
        <is>
          <t>A 54837-2022</t>
        </is>
      </c>
      <c r="B5615" s="1" t="n">
        <v>44883</v>
      </c>
      <c r="C5615" s="1" t="n">
        <v>45182</v>
      </c>
      <c r="D5615" t="inlineStr">
        <is>
          <t>JÄMTLANDS LÄN</t>
        </is>
      </c>
      <c r="E5615" t="inlineStr">
        <is>
          <t>RAGUNDA</t>
        </is>
      </c>
      <c r="F5615" t="inlineStr">
        <is>
          <t>SCA</t>
        </is>
      </c>
      <c r="G5615" t="n">
        <v>5.4</v>
      </c>
      <c r="H5615" t="n">
        <v>0</v>
      </c>
      <c r="I5615" t="n">
        <v>0</v>
      </c>
      <c r="J5615" t="n">
        <v>0</v>
      </c>
      <c r="K5615" t="n">
        <v>0</v>
      </c>
      <c r="L5615" t="n">
        <v>0</v>
      </c>
      <c r="M5615" t="n">
        <v>0</v>
      </c>
      <c r="N5615" t="n">
        <v>0</v>
      </c>
      <c r="O5615" t="n">
        <v>0</v>
      </c>
      <c r="P5615" t="n">
        <v>0</v>
      </c>
      <c r="Q5615" t="n">
        <v>0</v>
      </c>
      <c r="R5615" s="2" t="inlineStr"/>
    </row>
    <row r="5616" ht="15" customHeight="1">
      <c r="A5616" t="inlineStr">
        <is>
          <t>A 55567-2022</t>
        </is>
      </c>
      <c r="B5616" s="1" t="n">
        <v>44883</v>
      </c>
      <c r="C5616" s="1" t="n">
        <v>45182</v>
      </c>
      <c r="D5616" t="inlineStr">
        <is>
          <t>JÄMTLANDS LÄN</t>
        </is>
      </c>
      <c r="E5616" t="inlineStr">
        <is>
          <t>KROKOM</t>
        </is>
      </c>
      <c r="G5616" t="n">
        <v>2.2</v>
      </c>
      <c r="H5616" t="n">
        <v>0</v>
      </c>
      <c r="I5616" t="n">
        <v>0</v>
      </c>
      <c r="J5616" t="n">
        <v>0</v>
      </c>
      <c r="K5616" t="n">
        <v>0</v>
      </c>
      <c r="L5616" t="n">
        <v>0</v>
      </c>
      <c r="M5616" t="n">
        <v>0</v>
      </c>
      <c r="N5616" t="n">
        <v>0</v>
      </c>
      <c r="O5616" t="n">
        <v>0</v>
      </c>
      <c r="P5616" t="n">
        <v>0</v>
      </c>
      <c r="Q5616" t="n">
        <v>0</v>
      </c>
      <c r="R5616" s="2" t="inlineStr"/>
    </row>
    <row r="5617" ht="15" customHeight="1">
      <c r="A5617" t="inlineStr">
        <is>
          <t>A 55774-2022</t>
        </is>
      </c>
      <c r="B5617" s="1" t="n">
        <v>44886</v>
      </c>
      <c r="C5617" s="1" t="n">
        <v>45182</v>
      </c>
      <c r="D5617" t="inlineStr">
        <is>
          <t>JÄMTLANDS LÄN</t>
        </is>
      </c>
      <c r="E5617" t="inlineStr">
        <is>
          <t>BRÄCKE</t>
        </is>
      </c>
      <c r="G5617" t="n">
        <v>1.8</v>
      </c>
      <c r="H5617" t="n">
        <v>0</v>
      </c>
      <c r="I5617" t="n">
        <v>0</v>
      </c>
      <c r="J5617" t="n">
        <v>0</v>
      </c>
      <c r="K5617" t="n">
        <v>0</v>
      </c>
      <c r="L5617" t="n">
        <v>0</v>
      </c>
      <c r="M5617" t="n">
        <v>0</v>
      </c>
      <c r="N5617" t="n">
        <v>0</v>
      </c>
      <c r="O5617" t="n">
        <v>0</v>
      </c>
      <c r="P5617" t="n">
        <v>0</v>
      </c>
      <c r="Q5617" t="n">
        <v>0</v>
      </c>
      <c r="R5617" s="2" t="inlineStr"/>
    </row>
    <row r="5618" ht="15" customHeight="1">
      <c r="A5618" t="inlineStr">
        <is>
          <t>A 55969-2022</t>
        </is>
      </c>
      <c r="B5618" s="1" t="n">
        <v>44886</v>
      </c>
      <c r="C5618" s="1" t="n">
        <v>45182</v>
      </c>
      <c r="D5618" t="inlineStr">
        <is>
          <t>JÄMTLANDS LÄN</t>
        </is>
      </c>
      <c r="E5618" t="inlineStr">
        <is>
          <t>HÄRJEDALEN</t>
        </is>
      </c>
      <c r="F5618" t="inlineStr">
        <is>
          <t>Övriga statliga verk och myndigheter</t>
        </is>
      </c>
      <c r="G5618" t="n">
        <v>1.6</v>
      </c>
      <c r="H5618" t="n">
        <v>0</v>
      </c>
      <c r="I5618" t="n">
        <v>0</v>
      </c>
      <c r="J5618" t="n">
        <v>0</v>
      </c>
      <c r="K5618" t="n">
        <v>0</v>
      </c>
      <c r="L5618" t="n">
        <v>0</v>
      </c>
      <c r="M5618" t="n">
        <v>0</v>
      </c>
      <c r="N5618" t="n">
        <v>0</v>
      </c>
      <c r="O5618" t="n">
        <v>0</v>
      </c>
      <c r="P5618" t="n">
        <v>0</v>
      </c>
      <c r="Q5618" t="n">
        <v>0</v>
      </c>
      <c r="R5618" s="2" t="inlineStr"/>
    </row>
    <row r="5619" ht="15" customHeight="1">
      <c r="A5619" t="inlineStr">
        <is>
          <t>A 54904-2022</t>
        </is>
      </c>
      <c r="B5619" s="1" t="n">
        <v>44886</v>
      </c>
      <c r="C5619" s="1" t="n">
        <v>45182</v>
      </c>
      <c r="D5619" t="inlineStr">
        <is>
          <t>JÄMTLANDS LÄN</t>
        </is>
      </c>
      <c r="E5619" t="inlineStr">
        <is>
          <t>ÅRE</t>
        </is>
      </c>
      <c r="F5619" t="inlineStr">
        <is>
          <t>Övriga Aktiebolag</t>
        </is>
      </c>
      <c r="G5619" t="n">
        <v>12.2</v>
      </c>
      <c r="H5619" t="n">
        <v>0</v>
      </c>
      <c r="I5619" t="n">
        <v>0</v>
      </c>
      <c r="J5619" t="n">
        <v>0</v>
      </c>
      <c r="K5619" t="n">
        <v>0</v>
      </c>
      <c r="L5619" t="n">
        <v>0</v>
      </c>
      <c r="M5619" t="n">
        <v>0</v>
      </c>
      <c r="N5619" t="n">
        <v>0</v>
      </c>
      <c r="O5619" t="n">
        <v>0</v>
      </c>
      <c r="P5619" t="n">
        <v>0</v>
      </c>
      <c r="Q5619" t="n">
        <v>0</v>
      </c>
      <c r="R5619" s="2" t="inlineStr"/>
    </row>
    <row r="5620" ht="15" customHeight="1">
      <c r="A5620" t="inlineStr">
        <is>
          <t>A 55931-2022</t>
        </is>
      </c>
      <c r="B5620" s="1" t="n">
        <v>44886</v>
      </c>
      <c r="C5620" s="1" t="n">
        <v>45182</v>
      </c>
      <c r="D5620" t="inlineStr">
        <is>
          <t>JÄMTLANDS LÄN</t>
        </is>
      </c>
      <c r="E5620" t="inlineStr">
        <is>
          <t>HÄRJEDALEN</t>
        </is>
      </c>
      <c r="F5620" t="inlineStr">
        <is>
          <t>Övriga statliga verk och myndigheter</t>
        </is>
      </c>
      <c r="G5620" t="n">
        <v>2.9</v>
      </c>
      <c r="H5620" t="n">
        <v>0</v>
      </c>
      <c r="I5620" t="n">
        <v>0</v>
      </c>
      <c r="J5620" t="n">
        <v>0</v>
      </c>
      <c r="K5620" t="n">
        <v>0</v>
      </c>
      <c r="L5620" t="n">
        <v>0</v>
      </c>
      <c r="M5620" t="n">
        <v>0</v>
      </c>
      <c r="N5620" t="n">
        <v>0</v>
      </c>
      <c r="O5620" t="n">
        <v>0</v>
      </c>
      <c r="P5620" t="n">
        <v>0</v>
      </c>
      <c r="Q5620" t="n">
        <v>0</v>
      </c>
      <c r="R5620" s="2" t="inlineStr"/>
    </row>
    <row r="5621" ht="15" customHeight="1">
      <c r="A5621" t="inlineStr">
        <is>
          <t>A 55214-2022</t>
        </is>
      </c>
      <c r="B5621" s="1" t="n">
        <v>44886</v>
      </c>
      <c r="C5621" s="1" t="n">
        <v>45182</v>
      </c>
      <c r="D5621" t="inlineStr">
        <is>
          <t>JÄMTLANDS LÄN</t>
        </is>
      </c>
      <c r="E5621" t="inlineStr">
        <is>
          <t>RAGUNDA</t>
        </is>
      </c>
      <c r="F5621" t="inlineStr">
        <is>
          <t>SCA</t>
        </is>
      </c>
      <c r="G5621" t="n">
        <v>0.6</v>
      </c>
      <c r="H5621" t="n">
        <v>0</v>
      </c>
      <c r="I5621" t="n">
        <v>0</v>
      </c>
      <c r="J5621" t="n">
        <v>0</v>
      </c>
      <c r="K5621" t="n">
        <v>0</v>
      </c>
      <c r="L5621" t="n">
        <v>0</v>
      </c>
      <c r="M5621" t="n">
        <v>0</v>
      </c>
      <c r="N5621" t="n">
        <v>0</v>
      </c>
      <c r="O5621" t="n">
        <v>0</v>
      </c>
      <c r="P5621" t="n">
        <v>0</v>
      </c>
      <c r="Q5621" t="n">
        <v>0</v>
      </c>
      <c r="R5621" s="2" t="inlineStr"/>
    </row>
    <row r="5622" ht="15" customHeight="1">
      <c r="A5622" t="inlineStr">
        <is>
          <t>A 55194-2022</t>
        </is>
      </c>
      <c r="B5622" s="1" t="n">
        <v>44886</v>
      </c>
      <c r="C5622" s="1" t="n">
        <v>45182</v>
      </c>
      <c r="D5622" t="inlineStr">
        <is>
          <t>JÄMTLANDS LÄN</t>
        </is>
      </c>
      <c r="E5622" t="inlineStr">
        <is>
          <t>ÅRE</t>
        </is>
      </c>
      <c r="F5622" t="inlineStr">
        <is>
          <t>Övriga Aktiebolag</t>
        </is>
      </c>
      <c r="G5622" t="n">
        <v>1.7</v>
      </c>
      <c r="H5622" t="n">
        <v>0</v>
      </c>
      <c r="I5622" t="n">
        <v>0</v>
      </c>
      <c r="J5622" t="n">
        <v>0</v>
      </c>
      <c r="K5622" t="n">
        <v>0</v>
      </c>
      <c r="L5622" t="n">
        <v>0</v>
      </c>
      <c r="M5622" t="n">
        <v>0</v>
      </c>
      <c r="N5622" t="n">
        <v>0</v>
      </c>
      <c r="O5622" t="n">
        <v>0</v>
      </c>
      <c r="P5622" t="n">
        <v>0</v>
      </c>
      <c r="Q5622" t="n">
        <v>0</v>
      </c>
      <c r="R5622" s="2" t="inlineStr"/>
    </row>
    <row r="5623" ht="15" customHeight="1">
      <c r="A5623" t="inlineStr">
        <is>
          <t>A 56022-2022</t>
        </is>
      </c>
      <c r="B5623" s="1" t="n">
        <v>44887</v>
      </c>
      <c r="C5623" s="1" t="n">
        <v>45182</v>
      </c>
      <c r="D5623" t="inlineStr">
        <is>
          <t>JÄMTLANDS LÄN</t>
        </is>
      </c>
      <c r="E5623" t="inlineStr">
        <is>
          <t>RAGUNDA</t>
        </is>
      </c>
      <c r="G5623" t="n">
        <v>0.7</v>
      </c>
      <c r="H5623" t="n">
        <v>0</v>
      </c>
      <c r="I5623" t="n">
        <v>0</v>
      </c>
      <c r="J5623" t="n">
        <v>0</v>
      </c>
      <c r="K5623" t="n">
        <v>0</v>
      </c>
      <c r="L5623" t="n">
        <v>0</v>
      </c>
      <c r="M5623" t="n">
        <v>0</v>
      </c>
      <c r="N5623" t="n">
        <v>0</v>
      </c>
      <c r="O5623" t="n">
        <v>0</v>
      </c>
      <c r="P5623" t="n">
        <v>0</v>
      </c>
      <c r="Q5623" t="n">
        <v>0</v>
      </c>
      <c r="R5623" s="2" t="inlineStr"/>
    </row>
    <row r="5624" ht="15" customHeight="1">
      <c r="A5624" t="inlineStr">
        <is>
          <t>A 55448-2022</t>
        </is>
      </c>
      <c r="B5624" s="1" t="n">
        <v>44887</v>
      </c>
      <c r="C5624" s="1" t="n">
        <v>45182</v>
      </c>
      <c r="D5624" t="inlineStr">
        <is>
          <t>JÄMTLANDS LÄN</t>
        </is>
      </c>
      <c r="E5624" t="inlineStr">
        <is>
          <t>ÖSTERSUND</t>
        </is>
      </c>
      <c r="G5624" t="n">
        <v>5.2</v>
      </c>
      <c r="H5624" t="n">
        <v>0</v>
      </c>
      <c r="I5624" t="n">
        <v>0</v>
      </c>
      <c r="J5624" t="n">
        <v>0</v>
      </c>
      <c r="K5624" t="n">
        <v>0</v>
      </c>
      <c r="L5624" t="n">
        <v>0</v>
      </c>
      <c r="M5624" t="n">
        <v>0</v>
      </c>
      <c r="N5624" t="n">
        <v>0</v>
      </c>
      <c r="O5624" t="n">
        <v>0</v>
      </c>
      <c r="P5624" t="n">
        <v>0</v>
      </c>
      <c r="Q5624" t="n">
        <v>0</v>
      </c>
      <c r="R5624" s="2" t="inlineStr"/>
    </row>
    <row r="5625" ht="15" customHeight="1">
      <c r="A5625" t="inlineStr">
        <is>
          <t>A 55479-2022</t>
        </is>
      </c>
      <c r="B5625" s="1" t="n">
        <v>44887</v>
      </c>
      <c r="C5625" s="1" t="n">
        <v>45182</v>
      </c>
      <c r="D5625" t="inlineStr">
        <is>
          <t>JÄMTLANDS LÄN</t>
        </is>
      </c>
      <c r="E5625" t="inlineStr">
        <is>
          <t>KROKOM</t>
        </is>
      </c>
      <c r="F5625" t="inlineStr">
        <is>
          <t>Övriga Aktiebolag</t>
        </is>
      </c>
      <c r="G5625" t="n">
        <v>2.7</v>
      </c>
      <c r="H5625" t="n">
        <v>0</v>
      </c>
      <c r="I5625" t="n">
        <v>0</v>
      </c>
      <c r="J5625" t="n">
        <v>0</v>
      </c>
      <c r="K5625" t="n">
        <v>0</v>
      </c>
      <c r="L5625" t="n">
        <v>0</v>
      </c>
      <c r="M5625" t="n">
        <v>0</v>
      </c>
      <c r="N5625" t="n">
        <v>0</v>
      </c>
      <c r="O5625" t="n">
        <v>0</v>
      </c>
      <c r="P5625" t="n">
        <v>0</v>
      </c>
      <c r="Q5625" t="n">
        <v>0</v>
      </c>
      <c r="R5625" s="2" t="inlineStr"/>
    </row>
    <row r="5626" ht="15" customHeight="1">
      <c r="A5626" t="inlineStr">
        <is>
          <t>A 55512-2022</t>
        </is>
      </c>
      <c r="B5626" s="1" t="n">
        <v>44887</v>
      </c>
      <c r="C5626" s="1" t="n">
        <v>45182</v>
      </c>
      <c r="D5626" t="inlineStr">
        <is>
          <t>JÄMTLANDS LÄN</t>
        </is>
      </c>
      <c r="E5626" t="inlineStr">
        <is>
          <t>BRÄCKE</t>
        </is>
      </c>
      <c r="G5626" t="n">
        <v>3.9</v>
      </c>
      <c r="H5626" t="n">
        <v>0</v>
      </c>
      <c r="I5626" t="n">
        <v>0</v>
      </c>
      <c r="J5626" t="n">
        <v>0</v>
      </c>
      <c r="K5626" t="n">
        <v>0</v>
      </c>
      <c r="L5626" t="n">
        <v>0</v>
      </c>
      <c r="M5626" t="n">
        <v>0</v>
      </c>
      <c r="N5626" t="n">
        <v>0</v>
      </c>
      <c r="O5626" t="n">
        <v>0</v>
      </c>
      <c r="P5626" t="n">
        <v>0</v>
      </c>
      <c r="Q5626" t="n">
        <v>0</v>
      </c>
      <c r="R5626" s="2" t="inlineStr"/>
    </row>
    <row r="5627" ht="15" customHeight="1">
      <c r="A5627" t="inlineStr">
        <is>
          <t>A 55455-2022</t>
        </is>
      </c>
      <c r="B5627" s="1" t="n">
        <v>44887</v>
      </c>
      <c r="C5627" s="1" t="n">
        <v>45182</v>
      </c>
      <c r="D5627" t="inlineStr">
        <is>
          <t>JÄMTLANDS LÄN</t>
        </is>
      </c>
      <c r="E5627" t="inlineStr">
        <is>
          <t>KROKOM</t>
        </is>
      </c>
      <c r="F5627" t="inlineStr">
        <is>
          <t>Övriga Aktiebolag</t>
        </is>
      </c>
      <c r="G5627" t="n">
        <v>5.2</v>
      </c>
      <c r="H5627" t="n">
        <v>0</v>
      </c>
      <c r="I5627" t="n">
        <v>0</v>
      </c>
      <c r="J5627" t="n">
        <v>0</v>
      </c>
      <c r="K5627" t="n">
        <v>0</v>
      </c>
      <c r="L5627" t="n">
        <v>0</v>
      </c>
      <c r="M5627" t="n">
        <v>0</v>
      </c>
      <c r="N5627" t="n">
        <v>0</v>
      </c>
      <c r="O5627" t="n">
        <v>0</v>
      </c>
      <c r="P5627" t="n">
        <v>0</v>
      </c>
      <c r="Q5627" t="n">
        <v>0</v>
      </c>
      <c r="R5627" s="2" t="inlineStr"/>
    </row>
    <row r="5628" ht="15" customHeight="1">
      <c r="A5628" t="inlineStr">
        <is>
          <t>A 55531-2022</t>
        </is>
      </c>
      <c r="B5628" s="1" t="n">
        <v>44887</v>
      </c>
      <c r="C5628" s="1" t="n">
        <v>45182</v>
      </c>
      <c r="D5628" t="inlineStr">
        <is>
          <t>JÄMTLANDS LÄN</t>
        </is>
      </c>
      <c r="E5628" t="inlineStr">
        <is>
          <t>STRÖMSUND</t>
        </is>
      </c>
      <c r="G5628" t="n">
        <v>2.6</v>
      </c>
      <c r="H5628" t="n">
        <v>0</v>
      </c>
      <c r="I5628" t="n">
        <v>0</v>
      </c>
      <c r="J5628" t="n">
        <v>0</v>
      </c>
      <c r="K5628" t="n">
        <v>0</v>
      </c>
      <c r="L5628" t="n">
        <v>0</v>
      </c>
      <c r="M5628" t="n">
        <v>0</v>
      </c>
      <c r="N5628" t="n">
        <v>0</v>
      </c>
      <c r="O5628" t="n">
        <v>0</v>
      </c>
      <c r="P5628" t="n">
        <v>0</v>
      </c>
      <c r="Q5628" t="n">
        <v>0</v>
      </c>
      <c r="R5628" s="2" t="inlineStr"/>
    </row>
    <row r="5629" ht="15" customHeight="1">
      <c r="A5629" t="inlineStr">
        <is>
          <t>A 56016-2022</t>
        </is>
      </c>
      <c r="B5629" s="1" t="n">
        <v>44887</v>
      </c>
      <c r="C5629" s="1" t="n">
        <v>45182</v>
      </c>
      <c r="D5629" t="inlineStr">
        <is>
          <t>JÄMTLANDS LÄN</t>
        </is>
      </c>
      <c r="E5629" t="inlineStr">
        <is>
          <t>RAGUNDA</t>
        </is>
      </c>
      <c r="G5629" t="n">
        <v>2.9</v>
      </c>
      <c r="H5629" t="n">
        <v>0</v>
      </c>
      <c r="I5629" t="n">
        <v>0</v>
      </c>
      <c r="J5629" t="n">
        <v>0</v>
      </c>
      <c r="K5629" t="n">
        <v>0</v>
      </c>
      <c r="L5629" t="n">
        <v>0</v>
      </c>
      <c r="M5629" t="n">
        <v>0</v>
      </c>
      <c r="N5629" t="n">
        <v>0</v>
      </c>
      <c r="O5629" t="n">
        <v>0</v>
      </c>
      <c r="P5629" t="n">
        <v>0</v>
      </c>
      <c r="Q5629" t="n">
        <v>0</v>
      </c>
      <c r="R5629" s="2" t="inlineStr"/>
    </row>
    <row r="5630" ht="15" customHeight="1">
      <c r="A5630" t="inlineStr">
        <is>
          <t>A 55520-2022</t>
        </is>
      </c>
      <c r="B5630" s="1" t="n">
        <v>44887</v>
      </c>
      <c r="C5630" s="1" t="n">
        <v>45182</v>
      </c>
      <c r="D5630" t="inlineStr">
        <is>
          <t>JÄMTLANDS LÄN</t>
        </is>
      </c>
      <c r="E5630" t="inlineStr">
        <is>
          <t>BRÄCKE</t>
        </is>
      </c>
      <c r="F5630" t="inlineStr">
        <is>
          <t>SCA</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56019-2022</t>
        </is>
      </c>
      <c r="B5631" s="1" t="n">
        <v>44887</v>
      </c>
      <c r="C5631" s="1" t="n">
        <v>45182</v>
      </c>
      <c r="D5631" t="inlineStr">
        <is>
          <t>JÄMTLANDS LÄN</t>
        </is>
      </c>
      <c r="E5631" t="inlineStr">
        <is>
          <t>RAGUNDA</t>
        </is>
      </c>
      <c r="G5631" t="n">
        <v>1.8</v>
      </c>
      <c r="H5631" t="n">
        <v>0</v>
      </c>
      <c r="I5631" t="n">
        <v>0</v>
      </c>
      <c r="J5631" t="n">
        <v>0</v>
      </c>
      <c r="K5631" t="n">
        <v>0</v>
      </c>
      <c r="L5631" t="n">
        <v>0</v>
      </c>
      <c r="M5631" t="n">
        <v>0</v>
      </c>
      <c r="N5631" t="n">
        <v>0</v>
      </c>
      <c r="O5631" t="n">
        <v>0</v>
      </c>
      <c r="P5631" t="n">
        <v>0</v>
      </c>
      <c r="Q5631" t="n">
        <v>0</v>
      </c>
      <c r="R5631" s="2" t="inlineStr"/>
    </row>
    <row r="5632" ht="15" customHeight="1">
      <c r="A5632" t="inlineStr">
        <is>
          <t>A 55904-2022</t>
        </is>
      </c>
      <c r="B5632" s="1" t="n">
        <v>44888</v>
      </c>
      <c r="C5632" s="1" t="n">
        <v>45182</v>
      </c>
      <c r="D5632" t="inlineStr">
        <is>
          <t>JÄMTLANDS LÄN</t>
        </is>
      </c>
      <c r="E5632" t="inlineStr">
        <is>
          <t>RAGUNDA</t>
        </is>
      </c>
      <c r="F5632" t="inlineStr">
        <is>
          <t>SCA</t>
        </is>
      </c>
      <c r="G5632" t="n">
        <v>1.2</v>
      </c>
      <c r="H5632" t="n">
        <v>0</v>
      </c>
      <c r="I5632" t="n">
        <v>0</v>
      </c>
      <c r="J5632" t="n">
        <v>0</v>
      </c>
      <c r="K5632" t="n">
        <v>0</v>
      </c>
      <c r="L5632" t="n">
        <v>0</v>
      </c>
      <c r="M5632" t="n">
        <v>0</v>
      </c>
      <c r="N5632" t="n">
        <v>0</v>
      </c>
      <c r="O5632" t="n">
        <v>0</v>
      </c>
      <c r="P5632" t="n">
        <v>0</v>
      </c>
      <c r="Q5632" t="n">
        <v>0</v>
      </c>
      <c r="R5632" s="2" t="inlineStr"/>
    </row>
    <row r="5633" ht="15" customHeight="1">
      <c r="A5633" t="inlineStr">
        <is>
          <t>A 56111-2022</t>
        </is>
      </c>
      <c r="B5633" s="1" t="n">
        <v>44889</v>
      </c>
      <c r="C5633" s="1" t="n">
        <v>45182</v>
      </c>
      <c r="D5633" t="inlineStr">
        <is>
          <t>JÄMTLANDS LÄN</t>
        </is>
      </c>
      <c r="E5633" t="inlineStr">
        <is>
          <t>ÖSTERSUND</t>
        </is>
      </c>
      <c r="G5633" t="n">
        <v>2.5</v>
      </c>
      <c r="H5633" t="n">
        <v>0</v>
      </c>
      <c r="I5633" t="n">
        <v>0</v>
      </c>
      <c r="J5633" t="n">
        <v>0</v>
      </c>
      <c r="K5633" t="n">
        <v>0</v>
      </c>
      <c r="L5633" t="n">
        <v>0</v>
      </c>
      <c r="M5633" t="n">
        <v>0</v>
      </c>
      <c r="N5633" t="n">
        <v>0</v>
      </c>
      <c r="O5633" t="n">
        <v>0</v>
      </c>
      <c r="P5633" t="n">
        <v>0</v>
      </c>
      <c r="Q5633" t="n">
        <v>0</v>
      </c>
      <c r="R5633" s="2" t="inlineStr"/>
    </row>
    <row r="5634" ht="15" customHeight="1">
      <c r="A5634" t="inlineStr">
        <is>
          <t>A 56186-2022</t>
        </is>
      </c>
      <c r="B5634" s="1" t="n">
        <v>44889</v>
      </c>
      <c r="C5634" s="1" t="n">
        <v>45182</v>
      </c>
      <c r="D5634" t="inlineStr">
        <is>
          <t>JÄMTLANDS LÄN</t>
        </is>
      </c>
      <c r="E5634" t="inlineStr">
        <is>
          <t>RAGUNDA</t>
        </is>
      </c>
      <c r="F5634" t="inlineStr">
        <is>
          <t>Sveaskog</t>
        </is>
      </c>
      <c r="G5634" t="n">
        <v>6</v>
      </c>
      <c r="H5634" t="n">
        <v>0</v>
      </c>
      <c r="I5634" t="n">
        <v>0</v>
      </c>
      <c r="J5634" t="n">
        <v>0</v>
      </c>
      <c r="K5634" t="n">
        <v>0</v>
      </c>
      <c r="L5634" t="n">
        <v>0</v>
      </c>
      <c r="M5634" t="n">
        <v>0</v>
      </c>
      <c r="N5634" t="n">
        <v>0</v>
      </c>
      <c r="O5634" t="n">
        <v>0</v>
      </c>
      <c r="P5634" t="n">
        <v>0</v>
      </c>
      <c r="Q5634" t="n">
        <v>0</v>
      </c>
      <c r="R5634" s="2" t="inlineStr"/>
    </row>
    <row r="5635" ht="15" customHeight="1">
      <c r="A5635" t="inlineStr">
        <is>
          <t>A 55944-2022</t>
        </is>
      </c>
      <c r="B5635" s="1" t="n">
        <v>44889</v>
      </c>
      <c r="C5635" s="1" t="n">
        <v>45182</v>
      </c>
      <c r="D5635" t="inlineStr">
        <is>
          <t>JÄMTLANDS LÄN</t>
        </is>
      </c>
      <c r="E5635" t="inlineStr">
        <is>
          <t>ÅRE</t>
        </is>
      </c>
      <c r="G5635" t="n">
        <v>11.1</v>
      </c>
      <c r="H5635" t="n">
        <v>0</v>
      </c>
      <c r="I5635" t="n">
        <v>0</v>
      </c>
      <c r="J5635" t="n">
        <v>0</v>
      </c>
      <c r="K5635" t="n">
        <v>0</v>
      </c>
      <c r="L5635" t="n">
        <v>0</v>
      </c>
      <c r="M5635" t="n">
        <v>0</v>
      </c>
      <c r="N5635" t="n">
        <v>0</v>
      </c>
      <c r="O5635" t="n">
        <v>0</v>
      </c>
      <c r="P5635" t="n">
        <v>0</v>
      </c>
      <c r="Q5635" t="n">
        <v>0</v>
      </c>
      <c r="R5635" s="2" t="inlineStr"/>
    </row>
    <row r="5636" ht="15" customHeight="1">
      <c r="A5636" t="inlineStr">
        <is>
          <t>A 56166-2022</t>
        </is>
      </c>
      <c r="B5636" s="1" t="n">
        <v>44889</v>
      </c>
      <c r="C5636" s="1" t="n">
        <v>45182</v>
      </c>
      <c r="D5636" t="inlineStr">
        <is>
          <t>JÄMTLANDS LÄN</t>
        </is>
      </c>
      <c r="E5636" t="inlineStr">
        <is>
          <t>KROKOM</t>
        </is>
      </c>
      <c r="G5636" t="n">
        <v>17.6</v>
      </c>
      <c r="H5636" t="n">
        <v>0</v>
      </c>
      <c r="I5636" t="n">
        <v>0</v>
      </c>
      <c r="J5636" t="n">
        <v>0</v>
      </c>
      <c r="K5636" t="n">
        <v>0</v>
      </c>
      <c r="L5636" t="n">
        <v>0</v>
      </c>
      <c r="M5636" t="n">
        <v>0</v>
      </c>
      <c r="N5636" t="n">
        <v>0</v>
      </c>
      <c r="O5636" t="n">
        <v>0</v>
      </c>
      <c r="P5636" t="n">
        <v>0</v>
      </c>
      <c r="Q5636" t="n">
        <v>0</v>
      </c>
      <c r="R5636" s="2" t="inlineStr"/>
    </row>
    <row r="5637" ht="15" customHeight="1">
      <c r="A5637" t="inlineStr">
        <is>
          <t>A 56196-2022</t>
        </is>
      </c>
      <c r="B5637" s="1" t="n">
        <v>44889</v>
      </c>
      <c r="C5637" s="1" t="n">
        <v>45182</v>
      </c>
      <c r="D5637" t="inlineStr">
        <is>
          <t>JÄMTLANDS LÄN</t>
        </is>
      </c>
      <c r="E5637" t="inlineStr">
        <is>
          <t>STRÖMSUND</t>
        </is>
      </c>
      <c r="F5637" t="inlineStr">
        <is>
          <t>SCA</t>
        </is>
      </c>
      <c r="G5637" t="n">
        <v>5.5</v>
      </c>
      <c r="H5637" t="n">
        <v>0</v>
      </c>
      <c r="I5637" t="n">
        <v>0</v>
      </c>
      <c r="J5637" t="n">
        <v>0</v>
      </c>
      <c r="K5637" t="n">
        <v>0</v>
      </c>
      <c r="L5637" t="n">
        <v>0</v>
      </c>
      <c r="M5637" t="n">
        <v>0</v>
      </c>
      <c r="N5637" t="n">
        <v>0</v>
      </c>
      <c r="O5637" t="n">
        <v>0</v>
      </c>
      <c r="P5637" t="n">
        <v>0</v>
      </c>
      <c r="Q5637" t="n">
        <v>0</v>
      </c>
      <c r="R5637" s="2" t="inlineStr"/>
    </row>
    <row r="5638" ht="15" customHeight="1">
      <c r="A5638" t="inlineStr">
        <is>
          <t>A 57237-2022</t>
        </is>
      </c>
      <c r="B5638" s="1" t="n">
        <v>44889</v>
      </c>
      <c r="C5638" s="1" t="n">
        <v>45182</v>
      </c>
      <c r="D5638" t="inlineStr">
        <is>
          <t>JÄMTLANDS LÄN</t>
        </is>
      </c>
      <c r="E5638" t="inlineStr">
        <is>
          <t>RAGUNDA</t>
        </is>
      </c>
      <c r="G5638" t="n">
        <v>2.2</v>
      </c>
      <c r="H5638" t="n">
        <v>0</v>
      </c>
      <c r="I5638" t="n">
        <v>0</v>
      </c>
      <c r="J5638" t="n">
        <v>0</v>
      </c>
      <c r="K5638" t="n">
        <v>0</v>
      </c>
      <c r="L5638" t="n">
        <v>0</v>
      </c>
      <c r="M5638" t="n">
        <v>0</v>
      </c>
      <c r="N5638" t="n">
        <v>0</v>
      </c>
      <c r="O5638" t="n">
        <v>0</v>
      </c>
      <c r="P5638" t="n">
        <v>0</v>
      </c>
      <c r="Q5638" t="n">
        <v>0</v>
      </c>
      <c r="R5638" s="2" t="inlineStr"/>
    </row>
    <row r="5639" ht="15" customHeight="1">
      <c r="A5639" t="inlineStr">
        <is>
          <t>A 57454-2022</t>
        </is>
      </c>
      <c r="B5639" s="1" t="n">
        <v>44889</v>
      </c>
      <c r="C5639" s="1" t="n">
        <v>45182</v>
      </c>
      <c r="D5639" t="inlineStr">
        <is>
          <t>JÄMTLANDS LÄN</t>
        </is>
      </c>
      <c r="E5639" t="inlineStr">
        <is>
          <t>KROKOM</t>
        </is>
      </c>
      <c r="G5639" t="n">
        <v>1.1</v>
      </c>
      <c r="H5639" t="n">
        <v>0</v>
      </c>
      <c r="I5639" t="n">
        <v>0</v>
      </c>
      <c r="J5639" t="n">
        <v>0</v>
      </c>
      <c r="K5639" t="n">
        <v>0</v>
      </c>
      <c r="L5639" t="n">
        <v>0</v>
      </c>
      <c r="M5639" t="n">
        <v>0</v>
      </c>
      <c r="N5639" t="n">
        <v>0</v>
      </c>
      <c r="O5639" t="n">
        <v>0</v>
      </c>
      <c r="P5639" t="n">
        <v>0</v>
      </c>
      <c r="Q5639" t="n">
        <v>0</v>
      </c>
      <c r="R5639" s="2" t="inlineStr"/>
    </row>
    <row r="5640" ht="15" customHeight="1">
      <c r="A5640" t="inlineStr">
        <is>
          <t>A 56193-2022</t>
        </is>
      </c>
      <c r="B5640" s="1" t="n">
        <v>44889</v>
      </c>
      <c r="C5640" s="1" t="n">
        <v>45182</v>
      </c>
      <c r="D5640" t="inlineStr">
        <is>
          <t>JÄMTLANDS LÄN</t>
        </is>
      </c>
      <c r="E5640" t="inlineStr">
        <is>
          <t>RAGUNDA</t>
        </is>
      </c>
      <c r="F5640" t="inlineStr">
        <is>
          <t>Sveaskog</t>
        </is>
      </c>
      <c r="G5640" t="n">
        <v>4.2</v>
      </c>
      <c r="H5640" t="n">
        <v>0</v>
      </c>
      <c r="I5640" t="n">
        <v>0</v>
      </c>
      <c r="J5640" t="n">
        <v>0</v>
      </c>
      <c r="K5640" t="n">
        <v>0</v>
      </c>
      <c r="L5640" t="n">
        <v>0</v>
      </c>
      <c r="M5640" t="n">
        <v>0</v>
      </c>
      <c r="N5640" t="n">
        <v>0</v>
      </c>
      <c r="O5640" t="n">
        <v>0</v>
      </c>
      <c r="P5640" t="n">
        <v>0</v>
      </c>
      <c r="Q5640" t="n">
        <v>0</v>
      </c>
      <c r="R5640" s="2" t="inlineStr"/>
    </row>
    <row r="5641" ht="15" customHeight="1">
      <c r="A5641" t="inlineStr">
        <is>
          <t>A 57223-2022</t>
        </is>
      </c>
      <c r="B5641" s="1" t="n">
        <v>44889</v>
      </c>
      <c r="C5641" s="1" t="n">
        <v>45182</v>
      </c>
      <c r="D5641" t="inlineStr">
        <is>
          <t>JÄMTLANDS LÄN</t>
        </is>
      </c>
      <c r="E5641" t="inlineStr">
        <is>
          <t>HÄRJEDALEN</t>
        </is>
      </c>
      <c r="G5641" t="n">
        <v>1.4</v>
      </c>
      <c r="H5641" t="n">
        <v>0</v>
      </c>
      <c r="I5641" t="n">
        <v>0</v>
      </c>
      <c r="J5641" t="n">
        <v>0</v>
      </c>
      <c r="K5641" t="n">
        <v>0</v>
      </c>
      <c r="L5641" t="n">
        <v>0</v>
      </c>
      <c r="M5641" t="n">
        <v>0</v>
      </c>
      <c r="N5641" t="n">
        <v>0</v>
      </c>
      <c r="O5641" t="n">
        <v>0</v>
      </c>
      <c r="P5641" t="n">
        <v>0</v>
      </c>
      <c r="Q5641" t="n">
        <v>0</v>
      </c>
      <c r="R5641" s="2" t="inlineStr"/>
    </row>
    <row r="5642" ht="15" customHeight="1">
      <c r="A5642" t="inlineStr">
        <is>
          <t>A 56167-2022</t>
        </is>
      </c>
      <c r="B5642" s="1" t="n">
        <v>44889</v>
      </c>
      <c r="C5642" s="1" t="n">
        <v>45182</v>
      </c>
      <c r="D5642" t="inlineStr">
        <is>
          <t>JÄMTLANDS LÄN</t>
        </is>
      </c>
      <c r="E5642" t="inlineStr">
        <is>
          <t>KROKOM</t>
        </is>
      </c>
      <c r="G5642" t="n">
        <v>8.300000000000001</v>
      </c>
      <c r="H5642" t="n">
        <v>0</v>
      </c>
      <c r="I5642" t="n">
        <v>0</v>
      </c>
      <c r="J5642" t="n">
        <v>0</v>
      </c>
      <c r="K5642" t="n">
        <v>0</v>
      </c>
      <c r="L5642" t="n">
        <v>0</v>
      </c>
      <c r="M5642" t="n">
        <v>0</v>
      </c>
      <c r="N5642" t="n">
        <v>0</v>
      </c>
      <c r="O5642" t="n">
        <v>0</v>
      </c>
      <c r="P5642" t="n">
        <v>0</v>
      </c>
      <c r="Q5642" t="n">
        <v>0</v>
      </c>
      <c r="R5642" s="2" t="inlineStr"/>
    </row>
    <row r="5643" ht="15" customHeight="1">
      <c r="A5643" t="inlineStr">
        <is>
          <t>A 56182-2022</t>
        </is>
      </c>
      <c r="B5643" s="1" t="n">
        <v>44889</v>
      </c>
      <c r="C5643" s="1" t="n">
        <v>45182</v>
      </c>
      <c r="D5643" t="inlineStr">
        <is>
          <t>JÄMTLANDS LÄN</t>
        </is>
      </c>
      <c r="E5643" t="inlineStr">
        <is>
          <t>ÅRE</t>
        </is>
      </c>
      <c r="G5643" t="n">
        <v>42.3</v>
      </c>
      <c r="H5643" t="n">
        <v>0</v>
      </c>
      <c r="I5643" t="n">
        <v>0</v>
      </c>
      <c r="J5643" t="n">
        <v>0</v>
      </c>
      <c r="K5643" t="n">
        <v>0</v>
      </c>
      <c r="L5643" t="n">
        <v>0</v>
      </c>
      <c r="M5643" t="n">
        <v>0</v>
      </c>
      <c r="N5643" t="n">
        <v>0</v>
      </c>
      <c r="O5643" t="n">
        <v>0</v>
      </c>
      <c r="P5643" t="n">
        <v>0</v>
      </c>
      <c r="Q5643" t="n">
        <v>0</v>
      </c>
      <c r="R5643" s="2" t="inlineStr"/>
    </row>
    <row r="5644" ht="15" customHeight="1">
      <c r="A5644" t="inlineStr">
        <is>
          <t>A 57754-2022</t>
        </is>
      </c>
      <c r="B5644" s="1" t="n">
        <v>44890</v>
      </c>
      <c r="C5644" s="1" t="n">
        <v>45182</v>
      </c>
      <c r="D5644" t="inlineStr">
        <is>
          <t>JÄMTLANDS LÄN</t>
        </is>
      </c>
      <c r="E5644" t="inlineStr">
        <is>
          <t>STRÖMSUND</t>
        </is>
      </c>
      <c r="F5644" t="inlineStr">
        <is>
          <t>Kyrkan</t>
        </is>
      </c>
      <c r="G5644" t="n">
        <v>1.6</v>
      </c>
      <c r="H5644" t="n">
        <v>0</v>
      </c>
      <c r="I5644" t="n">
        <v>0</v>
      </c>
      <c r="J5644" t="n">
        <v>0</v>
      </c>
      <c r="K5644" t="n">
        <v>0</v>
      </c>
      <c r="L5644" t="n">
        <v>0</v>
      </c>
      <c r="M5644" t="n">
        <v>0</v>
      </c>
      <c r="N5644" t="n">
        <v>0</v>
      </c>
      <c r="O5644" t="n">
        <v>0</v>
      </c>
      <c r="P5644" t="n">
        <v>0</v>
      </c>
      <c r="Q5644" t="n">
        <v>0</v>
      </c>
      <c r="R5644" s="2" t="inlineStr"/>
    </row>
    <row r="5645" ht="15" customHeight="1">
      <c r="A5645" t="inlineStr">
        <is>
          <t>A 56413-2022</t>
        </is>
      </c>
      <c r="B5645" s="1" t="n">
        <v>44890</v>
      </c>
      <c r="C5645" s="1" t="n">
        <v>45182</v>
      </c>
      <c r="D5645" t="inlineStr">
        <is>
          <t>JÄMTLANDS LÄN</t>
        </is>
      </c>
      <c r="E5645" t="inlineStr">
        <is>
          <t>STRÖMSUND</t>
        </is>
      </c>
      <c r="F5645" t="inlineStr">
        <is>
          <t>SCA</t>
        </is>
      </c>
      <c r="G5645" t="n">
        <v>2.9</v>
      </c>
      <c r="H5645" t="n">
        <v>0</v>
      </c>
      <c r="I5645" t="n">
        <v>0</v>
      </c>
      <c r="J5645" t="n">
        <v>0</v>
      </c>
      <c r="K5645" t="n">
        <v>0</v>
      </c>
      <c r="L5645" t="n">
        <v>0</v>
      </c>
      <c r="M5645" t="n">
        <v>0</v>
      </c>
      <c r="N5645" t="n">
        <v>0</v>
      </c>
      <c r="O5645" t="n">
        <v>0</v>
      </c>
      <c r="P5645" t="n">
        <v>0</v>
      </c>
      <c r="Q5645" t="n">
        <v>0</v>
      </c>
      <c r="R5645" s="2" t="inlineStr"/>
    </row>
    <row r="5646" ht="15" customHeight="1">
      <c r="A5646" t="inlineStr">
        <is>
          <t>A 56255-2022</t>
        </is>
      </c>
      <c r="B5646" s="1" t="n">
        <v>44890</v>
      </c>
      <c r="C5646" s="1" t="n">
        <v>45182</v>
      </c>
      <c r="D5646" t="inlineStr">
        <is>
          <t>JÄMTLANDS LÄN</t>
        </is>
      </c>
      <c r="E5646" t="inlineStr">
        <is>
          <t>KROKOM</t>
        </is>
      </c>
      <c r="F5646" t="inlineStr">
        <is>
          <t>Övriga Aktiebolag</t>
        </is>
      </c>
      <c r="G5646" t="n">
        <v>2.8</v>
      </c>
      <c r="H5646" t="n">
        <v>0</v>
      </c>
      <c r="I5646" t="n">
        <v>0</v>
      </c>
      <c r="J5646" t="n">
        <v>0</v>
      </c>
      <c r="K5646" t="n">
        <v>0</v>
      </c>
      <c r="L5646" t="n">
        <v>0</v>
      </c>
      <c r="M5646" t="n">
        <v>0</v>
      </c>
      <c r="N5646" t="n">
        <v>0</v>
      </c>
      <c r="O5646" t="n">
        <v>0</v>
      </c>
      <c r="P5646" t="n">
        <v>0</v>
      </c>
      <c r="Q5646" t="n">
        <v>0</v>
      </c>
      <c r="R5646" s="2" t="inlineStr"/>
    </row>
    <row r="5647" ht="15" customHeight="1">
      <c r="A5647" t="inlineStr">
        <is>
          <t>A 56412-2022</t>
        </is>
      </c>
      <c r="B5647" s="1" t="n">
        <v>44890</v>
      </c>
      <c r="C5647" s="1" t="n">
        <v>45182</v>
      </c>
      <c r="D5647" t="inlineStr">
        <is>
          <t>JÄMTLANDS LÄN</t>
        </is>
      </c>
      <c r="E5647" t="inlineStr">
        <is>
          <t>STRÖMSUND</t>
        </is>
      </c>
      <c r="F5647" t="inlineStr">
        <is>
          <t>SCA</t>
        </is>
      </c>
      <c r="G5647" t="n">
        <v>8.699999999999999</v>
      </c>
      <c r="H5647" t="n">
        <v>0</v>
      </c>
      <c r="I5647" t="n">
        <v>0</v>
      </c>
      <c r="J5647" t="n">
        <v>0</v>
      </c>
      <c r="K5647" t="n">
        <v>0</v>
      </c>
      <c r="L5647" t="n">
        <v>0</v>
      </c>
      <c r="M5647" t="n">
        <v>0</v>
      </c>
      <c r="N5647" t="n">
        <v>0</v>
      </c>
      <c r="O5647" t="n">
        <v>0</v>
      </c>
      <c r="P5647" t="n">
        <v>0</v>
      </c>
      <c r="Q5647" t="n">
        <v>0</v>
      </c>
      <c r="R5647" s="2" t="inlineStr"/>
    </row>
    <row r="5648" ht="15" customHeight="1">
      <c r="A5648" t="inlineStr">
        <is>
          <t>A 57740-2022</t>
        </is>
      </c>
      <c r="B5648" s="1" t="n">
        <v>44890</v>
      </c>
      <c r="C5648" s="1" t="n">
        <v>45182</v>
      </c>
      <c r="D5648" t="inlineStr">
        <is>
          <t>JÄMTLANDS LÄN</t>
        </is>
      </c>
      <c r="E5648" t="inlineStr">
        <is>
          <t>STRÖMSUND</t>
        </is>
      </c>
      <c r="F5648" t="inlineStr">
        <is>
          <t>Kyrkan</t>
        </is>
      </c>
      <c r="G5648" t="n">
        <v>1</v>
      </c>
      <c r="H5648" t="n">
        <v>0</v>
      </c>
      <c r="I5648" t="n">
        <v>0</v>
      </c>
      <c r="J5648" t="n">
        <v>0</v>
      </c>
      <c r="K5648" t="n">
        <v>0</v>
      </c>
      <c r="L5648" t="n">
        <v>0</v>
      </c>
      <c r="M5648" t="n">
        <v>0</v>
      </c>
      <c r="N5648" t="n">
        <v>0</v>
      </c>
      <c r="O5648" t="n">
        <v>0</v>
      </c>
      <c r="P5648" t="n">
        <v>0</v>
      </c>
      <c r="Q5648" t="n">
        <v>0</v>
      </c>
      <c r="R5648" s="2" t="inlineStr"/>
    </row>
    <row r="5649" ht="15" customHeight="1">
      <c r="A5649" t="inlineStr">
        <is>
          <t>A 57762-2022</t>
        </is>
      </c>
      <c r="B5649" s="1" t="n">
        <v>44890</v>
      </c>
      <c r="C5649" s="1" t="n">
        <v>45182</v>
      </c>
      <c r="D5649" t="inlineStr">
        <is>
          <t>JÄMTLANDS LÄN</t>
        </is>
      </c>
      <c r="E5649" t="inlineStr">
        <is>
          <t>STRÖMSUND</t>
        </is>
      </c>
      <c r="F5649" t="inlineStr">
        <is>
          <t>Kyrkan</t>
        </is>
      </c>
      <c r="G5649" t="n">
        <v>7.1</v>
      </c>
      <c r="H5649" t="n">
        <v>0</v>
      </c>
      <c r="I5649" t="n">
        <v>0</v>
      </c>
      <c r="J5649" t="n">
        <v>0</v>
      </c>
      <c r="K5649" t="n">
        <v>0</v>
      </c>
      <c r="L5649" t="n">
        <v>0</v>
      </c>
      <c r="M5649" t="n">
        <v>0</v>
      </c>
      <c r="N5649" t="n">
        <v>0</v>
      </c>
      <c r="O5649" t="n">
        <v>0</v>
      </c>
      <c r="P5649" t="n">
        <v>0</v>
      </c>
      <c r="Q5649" t="n">
        <v>0</v>
      </c>
      <c r="R5649" s="2" t="inlineStr"/>
    </row>
    <row r="5650" ht="15" customHeight="1">
      <c r="A5650" t="inlineStr">
        <is>
          <t>A 58025-2022</t>
        </is>
      </c>
      <c r="B5650" s="1" t="n">
        <v>44893</v>
      </c>
      <c r="C5650" s="1" t="n">
        <v>45182</v>
      </c>
      <c r="D5650" t="inlineStr">
        <is>
          <t>JÄMTLANDS LÄN</t>
        </is>
      </c>
      <c r="E5650" t="inlineStr">
        <is>
          <t>STRÖMSUND</t>
        </is>
      </c>
      <c r="G5650" t="n">
        <v>8.5</v>
      </c>
      <c r="H5650" t="n">
        <v>0</v>
      </c>
      <c r="I5650" t="n">
        <v>0</v>
      </c>
      <c r="J5650" t="n">
        <v>0</v>
      </c>
      <c r="K5650" t="n">
        <v>0</v>
      </c>
      <c r="L5650" t="n">
        <v>0</v>
      </c>
      <c r="M5650" t="n">
        <v>0</v>
      </c>
      <c r="N5650" t="n">
        <v>0</v>
      </c>
      <c r="O5650" t="n">
        <v>0</v>
      </c>
      <c r="P5650" t="n">
        <v>0</v>
      </c>
      <c r="Q5650" t="n">
        <v>0</v>
      </c>
      <c r="R5650" s="2" t="inlineStr"/>
    </row>
    <row r="5651" ht="15" customHeight="1">
      <c r="A5651" t="inlineStr">
        <is>
          <t>A 56533-2022</t>
        </is>
      </c>
      <c r="B5651" s="1" t="n">
        <v>44893</v>
      </c>
      <c r="C5651" s="1" t="n">
        <v>45182</v>
      </c>
      <c r="D5651" t="inlineStr">
        <is>
          <t>JÄMTLANDS LÄN</t>
        </is>
      </c>
      <c r="E5651" t="inlineStr">
        <is>
          <t>HÄRJEDALEN</t>
        </is>
      </c>
      <c r="F5651" t="inlineStr">
        <is>
          <t>Bergvik skog väst AB</t>
        </is>
      </c>
      <c r="G5651" t="n">
        <v>3</v>
      </c>
      <c r="H5651" t="n">
        <v>0</v>
      </c>
      <c r="I5651" t="n">
        <v>0</v>
      </c>
      <c r="J5651" t="n">
        <v>0</v>
      </c>
      <c r="K5651" t="n">
        <v>0</v>
      </c>
      <c r="L5651" t="n">
        <v>0</v>
      </c>
      <c r="M5651" t="n">
        <v>0</v>
      </c>
      <c r="N5651" t="n">
        <v>0</v>
      </c>
      <c r="O5651" t="n">
        <v>0</v>
      </c>
      <c r="P5651" t="n">
        <v>0</v>
      </c>
      <c r="Q5651" t="n">
        <v>0</v>
      </c>
      <c r="R5651" s="2" t="inlineStr"/>
    </row>
    <row r="5652" ht="15" customHeight="1">
      <c r="A5652" t="inlineStr">
        <is>
          <t>A 56630-2022</t>
        </is>
      </c>
      <c r="B5652" s="1" t="n">
        <v>44893</v>
      </c>
      <c r="C5652" s="1" t="n">
        <v>45182</v>
      </c>
      <c r="D5652" t="inlineStr">
        <is>
          <t>JÄMTLANDS LÄN</t>
        </is>
      </c>
      <c r="E5652" t="inlineStr">
        <is>
          <t>RAGUNDA</t>
        </is>
      </c>
      <c r="G5652" t="n">
        <v>1.9</v>
      </c>
      <c r="H5652" t="n">
        <v>0</v>
      </c>
      <c r="I5652" t="n">
        <v>0</v>
      </c>
      <c r="J5652" t="n">
        <v>0</v>
      </c>
      <c r="K5652" t="n">
        <v>0</v>
      </c>
      <c r="L5652" t="n">
        <v>0</v>
      </c>
      <c r="M5652" t="n">
        <v>0</v>
      </c>
      <c r="N5652" t="n">
        <v>0</v>
      </c>
      <c r="O5652" t="n">
        <v>0</v>
      </c>
      <c r="P5652" t="n">
        <v>0</v>
      </c>
      <c r="Q5652" t="n">
        <v>0</v>
      </c>
      <c r="R5652" s="2" t="inlineStr"/>
    </row>
    <row r="5653" ht="15" customHeight="1">
      <c r="A5653" t="inlineStr">
        <is>
          <t>A 56641-2022</t>
        </is>
      </c>
      <c r="B5653" s="1" t="n">
        <v>44893</v>
      </c>
      <c r="C5653" s="1" t="n">
        <v>45182</v>
      </c>
      <c r="D5653" t="inlineStr">
        <is>
          <t>JÄMTLANDS LÄN</t>
        </is>
      </c>
      <c r="E5653" t="inlineStr">
        <is>
          <t>BRÄCKE</t>
        </is>
      </c>
      <c r="G5653" t="n">
        <v>6.9</v>
      </c>
      <c r="H5653" t="n">
        <v>0</v>
      </c>
      <c r="I5653" t="n">
        <v>0</v>
      </c>
      <c r="J5653" t="n">
        <v>0</v>
      </c>
      <c r="K5653" t="n">
        <v>0</v>
      </c>
      <c r="L5653" t="n">
        <v>0</v>
      </c>
      <c r="M5653" t="n">
        <v>0</v>
      </c>
      <c r="N5653" t="n">
        <v>0</v>
      </c>
      <c r="O5653" t="n">
        <v>0</v>
      </c>
      <c r="P5653" t="n">
        <v>0</v>
      </c>
      <c r="Q5653" t="n">
        <v>0</v>
      </c>
      <c r="R5653" s="2" t="inlineStr"/>
    </row>
    <row r="5654" ht="15" customHeight="1">
      <c r="A5654" t="inlineStr">
        <is>
          <t>A 58037-2022</t>
        </is>
      </c>
      <c r="B5654" s="1" t="n">
        <v>44893</v>
      </c>
      <c r="C5654" s="1" t="n">
        <v>45182</v>
      </c>
      <c r="D5654" t="inlineStr">
        <is>
          <t>JÄMTLANDS LÄN</t>
        </is>
      </c>
      <c r="E5654" t="inlineStr">
        <is>
          <t>STRÖMSUND</t>
        </is>
      </c>
      <c r="G5654" t="n">
        <v>7.5</v>
      </c>
      <c r="H5654" t="n">
        <v>0</v>
      </c>
      <c r="I5654" t="n">
        <v>0</v>
      </c>
      <c r="J5654" t="n">
        <v>0</v>
      </c>
      <c r="K5654" t="n">
        <v>0</v>
      </c>
      <c r="L5654" t="n">
        <v>0</v>
      </c>
      <c r="M5654" t="n">
        <v>0</v>
      </c>
      <c r="N5654" t="n">
        <v>0</v>
      </c>
      <c r="O5654" t="n">
        <v>0</v>
      </c>
      <c r="P5654" t="n">
        <v>0</v>
      </c>
      <c r="Q5654" t="n">
        <v>0</v>
      </c>
      <c r="R5654" s="2" t="inlineStr"/>
    </row>
    <row r="5655" ht="15" customHeight="1">
      <c r="A5655" t="inlineStr">
        <is>
          <t>A 56576-2022</t>
        </is>
      </c>
      <c r="B5655" s="1" t="n">
        <v>44893</v>
      </c>
      <c r="C5655" s="1" t="n">
        <v>45182</v>
      </c>
      <c r="D5655" t="inlineStr">
        <is>
          <t>JÄMTLANDS LÄN</t>
        </is>
      </c>
      <c r="E5655" t="inlineStr">
        <is>
          <t>ÅRE</t>
        </is>
      </c>
      <c r="F5655" t="inlineStr">
        <is>
          <t>Övriga Aktiebolag</t>
        </is>
      </c>
      <c r="G5655" t="n">
        <v>1.1</v>
      </c>
      <c r="H5655" t="n">
        <v>0</v>
      </c>
      <c r="I5655" t="n">
        <v>0</v>
      </c>
      <c r="J5655" t="n">
        <v>0</v>
      </c>
      <c r="K5655" t="n">
        <v>0</v>
      </c>
      <c r="L5655" t="n">
        <v>0</v>
      </c>
      <c r="M5655" t="n">
        <v>0</v>
      </c>
      <c r="N5655" t="n">
        <v>0</v>
      </c>
      <c r="O5655" t="n">
        <v>0</v>
      </c>
      <c r="P5655" t="n">
        <v>0</v>
      </c>
      <c r="Q5655" t="n">
        <v>0</v>
      </c>
      <c r="R5655" s="2" t="inlineStr"/>
    </row>
    <row r="5656" ht="15" customHeight="1">
      <c r="A5656" t="inlineStr">
        <is>
          <t>A 56739-2022</t>
        </is>
      </c>
      <c r="B5656" s="1" t="n">
        <v>44893</v>
      </c>
      <c r="C5656" s="1" t="n">
        <v>45182</v>
      </c>
      <c r="D5656" t="inlineStr">
        <is>
          <t>JÄMTLANDS LÄN</t>
        </is>
      </c>
      <c r="E5656" t="inlineStr">
        <is>
          <t>BRÄCKE</t>
        </is>
      </c>
      <c r="F5656" t="inlineStr">
        <is>
          <t>SCA</t>
        </is>
      </c>
      <c r="G5656" t="n">
        <v>5.6</v>
      </c>
      <c r="H5656" t="n">
        <v>0</v>
      </c>
      <c r="I5656" t="n">
        <v>0</v>
      </c>
      <c r="J5656" t="n">
        <v>0</v>
      </c>
      <c r="K5656" t="n">
        <v>0</v>
      </c>
      <c r="L5656" t="n">
        <v>0</v>
      </c>
      <c r="M5656" t="n">
        <v>0</v>
      </c>
      <c r="N5656" t="n">
        <v>0</v>
      </c>
      <c r="O5656" t="n">
        <v>0</v>
      </c>
      <c r="P5656" t="n">
        <v>0</v>
      </c>
      <c r="Q5656" t="n">
        <v>0</v>
      </c>
      <c r="R5656" s="2" t="inlineStr"/>
    </row>
    <row r="5657" ht="15" customHeight="1">
      <c r="A5657" t="inlineStr">
        <is>
          <t>A 58031-2022</t>
        </is>
      </c>
      <c r="B5657" s="1" t="n">
        <v>44893</v>
      </c>
      <c r="C5657" s="1" t="n">
        <v>45182</v>
      </c>
      <c r="D5657" t="inlineStr">
        <is>
          <t>JÄMTLANDS LÄN</t>
        </is>
      </c>
      <c r="E5657" t="inlineStr">
        <is>
          <t>STRÖMSUND</t>
        </is>
      </c>
      <c r="G5657" t="n">
        <v>2.2</v>
      </c>
      <c r="H5657" t="n">
        <v>0</v>
      </c>
      <c r="I5657" t="n">
        <v>0</v>
      </c>
      <c r="J5657" t="n">
        <v>0</v>
      </c>
      <c r="K5657" t="n">
        <v>0</v>
      </c>
      <c r="L5657" t="n">
        <v>0</v>
      </c>
      <c r="M5657" t="n">
        <v>0</v>
      </c>
      <c r="N5657" t="n">
        <v>0</v>
      </c>
      <c r="O5657" t="n">
        <v>0</v>
      </c>
      <c r="P5657" t="n">
        <v>0</v>
      </c>
      <c r="Q5657" t="n">
        <v>0</v>
      </c>
      <c r="R5657" s="2" t="inlineStr"/>
    </row>
    <row r="5658" ht="15" customHeight="1">
      <c r="A5658" t="inlineStr">
        <is>
          <t>A 58052-2022</t>
        </is>
      </c>
      <c r="B5658" s="1" t="n">
        <v>44893</v>
      </c>
      <c r="C5658" s="1" t="n">
        <v>45182</v>
      </c>
      <c r="D5658" t="inlineStr">
        <is>
          <t>JÄMTLANDS LÄN</t>
        </is>
      </c>
      <c r="E5658" t="inlineStr">
        <is>
          <t>KROKOM</t>
        </is>
      </c>
      <c r="G5658" t="n">
        <v>0.6</v>
      </c>
      <c r="H5658" t="n">
        <v>0</v>
      </c>
      <c r="I5658" t="n">
        <v>0</v>
      </c>
      <c r="J5658" t="n">
        <v>0</v>
      </c>
      <c r="K5658" t="n">
        <v>0</v>
      </c>
      <c r="L5658" t="n">
        <v>0</v>
      </c>
      <c r="M5658" t="n">
        <v>0</v>
      </c>
      <c r="N5658" t="n">
        <v>0</v>
      </c>
      <c r="O5658" t="n">
        <v>0</v>
      </c>
      <c r="P5658" t="n">
        <v>0</v>
      </c>
      <c r="Q5658" t="n">
        <v>0</v>
      </c>
      <c r="R5658" s="2" t="inlineStr"/>
    </row>
    <row r="5659" ht="15" customHeight="1">
      <c r="A5659" t="inlineStr">
        <is>
          <t>A 58337-2022</t>
        </is>
      </c>
      <c r="B5659" s="1" t="n">
        <v>44893</v>
      </c>
      <c r="C5659" s="1" t="n">
        <v>45182</v>
      </c>
      <c r="D5659" t="inlineStr">
        <is>
          <t>JÄMTLANDS LÄN</t>
        </is>
      </c>
      <c r="E5659" t="inlineStr">
        <is>
          <t>ÅRE</t>
        </is>
      </c>
      <c r="G5659" t="n">
        <v>1.4</v>
      </c>
      <c r="H5659" t="n">
        <v>0</v>
      </c>
      <c r="I5659" t="n">
        <v>0</v>
      </c>
      <c r="J5659" t="n">
        <v>0</v>
      </c>
      <c r="K5659" t="n">
        <v>0</v>
      </c>
      <c r="L5659" t="n">
        <v>0</v>
      </c>
      <c r="M5659" t="n">
        <v>0</v>
      </c>
      <c r="N5659" t="n">
        <v>0</v>
      </c>
      <c r="O5659" t="n">
        <v>0</v>
      </c>
      <c r="P5659" t="n">
        <v>0</v>
      </c>
      <c r="Q5659" t="n">
        <v>0</v>
      </c>
      <c r="R5659" s="2" t="inlineStr"/>
    </row>
    <row r="5660" ht="15" customHeight="1">
      <c r="A5660" t="inlineStr">
        <is>
          <t>A 56656-2022</t>
        </is>
      </c>
      <c r="B5660" s="1" t="n">
        <v>44893</v>
      </c>
      <c r="C5660" s="1" t="n">
        <v>45182</v>
      </c>
      <c r="D5660" t="inlineStr">
        <is>
          <t>JÄMTLANDS LÄN</t>
        </is>
      </c>
      <c r="E5660" t="inlineStr">
        <is>
          <t>BRÄCKE</t>
        </is>
      </c>
      <c r="G5660" t="n">
        <v>8.300000000000001</v>
      </c>
      <c r="H5660" t="n">
        <v>0</v>
      </c>
      <c r="I5660" t="n">
        <v>0</v>
      </c>
      <c r="J5660" t="n">
        <v>0</v>
      </c>
      <c r="K5660" t="n">
        <v>0</v>
      </c>
      <c r="L5660" t="n">
        <v>0</v>
      </c>
      <c r="M5660" t="n">
        <v>0</v>
      </c>
      <c r="N5660" t="n">
        <v>0</v>
      </c>
      <c r="O5660" t="n">
        <v>0</v>
      </c>
      <c r="P5660" t="n">
        <v>0</v>
      </c>
      <c r="Q5660" t="n">
        <v>0</v>
      </c>
      <c r="R5660" s="2" t="inlineStr"/>
    </row>
    <row r="5661" ht="15" customHeight="1">
      <c r="A5661" t="inlineStr">
        <is>
          <t>A 56992-2022</t>
        </is>
      </c>
      <c r="B5661" s="1" t="n">
        <v>44894</v>
      </c>
      <c r="C5661" s="1" t="n">
        <v>45182</v>
      </c>
      <c r="D5661" t="inlineStr">
        <is>
          <t>JÄMTLANDS LÄN</t>
        </is>
      </c>
      <c r="E5661" t="inlineStr">
        <is>
          <t>HÄRJEDALEN</t>
        </is>
      </c>
      <c r="G5661" t="n">
        <v>1.2</v>
      </c>
      <c r="H5661" t="n">
        <v>0</v>
      </c>
      <c r="I5661" t="n">
        <v>0</v>
      </c>
      <c r="J5661" t="n">
        <v>0</v>
      </c>
      <c r="K5661" t="n">
        <v>0</v>
      </c>
      <c r="L5661" t="n">
        <v>0</v>
      </c>
      <c r="M5661" t="n">
        <v>0</v>
      </c>
      <c r="N5661" t="n">
        <v>0</v>
      </c>
      <c r="O5661" t="n">
        <v>0</v>
      </c>
      <c r="P5661" t="n">
        <v>0</v>
      </c>
      <c r="Q5661" t="n">
        <v>0</v>
      </c>
      <c r="R5661" s="2" t="inlineStr"/>
    </row>
    <row r="5662" ht="15" customHeight="1">
      <c r="A5662" t="inlineStr">
        <is>
          <t>A 57002-2022</t>
        </is>
      </c>
      <c r="B5662" s="1" t="n">
        <v>44894</v>
      </c>
      <c r="C5662" s="1" t="n">
        <v>45182</v>
      </c>
      <c r="D5662" t="inlineStr">
        <is>
          <t>JÄMTLANDS LÄN</t>
        </is>
      </c>
      <c r="E5662" t="inlineStr">
        <is>
          <t>STRÖMSUND</t>
        </is>
      </c>
      <c r="F5662" t="inlineStr">
        <is>
          <t>SCA</t>
        </is>
      </c>
      <c r="G5662" t="n">
        <v>4</v>
      </c>
      <c r="H5662" t="n">
        <v>0</v>
      </c>
      <c r="I5662" t="n">
        <v>0</v>
      </c>
      <c r="J5662" t="n">
        <v>0</v>
      </c>
      <c r="K5662" t="n">
        <v>0</v>
      </c>
      <c r="L5662" t="n">
        <v>0</v>
      </c>
      <c r="M5662" t="n">
        <v>0</v>
      </c>
      <c r="N5662" t="n">
        <v>0</v>
      </c>
      <c r="O5662" t="n">
        <v>0</v>
      </c>
      <c r="P5662" t="n">
        <v>0</v>
      </c>
      <c r="Q5662" t="n">
        <v>0</v>
      </c>
      <c r="R5662" s="2" t="inlineStr"/>
    </row>
    <row r="5663" ht="15" customHeight="1">
      <c r="A5663" t="inlineStr">
        <is>
          <t>A 57011-2022</t>
        </is>
      </c>
      <c r="B5663" s="1" t="n">
        <v>44894</v>
      </c>
      <c r="C5663" s="1" t="n">
        <v>45182</v>
      </c>
      <c r="D5663" t="inlineStr">
        <is>
          <t>JÄMTLANDS LÄN</t>
        </is>
      </c>
      <c r="E5663" t="inlineStr">
        <is>
          <t>BRÄCKE</t>
        </is>
      </c>
      <c r="F5663" t="inlineStr">
        <is>
          <t>SCA</t>
        </is>
      </c>
      <c r="G5663" t="n">
        <v>1.7</v>
      </c>
      <c r="H5663" t="n">
        <v>0</v>
      </c>
      <c r="I5663" t="n">
        <v>0</v>
      </c>
      <c r="J5663" t="n">
        <v>0</v>
      </c>
      <c r="K5663" t="n">
        <v>0</v>
      </c>
      <c r="L5663" t="n">
        <v>0</v>
      </c>
      <c r="M5663" t="n">
        <v>0</v>
      </c>
      <c r="N5663" t="n">
        <v>0</v>
      </c>
      <c r="O5663" t="n">
        <v>0</v>
      </c>
      <c r="P5663" t="n">
        <v>0</v>
      </c>
      <c r="Q5663" t="n">
        <v>0</v>
      </c>
      <c r="R5663" s="2" t="inlineStr"/>
    </row>
    <row r="5664" ht="15" customHeight="1">
      <c r="A5664" t="inlineStr">
        <is>
          <t>A 56999-2022</t>
        </is>
      </c>
      <c r="B5664" s="1" t="n">
        <v>44894</v>
      </c>
      <c r="C5664" s="1" t="n">
        <v>45182</v>
      </c>
      <c r="D5664" t="inlineStr">
        <is>
          <t>JÄMTLANDS LÄN</t>
        </is>
      </c>
      <c r="E5664" t="inlineStr">
        <is>
          <t>STRÖMSUND</t>
        </is>
      </c>
      <c r="F5664" t="inlineStr">
        <is>
          <t>SCA</t>
        </is>
      </c>
      <c r="G5664" t="n">
        <v>6.3</v>
      </c>
      <c r="H5664" t="n">
        <v>0</v>
      </c>
      <c r="I5664" t="n">
        <v>0</v>
      </c>
      <c r="J5664" t="n">
        <v>0</v>
      </c>
      <c r="K5664" t="n">
        <v>0</v>
      </c>
      <c r="L5664" t="n">
        <v>0</v>
      </c>
      <c r="M5664" t="n">
        <v>0</v>
      </c>
      <c r="N5664" t="n">
        <v>0</v>
      </c>
      <c r="O5664" t="n">
        <v>0</v>
      </c>
      <c r="P5664" t="n">
        <v>0</v>
      </c>
      <c r="Q5664" t="n">
        <v>0</v>
      </c>
      <c r="R5664" s="2" t="inlineStr"/>
    </row>
    <row r="5665" ht="15" customHeight="1">
      <c r="A5665" t="inlineStr">
        <is>
          <t>A 57009-2022</t>
        </is>
      </c>
      <c r="B5665" s="1" t="n">
        <v>44894</v>
      </c>
      <c r="C5665" s="1" t="n">
        <v>45182</v>
      </c>
      <c r="D5665" t="inlineStr">
        <is>
          <t>JÄMTLANDS LÄN</t>
        </is>
      </c>
      <c r="E5665" t="inlineStr">
        <is>
          <t>ÖSTERSUND</t>
        </is>
      </c>
      <c r="G5665" t="n">
        <v>1.4</v>
      </c>
      <c r="H5665" t="n">
        <v>0</v>
      </c>
      <c r="I5665" t="n">
        <v>0</v>
      </c>
      <c r="J5665" t="n">
        <v>0</v>
      </c>
      <c r="K5665" t="n">
        <v>0</v>
      </c>
      <c r="L5665" t="n">
        <v>0</v>
      </c>
      <c r="M5665" t="n">
        <v>0</v>
      </c>
      <c r="N5665" t="n">
        <v>0</v>
      </c>
      <c r="O5665" t="n">
        <v>0</v>
      </c>
      <c r="P5665" t="n">
        <v>0</v>
      </c>
      <c r="Q5665" t="n">
        <v>0</v>
      </c>
      <c r="R5665" s="2" t="inlineStr"/>
    </row>
    <row r="5666" ht="15" customHeight="1">
      <c r="A5666" t="inlineStr">
        <is>
          <t>A 57015-2022</t>
        </is>
      </c>
      <c r="B5666" s="1" t="n">
        <v>44894</v>
      </c>
      <c r="C5666" s="1" t="n">
        <v>45182</v>
      </c>
      <c r="D5666" t="inlineStr">
        <is>
          <t>JÄMTLANDS LÄN</t>
        </is>
      </c>
      <c r="E5666" t="inlineStr">
        <is>
          <t>STRÖMSUND</t>
        </is>
      </c>
      <c r="F5666" t="inlineStr">
        <is>
          <t>SCA</t>
        </is>
      </c>
      <c r="G5666" t="n">
        <v>2.8</v>
      </c>
      <c r="H5666" t="n">
        <v>0</v>
      </c>
      <c r="I5666" t="n">
        <v>0</v>
      </c>
      <c r="J5666" t="n">
        <v>0</v>
      </c>
      <c r="K5666" t="n">
        <v>0</v>
      </c>
      <c r="L5666" t="n">
        <v>0</v>
      </c>
      <c r="M5666" t="n">
        <v>0</v>
      </c>
      <c r="N5666" t="n">
        <v>0</v>
      </c>
      <c r="O5666" t="n">
        <v>0</v>
      </c>
      <c r="P5666" t="n">
        <v>0</v>
      </c>
      <c r="Q5666" t="n">
        <v>0</v>
      </c>
      <c r="R5666" s="2" t="inlineStr"/>
    </row>
    <row r="5667" ht="15" customHeight="1">
      <c r="A5667" t="inlineStr">
        <is>
          <t>A 57010-2022</t>
        </is>
      </c>
      <c r="B5667" s="1" t="n">
        <v>44894</v>
      </c>
      <c r="C5667" s="1" t="n">
        <v>45182</v>
      </c>
      <c r="D5667" t="inlineStr">
        <is>
          <t>JÄMTLANDS LÄN</t>
        </is>
      </c>
      <c r="E5667" t="inlineStr">
        <is>
          <t>BRÄCKE</t>
        </is>
      </c>
      <c r="F5667" t="inlineStr">
        <is>
          <t>SCA</t>
        </is>
      </c>
      <c r="G5667" t="n">
        <v>1.3</v>
      </c>
      <c r="H5667" t="n">
        <v>0</v>
      </c>
      <c r="I5667" t="n">
        <v>0</v>
      </c>
      <c r="J5667" t="n">
        <v>0</v>
      </c>
      <c r="K5667" t="n">
        <v>0</v>
      </c>
      <c r="L5667" t="n">
        <v>0</v>
      </c>
      <c r="M5667" t="n">
        <v>0</v>
      </c>
      <c r="N5667" t="n">
        <v>0</v>
      </c>
      <c r="O5667" t="n">
        <v>0</v>
      </c>
      <c r="P5667" t="n">
        <v>0</v>
      </c>
      <c r="Q5667" t="n">
        <v>0</v>
      </c>
      <c r="R5667" s="2" t="inlineStr"/>
    </row>
    <row r="5668" ht="15" customHeight="1">
      <c r="A5668" t="inlineStr">
        <is>
          <t>A 57016-2022</t>
        </is>
      </c>
      <c r="B5668" s="1" t="n">
        <v>44894</v>
      </c>
      <c r="C5668" s="1" t="n">
        <v>45182</v>
      </c>
      <c r="D5668" t="inlineStr">
        <is>
          <t>JÄMTLANDS LÄN</t>
        </is>
      </c>
      <c r="E5668" t="inlineStr">
        <is>
          <t>STRÖMSUND</t>
        </is>
      </c>
      <c r="F5668" t="inlineStr">
        <is>
          <t>SCA</t>
        </is>
      </c>
      <c r="G5668" t="n">
        <v>2.8</v>
      </c>
      <c r="H5668" t="n">
        <v>0</v>
      </c>
      <c r="I5668" t="n">
        <v>0</v>
      </c>
      <c r="J5668" t="n">
        <v>0</v>
      </c>
      <c r="K5668" t="n">
        <v>0</v>
      </c>
      <c r="L5668" t="n">
        <v>0</v>
      </c>
      <c r="M5668" t="n">
        <v>0</v>
      </c>
      <c r="N5668" t="n">
        <v>0</v>
      </c>
      <c r="O5668" t="n">
        <v>0</v>
      </c>
      <c r="P5668" t="n">
        <v>0</v>
      </c>
      <c r="Q5668" t="n">
        <v>0</v>
      </c>
      <c r="R5668" s="2" t="inlineStr"/>
    </row>
    <row r="5669" ht="15" customHeight="1">
      <c r="A5669" t="inlineStr">
        <is>
          <t>A 58547-2022</t>
        </is>
      </c>
      <c r="B5669" s="1" t="n">
        <v>44894</v>
      </c>
      <c r="C5669" s="1" t="n">
        <v>45182</v>
      </c>
      <c r="D5669" t="inlineStr">
        <is>
          <t>JÄMTLANDS LÄN</t>
        </is>
      </c>
      <c r="E5669" t="inlineStr">
        <is>
          <t>BRÄCKE</t>
        </is>
      </c>
      <c r="G5669" t="n">
        <v>0.6</v>
      </c>
      <c r="H5669" t="n">
        <v>0</v>
      </c>
      <c r="I5669" t="n">
        <v>0</v>
      </c>
      <c r="J5669" t="n">
        <v>0</v>
      </c>
      <c r="K5669" t="n">
        <v>0</v>
      </c>
      <c r="L5669" t="n">
        <v>0</v>
      </c>
      <c r="M5669" t="n">
        <v>0</v>
      </c>
      <c r="N5669" t="n">
        <v>0</v>
      </c>
      <c r="O5669" t="n">
        <v>0</v>
      </c>
      <c r="P5669" t="n">
        <v>0</v>
      </c>
      <c r="Q5669" t="n">
        <v>0</v>
      </c>
      <c r="R5669" s="2" t="inlineStr"/>
    </row>
    <row r="5670" ht="15" customHeight="1">
      <c r="A5670" t="inlineStr">
        <is>
          <t>A 56828-2022</t>
        </is>
      </c>
      <c r="B5670" s="1" t="n">
        <v>44894</v>
      </c>
      <c r="C5670" s="1" t="n">
        <v>45182</v>
      </c>
      <c r="D5670" t="inlineStr">
        <is>
          <t>JÄMTLANDS LÄN</t>
        </is>
      </c>
      <c r="E5670" t="inlineStr">
        <is>
          <t>ÅRE</t>
        </is>
      </c>
      <c r="F5670" t="inlineStr">
        <is>
          <t>Övriga Aktiebolag</t>
        </is>
      </c>
      <c r="G5670" t="n">
        <v>9.9</v>
      </c>
      <c r="H5670" t="n">
        <v>0</v>
      </c>
      <c r="I5670" t="n">
        <v>0</v>
      </c>
      <c r="J5670" t="n">
        <v>0</v>
      </c>
      <c r="K5670" t="n">
        <v>0</v>
      </c>
      <c r="L5670" t="n">
        <v>0</v>
      </c>
      <c r="M5670" t="n">
        <v>0</v>
      </c>
      <c r="N5670" t="n">
        <v>0</v>
      </c>
      <c r="O5670" t="n">
        <v>0</v>
      </c>
      <c r="P5670" t="n">
        <v>0</v>
      </c>
      <c r="Q5670" t="n">
        <v>0</v>
      </c>
      <c r="R5670" s="2" t="inlineStr"/>
    </row>
    <row r="5671" ht="15" customHeight="1">
      <c r="A5671" t="inlineStr">
        <is>
          <t>A 58537-2022</t>
        </is>
      </c>
      <c r="B5671" s="1" t="n">
        <v>44894</v>
      </c>
      <c r="C5671" s="1" t="n">
        <v>45182</v>
      </c>
      <c r="D5671" t="inlineStr">
        <is>
          <t>JÄMTLANDS LÄN</t>
        </is>
      </c>
      <c r="E5671" t="inlineStr">
        <is>
          <t>RAGUNDA</t>
        </is>
      </c>
      <c r="G5671" t="n">
        <v>1.2</v>
      </c>
      <c r="H5671" t="n">
        <v>0</v>
      </c>
      <c r="I5671" t="n">
        <v>0</v>
      </c>
      <c r="J5671" t="n">
        <v>0</v>
      </c>
      <c r="K5671" t="n">
        <v>0</v>
      </c>
      <c r="L5671" t="n">
        <v>0</v>
      </c>
      <c r="M5671" t="n">
        <v>0</v>
      </c>
      <c r="N5671" t="n">
        <v>0</v>
      </c>
      <c r="O5671" t="n">
        <v>0</v>
      </c>
      <c r="P5671" t="n">
        <v>0</v>
      </c>
      <c r="Q5671" t="n">
        <v>0</v>
      </c>
      <c r="R5671" s="2" t="inlineStr"/>
    </row>
    <row r="5672" ht="15" customHeight="1">
      <c r="A5672" t="inlineStr">
        <is>
          <t>A 57277-2022</t>
        </is>
      </c>
      <c r="B5672" s="1" t="n">
        <v>44895</v>
      </c>
      <c r="C5672" s="1" t="n">
        <v>45182</v>
      </c>
      <c r="D5672" t="inlineStr">
        <is>
          <t>JÄMTLANDS LÄN</t>
        </is>
      </c>
      <c r="E5672" t="inlineStr">
        <is>
          <t>STRÖMSUND</t>
        </is>
      </c>
      <c r="F5672" t="inlineStr">
        <is>
          <t>SCA</t>
        </is>
      </c>
      <c r="G5672" t="n">
        <v>3.5</v>
      </c>
      <c r="H5672" t="n">
        <v>0</v>
      </c>
      <c r="I5672" t="n">
        <v>0</v>
      </c>
      <c r="J5672" t="n">
        <v>0</v>
      </c>
      <c r="K5672" t="n">
        <v>0</v>
      </c>
      <c r="L5672" t="n">
        <v>0</v>
      </c>
      <c r="M5672" t="n">
        <v>0</v>
      </c>
      <c r="N5672" t="n">
        <v>0</v>
      </c>
      <c r="O5672" t="n">
        <v>0</v>
      </c>
      <c r="P5672" t="n">
        <v>0</v>
      </c>
      <c r="Q5672" t="n">
        <v>0</v>
      </c>
      <c r="R5672" s="2" t="inlineStr"/>
    </row>
    <row r="5673" ht="15" customHeight="1">
      <c r="A5673" t="inlineStr">
        <is>
          <t>A 57298-2022</t>
        </is>
      </c>
      <c r="B5673" s="1" t="n">
        <v>44895</v>
      </c>
      <c r="C5673" s="1" t="n">
        <v>45182</v>
      </c>
      <c r="D5673" t="inlineStr">
        <is>
          <t>JÄMTLANDS LÄN</t>
        </is>
      </c>
      <c r="E5673" t="inlineStr">
        <is>
          <t>RAGUNDA</t>
        </is>
      </c>
      <c r="F5673" t="inlineStr">
        <is>
          <t>SCA</t>
        </is>
      </c>
      <c r="G5673" t="n">
        <v>27.4</v>
      </c>
      <c r="H5673" t="n">
        <v>0</v>
      </c>
      <c r="I5673" t="n">
        <v>0</v>
      </c>
      <c r="J5673" t="n">
        <v>0</v>
      </c>
      <c r="K5673" t="n">
        <v>0</v>
      </c>
      <c r="L5673" t="n">
        <v>0</v>
      </c>
      <c r="M5673" t="n">
        <v>0</v>
      </c>
      <c r="N5673" t="n">
        <v>0</v>
      </c>
      <c r="O5673" t="n">
        <v>0</v>
      </c>
      <c r="P5673" t="n">
        <v>0</v>
      </c>
      <c r="Q5673" t="n">
        <v>0</v>
      </c>
      <c r="R5673" s="2" t="inlineStr"/>
    </row>
    <row r="5674" ht="15" customHeight="1">
      <c r="A5674" t="inlineStr">
        <is>
          <t>A 58771-2022</t>
        </is>
      </c>
      <c r="B5674" s="1" t="n">
        <v>44895</v>
      </c>
      <c r="C5674" s="1" t="n">
        <v>45182</v>
      </c>
      <c r="D5674" t="inlineStr">
        <is>
          <t>JÄMTLANDS LÄN</t>
        </is>
      </c>
      <c r="E5674" t="inlineStr">
        <is>
          <t>KROKOM</t>
        </is>
      </c>
      <c r="G5674" t="n">
        <v>0.8</v>
      </c>
      <c r="H5674" t="n">
        <v>0</v>
      </c>
      <c r="I5674" t="n">
        <v>0</v>
      </c>
      <c r="J5674" t="n">
        <v>0</v>
      </c>
      <c r="K5674" t="n">
        <v>0</v>
      </c>
      <c r="L5674" t="n">
        <v>0</v>
      </c>
      <c r="M5674" t="n">
        <v>0</v>
      </c>
      <c r="N5674" t="n">
        <v>0</v>
      </c>
      <c r="O5674" t="n">
        <v>0</v>
      </c>
      <c r="P5674" t="n">
        <v>0</v>
      </c>
      <c r="Q5674" t="n">
        <v>0</v>
      </c>
      <c r="R5674" s="2" t="inlineStr"/>
    </row>
    <row r="5675" ht="15" customHeight="1">
      <c r="A5675" t="inlineStr">
        <is>
          <t>A 57272-2022</t>
        </is>
      </c>
      <c r="B5675" s="1" t="n">
        <v>44895</v>
      </c>
      <c r="C5675" s="1" t="n">
        <v>45182</v>
      </c>
      <c r="D5675" t="inlineStr">
        <is>
          <t>JÄMTLANDS LÄN</t>
        </is>
      </c>
      <c r="E5675" t="inlineStr">
        <is>
          <t>STRÖMSUND</t>
        </is>
      </c>
      <c r="F5675" t="inlineStr">
        <is>
          <t>SCA</t>
        </is>
      </c>
      <c r="G5675" t="n">
        <v>4.4</v>
      </c>
      <c r="H5675" t="n">
        <v>0</v>
      </c>
      <c r="I5675" t="n">
        <v>0</v>
      </c>
      <c r="J5675" t="n">
        <v>0</v>
      </c>
      <c r="K5675" t="n">
        <v>0</v>
      </c>
      <c r="L5675" t="n">
        <v>0</v>
      </c>
      <c r="M5675" t="n">
        <v>0</v>
      </c>
      <c r="N5675" t="n">
        <v>0</v>
      </c>
      <c r="O5675" t="n">
        <v>0</v>
      </c>
      <c r="P5675" t="n">
        <v>0</v>
      </c>
      <c r="Q5675" t="n">
        <v>0</v>
      </c>
      <c r="R5675" s="2" t="inlineStr"/>
    </row>
    <row r="5676" ht="15" customHeight="1">
      <c r="A5676" t="inlineStr">
        <is>
          <t>A 57297-2022</t>
        </is>
      </c>
      <c r="B5676" s="1" t="n">
        <v>44895</v>
      </c>
      <c r="C5676" s="1" t="n">
        <v>45182</v>
      </c>
      <c r="D5676" t="inlineStr">
        <is>
          <t>JÄMTLANDS LÄN</t>
        </is>
      </c>
      <c r="E5676" t="inlineStr">
        <is>
          <t>STRÖMSUND</t>
        </is>
      </c>
      <c r="F5676" t="inlineStr">
        <is>
          <t>SCA</t>
        </is>
      </c>
      <c r="G5676" t="n">
        <v>1.8</v>
      </c>
      <c r="H5676" t="n">
        <v>0</v>
      </c>
      <c r="I5676" t="n">
        <v>0</v>
      </c>
      <c r="J5676" t="n">
        <v>0</v>
      </c>
      <c r="K5676" t="n">
        <v>0</v>
      </c>
      <c r="L5676" t="n">
        <v>0</v>
      </c>
      <c r="M5676" t="n">
        <v>0</v>
      </c>
      <c r="N5676" t="n">
        <v>0</v>
      </c>
      <c r="O5676" t="n">
        <v>0</v>
      </c>
      <c r="P5676" t="n">
        <v>0</v>
      </c>
      <c r="Q5676" t="n">
        <v>0</v>
      </c>
      <c r="R5676" s="2" t="inlineStr"/>
    </row>
    <row r="5677" ht="15" customHeight="1">
      <c r="A5677" t="inlineStr">
        <is>
          <t>A 58882-2022</t>
        </is>
      </c>
      <c r="B5677" s="1" t="n">
        <v>44896</v>
      </c>
      <c r="C5677" s="1" t="n">
        <v>45182</v>
      </c>
      <c r="D5677" t="inlineStr">
        <is>
          <t>JÄMTLANDS LÄN</t>
        </is>
      </c>
      <c r="E5677" t="inlineStr">
        <is>
          <t>ÅRE</t>
        </is>
      </c>
      <c r="G5677" t="n">
        <v>19</v>
      </c>
      <c r="H5677" t="n">
        <v>0</v>
      </c>
      <c r="I5677" t="n">
        <v>0</v>
      </c>
      <c r="J5677" t="n">
        <v>0</v>
      </c>
      <c r="K5677" t="n">
        <v>0</v>
      </c>
      <c r="L5677" t="n">
        <v>0</v>
      </c>
      <c r="M5677" t="n">
        <v>0</v>
      </c>
      <c r="N5677" t="n">
        <v>0</v>
      </c>
      <c r="O5677" t="n">
        <v>0</v>
      </c>
      <c r="P5677" t="n">
        <v>0</v>
      </c>
      <c r="Q5677" t="n">
        <v>0</v>
      </c>
      <c r="R5677" s="2" t="inlineStr"/>
    </row>
    <row r="5678" ht="15" customHeight="1">
      <c r="A5678" t="inlineStr">
        <is>
          <t>A 59242-2022</t>
        </is>
      </c>
      <c r="B5678" s="1" t="n">
        <v>44896</v>
      </c>
      <c r="C5678" s="1" t="n">
        <v>45182</v>
      </c>
      <c r="D5678" t="inlineStr">
        <is>
          <t>JÄMTLANDS LÄN</t>
        </is>
      </c>
      <c r="E5678" t="inlineStr">
        <is>
          <t>RAGUNDA</t>
        </is>
      </c>
      <c r="G5678" t="n">
        <v>4</v>
      </c>
      <c r="H5678" t="n">
        <v>0</v>
      </c>
      <c r="I5678" t="n">
        <v>0</v>
      </c>
      <c r="J5678" t="n">
        <v>0</v>
      </c>
      <c r="K5678" t="n">
        <v>0</v>
      </c>
      <c r="L5678" t="n">
        <v>0</v>
      </c>
      <c r="M5678" t="n">
        <v>0</v>
      </c>
      <c r="N5678" t="n">
        <v>0</v>
      </c>
      <c r="O5678" t="n">
        <v>0</v>
      </c>
      <c r="P5678" t="n">
        <v>0</v>
      </c>
      <c r="Q5678" t="n">
        <v>0</v>
      </c>
      <c r="R5678" s="2" t="inlineStr"/>
    </row>
    <row r="5679" ht="15" customHeight="1">
      <c r="A5679" t="inlineStr">
        <is>
          <t>A 57395-2022</t>
        </is>
      </c>
      <c r="B5679" s="1" t="n">
        <v>44896</v>
      </c>
      <c r="C5679" s="1" t="n">
        <v>45182</v>
      </c>
      <c r="D5679" t="inlineStr">
        <is>
          <t>JÄMTLANDS LÄN</t>
        </is>
      </c>
      <c r="E5679" t="inlineStr">
        <is>
          <t>ÅRE</t>
        </is>
      </c>
      <c r="G5679" t="n">
        <v>3.8</v>
      </c>
      <c r="H5679" t="n">
        <v>0</v>
      </c>
      <c r="I5679" t="n">
        <v>0</v>
      </c>
      <c r="J5679" t="n">
        <v>0</v>
      </c>
      <c r="K5679" t="n">
        <v>0</v>
      </c>
      <c r="L5679" t="n">
        <v>0</v>
      </c>
      <c r="M5679" t="n">
        <v>0</v>
      </c>
      <c r="N5679" t="n">
        <v>0</v>
      </c>
      <c r="O5679" t="n">
        <v>0</v>
      </c>
      <c r="P5679" t="n">
        <v>0</v>
      </c>
      <c r="Q5679" t="n">
        <v>0</v>
      </c>
      <c r="R5679" s="2" t="inlineStr"/>
    </row>
    <row r="5680" ht="15" customHeight="1">
      <c r="A5680" t="inlineStr">
        <is>
          <t>A 58889-2022</t>
        </is>
      </c>
      <c r="B5680" s="1" t="n">
        <v>44896</v>
      </c>
      <c r="C5680" s="1" t="n">
        <v>45182</v>
      </c>
      <c r="D5680" t="inlineStr">
        <is>
          <t>JÄMTLANDS LÄN</t>
        </is>
      </c>
      <c r="E5680" t="inlineStr">
        <is>
          <t>ÅRE</t>
        </is>
      </c>
      <c r="G5680" t="n">
        <v>6.9</v>
      </c>
      <c r="H5680" t="n">
        <v>0</v>
      </c>
      <c r="I5680" t="n">
        <v>0</v>
      </c>
      <c r="J5680" t="n">
        <v>0</v>
      </c>
      <c r="K5680" t="n">
        <v>0</v>
      </c>
      <c r="L5680" t="n">
        <v>0</v>
      </c>
      <c r="M5680" t="n">
        <v>0</v>
      </c>
      <c r="N5680" t="n">
        <v>0</v>
      </c>
      <c r="O5680" t="n">
        <v>0</v>
      </c>
      <c r="P5680" t="n">
        <v>0</v>
      </c>
      <c r="Q5680" t="n">
        <v>0</v>
      </c>
      <c r="R5680" s="2" t="inlineStr"/>
    </row>
    <row r="5681" ht="15" customHeight="1">
      <c r="A5681" t="inlineStr">
        <is>
          <t>A 57842-2022</t>
        </is>
      </c>
      <c r="B5681" s="1" t="n">
        <v>44897</v>
      </c>
      <c r="C5681" s="1" t="n">
        <v>45182</v>
      </c>
      <c r="D5681" t="inlineStr">
        <is>
          <t>JÄMTLANDS LÄN</t>
        </is>
      </c>
      <c r="E5681" t="inlineStr">
        <is>
          <t>BERG</t>
        </is>
      </c>
      <c r="G5681" t="n">
        <v>9.9</v>
      </c>
      <c r="H5681" t="n">
        <v>0</v>
      </c>
      <c r="I5681" t="n">
        <v>0</v>
      </c>
      <c r="J5681" t="n">
        <v>0</v>
      </c>
      <c r="K5681" t="n">
        <v>0</v>
      </c>
      <c r="L5681" t="n">
        <v>0</v>
      </c>
      <c r="M5681" t="n">
        <v>0</v>
      </c>
      <c r="N5681" t="n">
        <v>0</v>
      </c>
      <c r="O5681" t="n">
        <v>0</v>
      </c>
      <c r="P5681" t="n">
        <v>0</v>
      </c>
      <c r="Q5681" t="n">
        <v>0</v>
      </c>
      <c r="R5681" s="2" t="inlineStr"/>
    </row>
    <row r="5682" ht="15" customHeight="1">
      <c r="A5682" t="inlineStr">
        <is>
          <t>A 59300-2022</t>
        </is>
      </c>
      <c r="B5682" s="1" t="n">
        <v>44897</v>
      </c>
      <c r="C5682" s="1" t="n">
        <v>45182</v>
      </c>
      <c r="D5682" t="inlineStr">
        <is>
          <t>JÄMTLANDS LÄN</t>
        </is>
      </c>
      <c r="E5682" t="inlineStr">
        <is>
          <t>RAGUNDA</t>
        </is>
      </c>
      <c r="G5682" t="n">
        <v>2.1</v>
      </c>
      <c r="H5682" t="n">
        <v>0</v>
      </c>
      <c r="I5682" t="n">
        <v>0</v>
      </c>
      <c r="J5682" t="n">
        <v>0</v>
      </c>
      <c r="K5682" t="n">
        <v>0</v>
      </c>
      <c r="L5682" t="n">
        <v>0</v>
      </c>
      <c r="M5682" t="n">
        <v>0</v>
      </c>
      <c r="N5682" t="n">
        <v>0</v>
      </c>
      <c r="O5682" t="n">
        <v>0</v>
      </c>
      <c r="P5682" t="n">
        <v>0</v>
      </c>
      <c r="Q5682" t="n">
        <v>0</v>
      </c>
      <c r="R5682" s="2" t="inlineStr"/>
    </row>
    <row r="5683" ht="15" customHeight="1">
      <c r="A5683" t="inlineStr">
        <is>
          <t>A 57839-2022</t>
        </is>
      </c>
      <c r="B5683" s="1" t="n">
        <v>44897</v>
      </c>
      <c r="C5683" s="1" t="n">
        <v>45182</v>
      </c>
      <c r="D5683" t="inlineStr">
        <is>
          <t>JÄMTLANDS LÄN</t>
        </is>
      </c>
      <c r="E5683" t="inlineStr">
        <is>
          <t>RAGUNDA</t>
        </is>
      </c>
      <c r="F5683" t="inlineStr">
        <is>
          <t>SCA</t>
        </is>
      </c>
      <c r="G5683" t="n">
        <v>8.5</v>
      </c>
      <c r="H5683" t="n">
        <v>0</v>
      </c>
      <c r="I5683" t="n">
        <v>0</v>
      </c>
      <c r="J5683" t="n">
        <v>0</v>
      </c>
      <c r="K5683" t="n">
        <v>0</v>
      </c>
      <c r="L5683" t="n">
        <v>0</v>
      </c>
      <c r="M5683" t="n">
        <v>0</v>
      </c>
      <c r="N5683" t="n">
        <v>0</v>
      </c>
      <c r="O5683" t="n">
        <v>0</v>
      </c>
      <c r="P5683" t="n">
        <v>0</v>
      </c>
      <c r="Q5683" t="n">
        <v>0</v>
      </c>
      <c r="R5683" s="2" t="inlineStr"/>
    </row>
    <row r="5684" ht="15" customHeight="1">
      <c r="A5684" t="inlineStr">
        <is>
          <t>A 57844-2022</t>
        </is>
      </c>
      <c r="B5684" s="1" t="n">
        <v>44897</v>
      </c>
      <c r="C5684" s="1" t="n">
        <v>45182</v>
      </c>
      <c r="D5684" t="inlineStr">
        <is>
          <t>JÄMTLANDS LÄN</t>
        </is>
      </c>
      <c r="E5684" t="inlineStr">
        <is>
          <t>STRÖMSUND</t>
        </is>
      </c>
      <c r="F5684" t="inlineStr">
        <is>
          <t>SCA</t>
        </is>
      </c>
      <c r="G5684" t="n">
        <v>6.5</v>
      </c>
      <c r="H5684" t="n">
        <v>0</v>
      </c>
      <c r="I5684" t="n">
        <v>0</v>
      </c>
      <c r="J5684" t="n">
        <v>0</v>
      </c>
      <c r="K5684" t="n">
        <v>0</v>
      </c>
      <c r="L5684" t="n">
        <v>0</v>
      </c>
      <c r="M5684" t="n">
        <v>0</v>
      </c>
      <c r="N5684" t="n">
        <v>0</v>
      </c>
      <c r="O5684" t="n">
        <v>0</v>
      </c>
      <c r="P5684" t="n">
        <v>0</v>
      </c>
      <c r="Q5684" t="n">
        <v>0</v>
      </c>
      <c r="R5684" s="2" t="inlineStr"/>
    </row>
    <row r="5685" ht="15" customHeight="1">
      <c r="A5685" t="inlineStr">
        <is>
          <t>A 58044-2022</t>
        </is>
      </c>
      <c r="B5685" s="1" t="n">
        <v>44900</v>
      </c>
      <c r="C5685" s="1" t="n">
        <v>45182</v>
      </c>
      <c r="D5685" t="inlineStr">
        <is>
          <t>JÄMTLANDS LÄN</t>
        </is>
      </c>
      <c r="E5685" t="inlineStr">
        <is>
          <t>KROKOM</t>
        </is>
      </c>
      <c r="G5685" t="n">
        <v>0.9</v>
      </c>
      <c r="H5685" t="n">
        <v>0</v>
      </c>
      <c r="I5685" t="n">
        <v>0</v>
      </c>
      <c r="J5685" t="n">
        <v>0</v>
      </c>
      <c r="K5685" t="n">
        <v>0</v>
      </c>
      <c r="L5685" t="n">
        <v>0</v>
      </c>
      <c r="M5685" t="n">
        <v>0</v>
      </c>
      <c r="N5685" t="n">
        <v>0</v>
      </c>
      <c r="O5685" t="n">
        <v>0</v>
      </c>
      <c r="P5685" t="n">
        <v>0</v>
      </c>
      <c r="Q5685" t="n">
        <v>0</v>
      </c>
      <c r="R5685" s="2" t="inlineStr"/>
    </row>
    <row r="5686" ht="15" customHeight="1">
      <c r="A5686" t="inlineStr">
        <is>
          <t>A 58179-2022</t>
        </is>
      </c>
      <c r="B5686" s="1" t="n">
        <v>44900</v>
      </c>
      <c r="C5686" s="1" t="n">
        <v>45182</v>
      </c>
      <c r="D5686" t="inlineStr">
        <is>
          <t>JÄMTLANDS LÄN</t>
        </is>
      </c>
      <c r="E5686" t="inlineStr">
        <is>
          <t>STRÖMSUND</t>
        </is>
      </c>
      <c r="F5686" t="inlineStr">
        <is>
          <t>SCA</t>
        </is>
      </c>
      <c r="G5686" t="n">
        <v>4.3</v>
      </c>
      <c r="H5686" t="n">
        <v>0</v>
      </c>
      <c r="I5686" t="n">
        <v>0</v>
      </c>
      <c r="J5686" t="n">
        <v>0</v>
      </c>
      <c r="K5686" t="n">
        <v>0</v>
      </c>
      <c r="L5686" t="n">
        <v>0</v>
      </c>
      <c r="M5686" t="n">
        <v>0</v>
      </c>
      <c r="N5686" t="n">
        <v>0</v>
      </c>
      <c r="O5686" t="n">
        <v>0</v>
      </c>
      <c r="P5686" t="n">
        <v>0</v>
      </c>
      <c r="Q5686" t="n">
        <v>0</v>
      </c>
      <c r="R5686" s="2" t="inlineStr"/>
    </row>
    <row r="5687" ht="15" customHeight="1">
      <c r="A5687" t="inlineStr">
        <is>
          <t>A 58194-2022</t>
        </is>
      </c>
      <c r="B5687" s="1" t="n">
        <v>44900</v>
      </c>
      <c r="C5687" s="1" t="n">
        <v>45182</v>
      </c>
      <c r="D5687" t="inlineStr">
        <is>
          <t>JÄMTLANDS LÄN</t>
        </is>
      </c>
      <c r="E5687" t="inlineStr">
        <is>
          <t>RAGUNDA</t>
        </is>
      </c>
      <c r="F5687" t="inlineStr">
        <is>
          <t>SCA</t>
        </is>
      </c>
      <c r="G5687" t="n">
        <v>0.6</v>
      </c>
      <c r="H5687" t="n">
        <v>0</v>
      </c>
      <c r="I5687" t="n">
        <v>0</v>
      </c>
      <c r="J5687" t="n">
        <v>0</v>
      </c>
      <c r="K5687" t="n">
        <v>0</v>
      </c>
      <c r="L5687" t="n">
        <v>0</v>
      </c>
      <c r="M5687" t="n">
        <v>0</v>
      </c>
      <c r="N5687" t="n">
        <v>0</v>
      </c>
      <c r="O5687" t="n">
        <v>0</v>
      </c>
      <c r="P5687" t="n">
        <v>0</v>
      </c>
      <c r="Q5687" t="n">
        <v>0</v>
      </c>
      <c r="R5687" s="2" t="inlineStr"/>
    </row>
    <row r="5688" ht="15" customHeight="1">
      <c r="A5688" t="inlineStr">
        <is>
          <t>A 59725-2022</t>
        </is>
      </c>
      <c r="B5688" s="1" t="n">
        <v>44900</v>
      </c>
      <c r="C5688" s="1" t="n">
        <v>45182</v>
      </c>
      <c r="D5688" t="inlineStr">
        <is>
          <t>JÄMTLANDS LÄN</t>
        </is>
      </c>
      <c r="E5688" t="inlineStr">
        <is>
          <t>STRÖMSUND</t>
        </is>
      </c>
      <c r="G5688" t="n">
        <v>2.5</v>
      </c>
      <c r="H5688" t="n">
        <v>0</v>
      </c>
      <c r="I5688" t="n">
        <v>0</v>
      </c>
      <c r="J5688" t="n">
        <v>0</v>
      </c>
      <c r="K5688" t="n">
        <v>0</v>
      </c>
      <c r="L5688" t="n">
        <v>0</v>
      </c>
      <c r="M5688" t="n">
        <v>0</v>
      </c>
      <c r="N5688" t="n">
        <v>0</v>
      </c>
      <c r="O5688" t="n">
        <v>0</v>
      </c>
      <c r="P5688" t="n">
        <v>0</v>
      </c>
      <c r="Q5688" t="n">
        <v>0</v>
      </c>
      <c r="R5688" s="2" t="inlineStr"/>
    </row>
    <row r="5689" ht="15" customHeight="1">
      <c r="A5689" t="inlineStr">
        <is>
          <t>A 58041-2022</t>
        </is>
      </c>
      <c r="B5689" s="1" t="n">
        <v>44900</v>
      </c>
      <c r="C5689" s="1" t="n">
        <v>45182</v>
      </c>
      <c r="D5689" t="inlineStr">
        <is>
          <t>JÄMTLANDS LÄN</t>
        </is>
      </c>
      <c r="E5689" t="inlineStr">
        <is>
          <t>KROKOM</t>
        </is>
      </c>
      <c r="G5689" t="n">
        <v>1.3</v>
      </c>
      <c r="H5689" t="n">
        <v>0</v>
      </c>
      <c r="I5689" t="n">
        <v>0</v>
      </c>
      <c r="J5689" t="n">
        <v>0</v>
      </c>
      <c r="K5689" t="n">
        <v>0</v>
      </c>
      <c r="L5689" t="n">
        <v>0</v>
      </c>
      <c r="M5689" t="n">
        <v>0</v>
      </c>
      <c r="N5689" t="n">
        <v>0</v>
      </c>
      <c r="O5689" t="n">
        <v>0</v>
      </c>
      <c r="P5689" t="n">
        <v>0</v>
      </c>
      <c r="Q5689" t="n">
        <v>0</v>
      </c>
      <c r="R5689" s="2" t="inlineStr"/>
    </row>
    <row r="5690" ht="15" customHeight="1">
      <c r="A5690" t="inlineStr">
        <is>
          <t>A 58174-2022</t>
        </is>
      </c>
      <c r="B5690" s="1" t="n">
        <v>44900</v>
      </c>
      <c r="C5690" s="1" t="n">
        <v>45182</v>
      </c>
      <c r="D5690" t="inlineStr">
        <is>
          <t>JÄMTLANDS LÄN</t>
        </is>
      </c>
      <c r="E5690" t="inlineStr">
        <is>
          <t>STRÖMSUND</t>
        </is>
      </c>
      <c r="G5690" t="n">
        <v>0.3</v>
      </c>
      <c r="H5690" t="n">
        <v>0</v>
      </c>
      <c r="I5690" t="n">
        <v>0</v>
      </c>
      <c r="J5690" t="n">
        <v>0</v>
      </c>
      <c r="K5690" t="n">
        <v>0</v>
      </c>
      <c r="L5690" t="n">
        <v>0</v>
      </c>
      <c r="M5690" t="n">
        <v>0</v>
      </c>
      <c r="N5690" t="n">
        <v>0</v>
      </c>
      <c r="O5690" t="n">
        <v>0</v>
      </c>
      <c r="P5690" t="n">
        <v>0</v>
      </c>
      <c r="Q5690" t="n">
        <v>0</v>
      </c>
      <c r="R5690" s="2" t="inlineStr"/>
    </row>
    <row r="5691" ht="15" customHeight="1">
      <c r="A5691" t="inlineStr">
        <is>
          <t>A 58425-2022</t>
        </is>
      </c>
      <c r="B5691" s="1" t="n">
        <v>44901</v>
      </c>
      <c r="C5691" s="1" t="n">
        <v>45182</v>
      </c>
      <c r="D5691" t="inlineStr">
        <is>
          <t>JÄMTLANDS LÄN</t>
        </is>
      </c>
      <c r="E5691" t="inlineStr">
        <is>
          <t>HÄRJEDALEN</t>
        </is>
      </c>
      <c r="F5691" t="inlineStr">
        <is>
          <t>Sveaskog</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58432-2022</t>
        </is>
      </c>
      <c r="B5692" s="1" t="n">
        <v>44901</v>
      </c>
      <c r="C5692" s="1" t="n">
        <v>45182</v>
      </c>
      <c r="D5692" t="inlineStr">
        <is>
          <t>JÄMTLANDS LÄN</t>
        </is>
      </c>
      <c r="E5692" t="inlineStr">
        <is>
          <t>BERG</t>
        </is>
      </c>
      <c r="F5692" t="inlineStr">
        <is>
          <t>SCA</t>
        </is>
      </c>
      <c r="G5692" t="n">
        <v>2.2</v>
      </c>
      <c r="H5692" t="n">
        <v>0</v>
      </c>
      <c r="I5692" t="n">
        <v>0</v>
      </c>
      <c r="J5692" t="n">
        <v>0</v>
      </c>
      <c r="K5692" t="n">
        <v>0</v>
      </c>
      <c r="L5692" t="n">
        <v>0</v>
      </c>
      <c r="M5692" t="n">
        <v>0</v>
      </c>
      <c r="N5692" t="n">
        <v>0</v>
      </c>
      <c r="O5692" t="n">
        <v>0</v>
      </c>
      <c r="P5692" t="n">
        <v>0</v>
      </c>
      <c r="Q5692" t="n">
        <v>0</v>
      </c>
      <c r="R5692" s="2" t="inlineStr"/>
    </row>
    <row r="5693" ht="15" customHeight="1">
      <c r="A5693" t="inlineStr">
        <is>
          <t>A 58431-2022</t>
        </is>
      </c>
      <c r="B5693" s="1" t="n">
        <v>44901</v>
      </c>
      <c r="C5693" s="1" t="n">
        <v>45182</v>
      </c>
      <c r="D5693" t="inlineStr">
        <is>
          <t>JÄMTLANDS LÄN</t>
        </is>
      </c>
      <c r="E5693" t="inlineStr">
        <is>
          <t>BERG</t>
        </is>
      </c>
      <c r="F5693" t="inlineStr">
        <is>
          <t>SCA</t>
        </is>
      </c>
      <c r="G5693" t="n">
        <v>8.1</v>
      </c>
      <c r="H5693" t="n">
        <v>0</v>
      </c>
      <c r="I5693" t="n">
        <v>0</v>
      </c>
      <c r="J5693" t="n">
        <v>0</v>
      </c>
      <c r="K5693" t="n">
        <v>0</v>
      </c>
      <c r="L5693" t="n">
        <v>0</v>
      </c>
      <c r="M5693" t="n">
        <v>0</v>
      </c>
      <c r="N5693" t="n">
        <v>0</v>
      </c>
      <c r="O5693" t="n">
        <v>0</v>
      </c>
      <c r="P5693" t="n">
        <v>0</v>
      </c>
      <c r="Q5693" t="n">
        <v>0</v>
      </c>
      <c r="R5693" s="2" t="inlineStr"/>
    </row>
    <row r="5694" ht="15" customHeight="1">
      <c r="A5694" t="inlineStr">
        <is>
          <t>A 59830-2022</t>
        </is>
      </c>
      <c r="B5694" s="1" t="n">
        <v>44901</v>
      </c>
      <c r="C5694" s="1" t="n">
        <v>45182</v>
      </c>
      <c r="D5694" t="inlineStr">
        <is>
          <t>JÄMTLANDS LÄN</t>
        </is>
      </c>
      <c r="E5694" t="inlineStr">
        <is>
          <t>KROKOM</t>
        </is>
      </c>
      <c r="G5694" t="n">
        <v>0.8</v>
      </c>
      <c r="H5694" t="n">
        <v>0</v>
      </c>
      <c r="I5694" t="n">
        <v>0</v>
      </c>
      <c r="J5694" t="n">
        <v>0</v>
      </c>
      <c r="K5694" t="n">
        <v>0</v>
      </c>
      <c r="L5694" t="n">
        <v>0</v>
      </c>
      <c r="M5694" t="n">
        <v>0</v>
      </c>
      <c r="N5694" t="n">
        <v>0</v>
      </c>
      <c r="O5694" t="n">
        <v>0</v>
      </c>
      <c r="P5694" t="n">
        <v>0</v>
      </c>
      <c r="Q5694" t="n">
        <v>0</v>
      </c>
      <c r="R5694" s="2" t="inlineStr"/>
    </row>
    <row r="5695" ht="15" customHeight="1">
      <c r="A5695" t="inlineStr">
        <is>
          <t>A 58442-2022</t>
        </is>
      </c>
      <c r="B5695" s="1" t="n">
        <v>44901</v>
      </c>
      <c r="C5695" s="1" t="n">
        <v>45182</v>
      </c>
      <c r="D5695" t="inlineStr">
        <is>
          <t>JÄMTLANDS LÄN</t>
        </is>
      </c>
      <c r="E5695" t="inlineStr">
        <is>
          <t>RAGUNDA</t>
        </is>
      </c>
      <c r="F5695" t="inlineStr">
        <is>
          <t>SCA</t>
        </is>
      </c>
      <c r="G5695" t="n">
        <v>8.199999999999999</v>
      </c>
      <c r="H5695" t="n">
        <v>0</v>
      </c>
      <c r="I5695" t="n">
        <v>0</v>
      </c>
      <c r="J5695" t="n">
        <v>0</v>
      </c>
      <c r="K5695" t="n">
        <v>0</v>
      </c>
      <c r="L5695" t="n">
        <v>0</v>
      </c>
      <c r="M5695" t="n">
        <v>0</v>
      </c>
      <c r="N5695" t="n">
        <v>0</v>
      </c>
      <c r="O5695" t="n">
        <v>0</v>
      </c>
      <c r="P5695" t="n">
        <v>0</v>
      </c>
      <c r="Q5695" t="n">
        <v>0</v>
      </c>
      <c r="R5695" s="2" t="inlineStr"/>
    </row>
    <row r="5696" ht="15" customHeight="1">
      <c r="A5696" t="inlineStr">
        <is>
          <t>A 58438-2022</t>
        </is>
      </c>
      <c r="B5696" s="1" t="n">
        <v>44901</v>
      </c>
      <c r="C5696" s="1" t="n">
        <v>45182</v>
      </c>
      <c r="D5696" t="inlineStr">
        <is>
          <t>JÄMTLANDS LÄN</t>
        </is>
      </c>
      <c r="E5696" t="inlineStr">
        <is>
          <t>RAGUNDA</t>
        </is>
      </c>
      <c r="F5696" t="inlineStr">
        <is>
          <t>SCA</t>
        </is>
      </c>
      <c r="G5696" t="n">
        <v>3.1</v>
      </c>
      <c r="H5696" t="n">
        <v>0</v>
      </c>
      <c r="I5696" t="n">
        <v>0</v>
      </c>
      <c r="J5696" t="n">
        <v>0</v>
      </c>
      <c r="K5696" t="n">
        <v>0</v>
      </c>
      <c r="L5696" t="n">
        <v>0</v>
      </c>
      <c r="M5696" t="n">
        <v>0</v>
      </c>
      <c r="N5696" t="n">
        <v>0</v>
      </c>
      <c r="O5696" t="n">
        <v>0</v>
      </c>
      <c r="P5696" t="n">
        <v>0</v>
      </c>
      <c r="Q5696" t="n">
        <v>0</v>
      </c>
      <c r="R5696" s="2" t="inlineStr"/>
    </row>
    <row r="5697" ht="15" customHeight="1">
      <c r="A5697" t="inlineStr">
        <is>
          <t>A 58443-2022</t>
        </is>
      </c>
      <c r="B5697" s="1" t="n">
        <v>44901</v>
      </c>
      <c r="C5697" s="1" t="n">
        <v>45182</v>
      </c>
      <c r="D5697" t="inlineStr">
        <is>
          <t>JÄMTLANDS LÄN</t>
        </is>
      </c>
      <c r="E5697" t="inlineStr">
        <is>
          <t>RAGUNDA</t>
        </is>
      </c>
      <c r="F5697" t="inlineStr">
        <is>
          <t>SCA</t>
        </is>
      </c>
      <c r="G5697" t="n">
        <v>4.4</v>
      </c>
      <c r="H5697" t="n">
        <v>0</v>
      </c>
      <c r="I5697" t="n">
        <v>0</v>
      </c>
      <c r="J5697" t="n">
        <v>0</v>
      </c>
      <c r="K5697" t="n">
        <v>0</v>
      </c>
      <c r="L5697" t="n">
        <v>0</v>
      </c>
      <c r="M5697" t="n">
        <v>0</v>
      </c>
      <c r="N5697" t="n">
        <v>0</v>
      </c>
      <c r="O5697" t="n">
        <v>0</v>
      </c>
      <c r="P5697" t="n">
        <v>0</v>
      </c>
      <c r="Q5697" t="n">
        <v>0</v>
      </c>
      <c r="R5697" s="2" t="inlineStr"/>
    </row>
    <row r="5698" ht="15" customHeight="1">
      <c r="A5698" t="inlineStr">
        <is>
          <t>A 58513-2022</t>
        </is>
      </c>
      <c r="B5698" s="1" t="n">
        <v>44902</v>
      </c>
      <c r="C5698" s="1" t="n">
        <v>45182</v>
      </c>
      <c r="D5698" t="inlineStr">
        <is>
          <t>JÄMTLANDS LÄN</t>
        </is>
      </c>
      <c r="E5698" t="inlineStr">
        <is>
          <t>ÅRE</t>
        </is>
      </c>
      <c r="G5698" t="n">
        <v>0.7</v>
      </c>
      <c r="H5698" t="n">
        <v>0</v>
      </c>
      <c r="I5698" t="n">
        <v>0</v>
      </c>
      <c r="J5698" t="n">
        <v>0</v>
      </c>
      <c r="K5698" t="n">
        <v>0</v>
      </c>
      <c r="L5698" t="n">
        <v>0</v>
      </c>
      <c r="M5698" t="n">
        <v>0</v>
      </c>
      <c r="N5698" t="n">
        <v>0</v>
      </c>
      <c r="O5698" t="n">
        <v>0</v>
      </c>
      <c r="P5698" t="n">
        <v>0</v>
      </c>
      <c r="Q5698" t="n">
        <v>0</v>
      </c>
      <c r="R5698" s="2" t="inlineStr"/>
    </row>
    <row r="5699" ht="15" customHeight="1">
      <c r="A5699" t="inlineStr">
        <is>
          <t>A 58511-2022</t>
        </is>
      </c>
      <c r="B5699" s="1" t="n">
        <v>44902</v>
      </c>
      <c r="C5699" s="1" t="n">
        <v>45182</v>
      </c>
      <c r="D5699" t="inlineStr">
        <is>
          <t>JÄMTLANDS LÄN</t>
        </is>
      </c>
      <c r="E5699" t="inlineStr">
        <is>
          <t>BRÄCKE</t>
        </is>
      </c>
      <c r="G5699" t="n">
        <v>5.4</v>
      </c>
      <c r="H5699" t="n">
        <v>0</v>
      </c>
      <c r="I5699" t="n">
        <v>0</v>
      </c>
      <c r="J5699" t="n">
        <v>0</v>
      </c>
      <c r="K5699" t="n">
        <v>0</v>
      </c>
      <c r="L5699" t="n">
        <v>0</v>
      </c>
      <c r="M5699" t="n">
        <v>0</v>
      </c>
      <c r="N5699" t="n">
        <v>0</v>
      </c>
      <c r="O5699" t="n">
        <v>0</v>
      </c>
      <c r="P5699" t="n">
        <v>0</v>
      </c>
      <c r="Q5699" t="n">
        <v>0</v>
      </c>
      <c r="R5699" s="2" t="inlineStr"/>
    </row>
    <row r="5700" ht="15" customHeight="1">
      <c r="A5700" t="inlineStr">
        <is>
          <t>A 60028-2022</t>
        </is>
      </c>
      <c r="B5700" s="1" t="n">
        <v>44902</v>
      </c>
      <c r="C5700" s="1" t="n">
        <v>45182</v>
      </c>
      <c r="D5700" t="inlineStr">
        <is>
          <t>JÄMTLANDS LÄN</t>
        </is>
      </c>
      <c r="E5700" t="inlineStr">
        <is>
          <t>BERG</t>
        </is>
      </c>
      <c r="G5700" t="n">
        <v>20</v>
      </c>
      <c r="H5700" t="n">
        <v>0</v>
      </c>
      <c r="I5700" t="n">
        <v>0</v>
      </c>
      <c r="J5700" t="n">
        <v>0</v>
      </c>
      <c r="K5700" t="n">
        <v>0</v>
      </c>
      <c r="L5700" t="n">
        <v>0</v>
      </c>
      <c r="M5700" t="n">
        <v>0</v>
      </c>
      <c r="N5700" t="n">
        <v>0</v>
      </c>
      <c r="O5700" t="n">
        <v>0</v>
      </c>
      <c r="P5700" t="n">
        <v>0</v>
      </c>
      <c r="Q5700" t="n">
        <v>0</v>
      </c>
      <c r="R5700" s="2" t="inlineStr"/>
    </row>
    <row r="5701" ht="15" customHeight="1">
      <c r="A5701" t="inlineStr">
        <is>
          <t>A 58516-2022</t>
        </is>
      </c>
      <c r="B5701" s="1" t="n">
        <v>44902</v>
      </c>
      <c r="C5701" s="1" t="n">
        <v>45182</v>
      </c>
      <c r="D5701" t="inlineStr">
        <is>
          <t>JÄMTLANDS LÄN</t>
        </is>
      </c>
      <c r="E5701" t="inlineStr">
        <is>
          <t>ÅRE</t>
        </is>
      </c>
      <c r="G5701" t="n">
        <v>0.5</v>
      </c>
      <c r="H5701" t="n">
        <v>0</v>
      </c>
      <c r="I5701" t="n">
        <v>0</v>
      </c>
      <c r="J5701" t="n">
        <v>0</v>
      </c>
      <c r="K5701" t="n">
        <v>0</v>
      </c>
      <c r="L5701" t="n">
        <v>0</v>
      </c>
      <c r="M5701" t="n">
        <v>0</v>
      </c>
      <c r="N5701" t="n">
        <v>0</v>
      </c>
      <c r="O5701" t="n">
        <v>0</v>
      </c>
      <c r="P5701" t="n">
        <v>0</v>
      </c>
      <c r="Q5701" t="n">
        <v>0</v>
      </c>
      <c r="R5701" s="2" t="inlineStr"/>
    </row>
    <row r="5702" ht="15" customHeight="1">
      <c r="A5702" t="inlineStr">
        <is>
          <t>A 58743-2022</t>
        </is>
      </c>
      <c r="B5702" s="1" t="n">
        <v>44902</v>
      </c>
      <c r="C5702" s="1" t="n">
        <v>45182</v>
      </c>
      <c r="D5702" t="inlineStr">
        <is>
          <t>JÄMTLANDS LÄN</t>
        </is>
      </c>
      <c r="E5702" t="inlineStr">
        <is>
          <t>STRÖMSUND</t>
        </is>
      </c>
      <c r="F5702" t="inlineStr">
        <is>
          <t>SCA</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58728-2022</t>
        </is>
      </c>
      <c r="B5703" s="1" t="n">
        <v>44902</v>
      </c>
      <c r="C5703" s="1" t="n">
        <v>45182</v>
      </c>
      <c r="D5703" t="inlineStr">
        <is>
          <t>JÄMTLANDS LÄN</t>
        </is>
      </c>
      <c r="E5703" t="inlineStr">
        <is>
          <t>BRÄCKE</t>
        </is>
      </c>
      <c r="G5703" t="n">
        <v>21.5</v>
      </c>
      <c r="H5703" t="n">
        <v>0</v>
      </c>
      <c r="I5703" t="n">
        <v>0</v>
      </c>
      <c r="J5703" t="n">
        <v>0</v>
      </c>
      <c r="K5703" t="n">
        <v>0</v>
      </c>
      <c r="L5703" t="n">
        <v>0</v>
      </c>
      <c r="M5703" t="n">
        <v>0</v>
      </c>
      <c r="N5703" t="n">
        <v>0</v>
      </c>
      <c r="O5703" t="n">
        <v>0</v>
      </c>
      <c r="P5703" t="n">
        <v>0</v>
      </c>
      <c r="Q5703" t="n">
        <v>0</v>
      </c>
      <c r="R5703" s="2" t="inlineStr"/>
    </row>
    <row r="5704" ht="15" customHeight="1">
      <c r="A5704" t="inlineStr">
        <is>
          <t>A 58744-2022</t>
        </is>
      </c>
      <c r="B5704" s="1" t="n">
        <v>44902</v>
      </c>
      <c r="C5704" s="1" t="n">
        <v>45182</v>
      </c>
      <c r="D5704" t="inlineStr">
        <is>
          <t>JÄMTLANDS LÄN</t>
        </is>
      </c>
      <c r="E5704" t="inlineStr">
        <is>
          <t>STRÖMSUND</t>
        </is>
      </c>
      <c r="F5704" t="inlineStr">
        <is>
          <t>SCA</t>
        </is>
      </c>
      <c r="G5704" t="n">
        <v>3.6</v>
      </c>
      <c r="H5704" t="n">
        <v>0</v>
      </c>
      <c r="I5704" t="n">
        <v>0</v>
      </c>
      <c r="J5704" t="n">
        <v>0</v>
      </c>
      <c r="K5704" t="n">
        <v>0</v>
      </c>
      <c r="L5704" t="n">
        <v>0</v>
      </c>
      <c r="M5704" t="n">
        <v>0</v>
      </c>
      <c r="N5704" t="n">
        <v>0</v>
      </c>
      <c r="O5704" t="n">
        <v>0</v>
      </c>
      <c r="P5704" t="n">
        <v>0</v>
      </c>
      <c r="Q5704" t="n">
        <v>0</v>
      </c>
      <c r="R5704" s="2" t="inlineStr"/>
    </row>
    <row r="5705" ht="15" customHeight="1">
      <c r="A5705" t="inlineStr">
        <is>
          <t>A 60024-2022</t>
        </is>
      </c>
      <c r="B5705" s="1" t="n">
        <v>44902</v>
      </c>
      <c r="C5705" s="1" t="n">
        <v>45182</v>
      </c>
      <c r="D5705" t="inlineStr">
        <is>
          <t>JÄMTLANDS LÄN</t>
        </is>
      </c>
      <c r="E5705" t="inlineStr">
        <is>
          <t>BERG</t>
        </is>
      </c>
      <c r="G5705" t="n">
        <v>6.2</v>
      </c>
      <c r="H5705" t="n">
        <v>0</v>
      </c>
      <c r="I5705" t="n">
        <v>0</v>
      </c>
      <c r="J5705" t="n">
        <v>0</v>
      </c>
      <c r="K5705" t="n">
        <v>0</v>
      </c>
      <c r="L5705" t="n">
        <v>0</v>
      </c>
      <c r="M5705" t="n">
        <v>0</v>
      </c>
      <c r="N5705" t="n">
        <v>0</v>
      </c>
      <c r="O5705" t="n">
        <v>0</v>
      </c>
      <c r="P5705" t="n">
        <v>0</v>
      </c>
      <c r="Q5705" t="n">
        <v>0</v>
      </c>
      <c r="R5705" s="2" t="inlineStr"/>
    </row>
    <row r="5706" ht="15" customHeight="1">
      <c r="A5706" t="inlineStr">
        <is>
          <t>A 60068-2022</t>
        </is>
      </c>
      <c r="B5706" s="1" t="n">
        <v>44902</v>
      </c>
      <c r="C5706" s="1" t="n">
        <v>45182</v>
      </c>
      <c r="D5706" t="inlineStr">
        <is>
          <t>JÄMTLANDS LÄN</t>
        </is>
      </c>
      <c r="E5706" t="inlineStr">
        <is>
          <t>BERG</t>
        </is>
      </c>
      <c r="G5706" t="n">
        <v>5.2</v>
      </c>
      <c r="H5706" t="n">
        <v>0</v>
      </c>
      <c r="I5706" t="n">
        <v>0</v>
      </c>
      <c r="J5706" t="n">
        <v>0</v>
      </c>
      <c r="K5706" t="n">
        <v>0</v>
      </c>
      <c r="L5706" t="n">
        <v>0</v>
      </c>
      <c r="M5706" t="n">
        <v>0</v>
      </c>
      <c r="N5706" t="n">
        <v>0</v>
      </c>
      <c r="O5706" t="n">
        <v>0</v>
      </c>
      <c r="P5706" t="n">
        <v>0</v>
      </c>
      <c r="Q5706" t="n">
        <v>0</v>
      </c>
      <c r="R5706" s="2" t="inlineStr"/>
    </row>
    <row r="5707" ht="15" customHeight="1">
      <c r="A5707" t="inlineStr">
        <is>
          <t>A 58758-2022</t>
        </is>
      </c>
      <c r="B5707" s="1" t="n">
        <v>44903</v>
      </c>
      <c r="C5707" s="1" t="n">
        <v>45182</v>
      </c>
      <c r="D5707" t="inlineStr">
        <is>
          <t>JÄMTLANDS LÄN</t>
        </is>
      </c>
      <c r="E5707" t="inlineStr">
        <is>
          <t>ÅRE</t>
        </is>
      </c>
      <c r="F5707" t="inlineStr">
        <is>
          <t>Övriga Aktiebolag</t>
        </is>
      </c>
      <c r="G5707" t="n">
        <v>42.9</v>
      </c>
      <c r="H5707" t="n">
        <v>0</v>
      </c>
      <c r="I5707" t="n">
        <v>0</v>
      </c>
      <c r="J5707" t="n">
        <v>0</v>
      </c>
      <c r="K5707" t="n">
        <v>0</v>
      </c>
      <c r="L5707" t="n">
        <v>0</v>
      </c>
      <c r="M5707" t="n">
        <v>0</v>
      </c>
      <c r="N5707" t="n">
        <v>0</v>
      </c>
      <c r="O5707" t="n">
        <v>0</v>
      </c>
      <c r="P5707" t="n">
        <v>0</v>
      </c>
      <c r="Q5707" t="n">
        <v>0</v>
      </c>
      <c r="R5707" s="2" t="inlineStr"/>
    </row>
    <row r="5708" ht="15" customHeight="1">
      <c r="A5708" t="inlineStr">
        <is>
          <t>A 58905-2022</t>
        </is>
      </c>
      <c r="B5708" s="1" t="n">
        <v>44903</v>
      </c>
      <c r="C5708" s="1" t="n">
        <v>45182</v>
      </c>
      <c r="D5708" t="inlineStr">
        <is>
          <t>JÄMTLANDS LÄN</t>
        </is>
      </c>
      <c r="E5708" t="inlineStr">
        <is>
          <t>STRÖMSUND</t>
        </is>
      </c>
      <c r="G5708" t="n">
        <v>0.7</v>
      </c>
      <c r="H5708" t="n">
        <v>0</v>
      </c>
      <c r="I5708" t="n">
        <v>0</v>
      </c>
      <c r="J5708" t="n">
        <v>0</v>
      </c>
      <c r="K5708" t="n">
        <v>0</v>
      </c>
      <c r="L5708" t="n">
        <v>0</v>
      </c>
      <c r="M5708" t="n">
        <v>0</v>
      </c>
      <c r="N5708" t="n">
        <v>0</v>
      </c>
      <c r="O5708" t="n">
        <v>0</v>
      </c>
      <c r="P5708" t="n">
        <v>0</v>
      </c>
      <c r="Q5708" t="n">
        <v>0</v>
      </c>
      <c r="R5708" s="2" t="inlineStr"/>
    </row>
    <row r="5709" ht="15" customHeight="1">
      <c r="A5709" t="inlineStr">
        <is>
          <t>A 60225-2022</t>
        </is>
      </c>
      <c r="B5709" s="1" t="n">
        <v>44903</v>
      </c>
      <c r="C5709" s="1" t="n">
        <v>45182</v>
      </c>
      <c r="D5709" t="inlineStr">
        <is>
          <t>JÄMTLANDS LÄN</t>
        </is>
      </c>
      <c r="E5709" t="inlineStr">
        <is>
          <t>RAGUNDA</t>
        </is>
      </c>
      <c r="G5709" t="n">
        <v>1</v>
      </c>
      <c r="H5709" t="n">
        <v>0</v>
      </c>
      <c r="I5709" t="n">
        <v>0</v>
      </c>
      <c r="J5709" t="n">
        <v>0</v>
      </c>
      <c r="K5709" t="n">
        <v>0</v>
      </c>
      <c r="L5709" t="n">
        <v>0</v>
      </c>
      <c r="M5709" t="n">
        <v>0</v>
      </c>
      <c r="N5709" t="n">
        <v>0</v>
      </c>
      <c r="O5709" t="n">
        <v>0</v>
      </c>
      <c r="P5709" t="n">
        <v>0</v>
      </c>
      <c r="Q5709" t="n">
        <v>0</v>
      </c>
      <c r="R5709" s="2" t="inlineStr"/>
    </row>
    <row r="5710" ht="15" customHeight="1">
      <c r="A5710" t="inlineStr">
        <is>
          <t>A 60249-2022</t>
        </is>
      </c>
      <c r="B5710" s="1" t="n">
        <v>44903</v>
      </c>
      <c r="C5710" s="1" t="n">
        <v>45182</v>
      </c>
      <c r="D5710" t="inlineStr">
        <is>
          <t>JÄMTLANDS LÄN</t>
        </is>
      </c>
      <c r="E5710" t="inlineStr">
        <is>
          <t>BERG</t>
        </is>
      </c>
      <c r="G5710" t="n">
        <v>6</v>
      </c>
      <c r="H5710" t="n">
        <v>0</v>
      </c>
      <c r="I5710" t="n">
        <v>0</v>
      </c>
      <c r="J5710" t="n">
        <v>0</v>
      </c>
      <c r="K5710" t="n">
        <v>0</v>
      </c>
      <c r="L5710" t="n">
        <v>0</v>
      </c>
      <c r="M5710" t="n">
        <v>0</v>
      </c>
      <c r="N5710" t="n">
        <v>0</v>
      </c>
      <c r="O5710" t="n">
        <v>0</v>
      </c>
      <c r="P5710" t="n">
        <v>0</v>
      </c>
      <c r="Q5710" t="n">
        <v>0</v>
      </c>
      <c r="R5710" s="2" t="inlineStr"/>
    </row>
    <row r="5711" ht="15" customHeight="1">
      <c r="A5711" t="inlineStr">
        <is>
          <t>A 60280-2022</t>
        </is>
      </c>
      <c r="B5711" s="1" t="n">
        <v>44903</v>
      </c>
      <c r="C5711" s="1" t="n">
        <v>45182</v>
      </c>
      <c r="D5711" t="inlineStr">
        <is>
          <t>JÄMTLANDS LÄN</t>
        </is>
      </c>
      <c r="E5711" t="inlineStr">
        <is>
          <t>BERG</t>
        </is>
      </c>
      <c r="G5711" t="n">
        <v>1.6</v>
      </c>
      <c r="H5711" t="n">
        <v>0</v>
      </c>
      <c r="I5711" t="n">
        <v>0</v>
      </c>
      <c r="J5711" t="n">
        <v>0</v>
      </c>
      <c r="K5711" t="n">
        <v>0</v>
      </c>
      <c r="L5711" t="n">
        <v>0</v>
      </c>
      <c r="M5711" t="n">
        <v>0</v>
      </c>
      <c r="N5711" t="n">
        <v>0</v>
      </c>
      <c r="O5711" t="n">
        <v>0</v>
      </c>
      <c r="P5711" t="n">
        <v>0</v>
      </c>
      <c r="Q5711" t="n">
        <v>0</v>
      </c>
      <c r="R5711" s="2" t="inlineStr"/>
    </row>
    <row r="5712" ht="15" customHeight="1">
      <c r="A5712" t="inlineStr">
        <is>
          <t>A 60271-2022</t>
        </is>
      </c>
      <c r="B5712" s="1" t="n">
        <v>44903</v>
      </c>
      <c r="C5712" s="1" t="n">
        <v>45182</v>
      </c>
      <c r="D5712" t="inlineStr">
        <is>
          <t>JÄMTLANDS LÄN</t>
        </is>
      </c>
      <c r="E5712" t="inlineStr">
        <is>
          <t>BERG</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58856-2022</t>
        </is>
      </c>
      <c r="B5713" s="1" t="n">
        <v>44903</v>
      </c>
      <c r="C5713" s="1" t="n">
        <v>45182</v>
      </c>
      <c r="D5713" t="inlineStr">
        <is>
          <t>JÄMTLANDS LÄN</t>
        </is>
      </c>
      <c r="E5713" t="inlineStr">
        <is>
          <t>ÅRE</t>
        </is>
      </c>
      <c r="F5713" t="inlineStr">
        <is>
          <t>Övriga Aktiebolag</t>
        </is>
      </c>
      <c r="G5713" t="n">
        <v>10.2</v>
      </c>
      <c r="H5713" t="n">
        <v>0</v>
      </c>
      <c r="I5713" t="n">
        <v>0</v>
      </c>
      <c r="J5713" t="n">
        <v>0</v>
      </c>
      <c r="K5713" t="n">
        <v>0</v>
      </c>
      <c r="L5713" t="n">
        <v>0</v>
      </c>
      <c r="M5713" t="n">
        <v>0</v>
      </c>
      <c r="N5713" t="n">
        <v>0</v>
      </c>
      <c r="O5713" t="n">
        <v>0</v>
      </c>
      <c r="P5713" t="n">
        <v>0</v>
      </c>
      <c r="Q5713" t="n">
        <v>0</v>
      </c>
      <c r="R5713" s="2" t="inlineStr"/>
    </row>
    <row r="5714" ht="15" customHeight="1">
      <c r="A5714" t="inlineStr">
        <is>
          <t>A 58917-2022</t>
        </is>
      </c>
      <c r="B5714" s="1" t="n">
        <v>44903</v>
      </c>
      <c r="C5714" s="1" t="n">
        <v>45182</v>
      </c>
      <c r="D5714" t="inlineStr">
        <is>
          <t>JÄMTLANDS LÄN</t>
        </is>
      </c>
      <c r="E5714" t="inlineStr">
        <is>
          <t>ÅRE</t>
        </is>
      </c>
      <c r="F5714" t="inlineStr">
        <is>
          <t>Övriga Aktiebolag</t>
        </is>
      </c>
      <c r="G5714" t="n">
        <v>3.3</v>
      </c>
      <c r="H5714" t="n">
        <v>0</v>
      </c>
      <c r="I5714" t="n">
        <v>0</v>
      </c>
      <c r="J5714" t="n">
        <v>0</v>
      </c>
      <c r="K5714" t="n">
        <v>0</v>
      </c>
      <c r="L5714" t="n">
        <v>0</v>
      </c>
      <c r="M5714" t="n">
        <v>0</v>
      </c>
      <c r="N5714" t="n">
        <v>0</v>
      </c>
      <c r="O5714" t="n">
        <v>0</v>
      </c>
      <c r="P5714" t="n">
        <v>0</v>
      </c>
      <c r="Q5714" t="n">
        <v>0</v>
      </c>
      <c r="R5714" s="2" t="inlineStr"/>
    </row>
    <row r="5715" ht="15" customHeight="1">
      <c r="A5715" t="inlineStr">
        <is>
          <t>A 59044-2022</t>
        </is>
      </c>
      <c r="B5715" s="1" t="n">
        <v>44903</v>
      </c>
      <c r="C5715" s="1" t="n">
        <v>45182</v>
      </c>
      <c r="D5715" t="inlineStr">
        <is>
          <t>JÄMTLANDS LÄN</t>
        </is>
      </c>
      <c r="E5715" t="inlineStr">
        <is>
          <t>RAGUNDA</t>
        </is>
      </c>
      <c r="F5715" t="inlineStr">
        <is>
          <t>SCA</t>
        </is>
      </c>
      <c r="G5715" t="n">
        <v>3</v>
      </c>
      <c r="H5715" t="n">
        <v>0</v>
      </c>
      <c r="I5715" t="n">
        <v>0</v>
      </c>
      <c r="J5715" t="n">
        <v>0</v>
      </c>
      <c r="K5715" t="n">
        <v>0</v>
      </c>
      <c r="L5715" t="n">
        <v>0</v>
      </c>
      <c r="M5715" t="n">
        <v>0</v>
      </c>
      <c r="N5715" t="n">
        <v>0</v>
      </c>
      <c r="O5715" t="n">
        <v>0</v>
      </c>
      <c r="P5715" t="n">
        <v>0</v>
      </c>
      <c r="Q5715" t="n">
        <v>0</v>
      </c>
      <c r="R5715" s="2" t="inlineStr"/>
    </row>
    <row r="5716" ht="15" customHeight="1">
      <c r="A5716" t="inlineStr">
        <is>
          <t>A 60274-2022</t>
        </is>
      </c>
      <c r="B5716" s="1" t="n">
        <v>44903</v>
      </c>
      <c r="C5716" s="1" t="n">
        <v>45182</v>
      </c>
      <c r="D5716" t="inlineStr">
        <is>
          <t>JÄMTLANDS LÄN</t>
        </is>
      </c>
      <c r="E5716" t="inlineStr">
        <is>
          <t>BERG</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58910-2022</t>
        </is>
      </c>
      <c r="B5717" s="1" t="n">
        <v>44903</v>
      </c>
      <c r="C5717" s="1" t="n">
        <v>45182</v>
      </c>
      <c r="D5717" t="inlineStr">
        <is>
          <t>JÄMTLANDS LÄN</t>
        </is>
      </c>
      <c r="E5717" t="inlineStr">
        <is>
          <t>BERG</t>
        </is>
      </c>
      <c r="G5717" t="n">
        <v>2.7</v>
      </c>
      <c r="H5717" t="n">
        <v>0</v>
      </c>
      <c r="I5717" t="n">
        <v>0</v>
      </c>
      <c r="J5717" t="n">
        <v>0</v>
      </c>
      <c r="K5717" t="n">
        <v>0</v>
      </c>
      <c r="L5717" t="n">
        <v>0</v>
      </c>
      <c r="M5717" t="n">
        <v>0</v>
      </c>
      <c r="N5717" t="n">
        <v>0</v>
      </c>
      <c r="O5717" t="n">
        <v>0</v>
      </c>
      <c r="P5717" t="n">
        <v>0</v>
      </c>
      <c r="Q5717" t="n">
        <v>0</v>
      </c>
      <c r="R5717" s="2" t="inlineStr"/>
    </row>
    <row r="5718" ht="15" customHeight="1">
      <c r="A5718" t="inlineStr">
        <is>
          <t>A 59154-2022</t>
        </is>
      </c>
      <c r="B5718" s="1" t="n">
        <v>44904</v>
      </c>
      <c r="C5718" s="1" t="n">
        <v>45182</v>
      </c>
      <c r="D5718" t="inlineStr">
        <is>
          <t>JÄMTLANDS LÄN</t>
        </is>
      </c>
      <c r="E5718" t="inlineStr">
        <is>
          <t>ÅRE</t>
        </is>
      </c>
      <c r="G5718" t="n">
        <v>4.6</v>
      </c>
      <c r="H5718" t="n">
        <v>0</v>
      </c>
      <c r="I5718" t="n">
        <v>0</v>
      </c>
      <c r="J5718" t="n">
        <v>0</v>
      </c>
      <c r="K5718" t="n">
        <v>0</v>
      </c>
      <c r="L5718" t="n">
        <v>0</v>
      </c>
      <c r="M5718" t="n">
        <v>0</v>
      </c>
      <c r="N5718" t="n">
        <v>0</v>
      </c>
      <c r="O5718" t="n">
        <v>0</v>
      </c>
      <c r="P5718" t="n">
        <v>0</v>
      </c>
      <c r="Q5718" t="n">
        <v>0</v>
      </c>
      <c r="R5718" s="2" t="inlineStr"/>
    </row>
    <row r="5719" ht="15" customHeight="1">
      <c r="A5719" t="inlineStr">
        <is>
          <t>A 59367-2022</t>
        </is>
      </c>
      <c r="B5719" s="1" t="n">
        <v>44904</v>
      </c>
      <c r="C5719" s="1" t="n">
        <v>45182</v>
      </c>
      <c r="D5719" t="inlineStr">
        <is>
          <t>JÄMTLANDS LÄN</t>
        </is>
      </c>
      <c r="E5719" t="inlineStr">
        <is>
          <t>STRÖMSUND</t>
        </is>
      </c>
      <c r="F5719" t="inlineStr">
        <is>
          <t>SCA</t>
        </is>
      </c>
      <c r="G5719" t="n">
        <v>3.3</v>
      </c>
      <c r="H5719" t="n">
        <v>0</v>
      </c>
      <c r="I5719" t="n">
        <v>0</v>
      </c>
      <c r="J5719" t="n">
        <v>0</v>
      </c>
      <c r="K5719" t="n">
        <v>0</v>
      </c>
      <c r="L5719" t="n">
        <v>0</v>
      </c>
      <c r="M5719" t="n">
        <v>0</v>
      </c>
      <c r="N5719" t="n">
        <v>0</v>
      </c>
      <c r="O5719" t="n">
        <v>0</v>
      </c>
      <c r="P5719" t="n">
        <v>0</v>
      </c>
      <c r="Q5719" t="n">
        <v>0</v>
      </c>
      <c r="R5719" s="2" t="inlineStr"/>
    </row>
    <row r="5720" ht="15" customHeight="1">
      <c r="A5720" t="inlineStr">
        <is>
          <t>A 59076-2022</t>
        </is>
      </c>
      <c r="B5720" s="1" t="n">
        <v>44904</v>
      </c>
      <c r="C5720" s="1" t="n">
        <v>45182</v>
      </c>
      <c r="D5720" t="inlineStr">
        <is>
          <t>JÄMTLANDS LÄN</t>
        </is>
      </c>
      <c r="E5720" t="inlineStr">
        <is>
          <t>KROKOM</t>
        </is>
      </c>
      <c r="G5720" t="n">
        <v>3.4</v>
      </c>
      <c r="H5720" t="n">
        <v>0</v>
      </c>
      <c r="I5720" t="n">
        <v>0</v>
      </c>
      <c r="J5720" t="n">
        <v>0</v>
      </c>
      <c r="K5720" t="n">
        <v>0</v>
      </c>
      <c r="L5720" t="n">
        <v>0</v>
      </c>
      <c r="M5720" t="n">
        <v>0</v>
      </c>
      <c r="N5720" t="n">
        <v>0</v>
      </c>
      <c r="O5720" t="n">
        <v>0</v>
      </c>
      <c r="P5720" t="n">
        <v>0</v>
      </c>
      <c r="Q5720" t="n">
        <v>0</v>
      </c>
      <c r="R5720" s="2" t="inlineStr"/>
    </row>
    <row r="5721" ht="15" customHeight="1">
      <c r="A5721" t="inlineStr">
        <is>
          <t>A 60528-2022</t>
        </is>
      </c>
      <c r="B5721" s="1" t="n">
        <v>44904</v>
      </c>
      <c r="C5721" s="1" t="n">
        <v>45182</v>
      </c>
      <c r="D5721" t="inlineStr">
        <is>
          <t>JÄMTLANDS LÄN</t>
        </is>
      </c>
      <c r="E5721" t="inlineStr">
        <is>
          <t>ÅRE</t>
        </is>
      </c>
      <c r="G5721" t="n">
        <v>4</v>
      </c>
      <c r="H5721" t="n">
        <v>0</v>
      </c>
      <c r="I5721" t="n">
        <v>0</v>
      </c>
      <c r="J5721" t="n">
        <v>0</v>
      </c>
      <c r="K5721" t="n">
        <v>0</v>
      </c>
      <c r="L5721" t="n">
        <v>0</v>
      </c>
      <c r="M5721" t="n">
        <v>0</v>
      </c>
      <c r="N5721" t="n">
        <v>0</v>
      </c>
      <c r="O5721" t="n">
        <v>0</v>
      </c>
      <c r="P5721" t="n">
        <v>0</v>
      </c>
      <c r="Q5721" t="n">
        <v>0</v>
      </c>
      <c r="R5721" s="2" t="inlineStr"/>
    </row>
    <row r="5722" ht="15" customHeight="1">
      <c r="A5722" t="inlineStr">
        <is>
          <t>A 60535-2022</t>
        </is>
      </c>
      <c r="B5722" s="1" t="n">
        <v>44904</v>
      </c>
      <c r="C5722" s="1" t="n">
        <v>45182</v>
      </c>
      <c r="D5722" t="inlineStr">
        <is>
          <t>JÄMTLANDS LÄN</t>
        </is>
      </c>
      <c r="E5722" t="inlineStr">
        <is>
          <t>ÅRE</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59163-2022</t>
        </is>
      </c>
      <c r="B5723" s="1" t="n">
        <v>44904</v>
      </c>
      <c r="C5723" s="1" t="n">
        <v>45182</v>
      </c>
      <c r="D5723" t="inlineStr">
        <is>
          <t>JÄMTLANDS LÄN</t>
        </is>
      </c>
      <c r="E5723" t="inlineStr">
        <is>
          <t>ÅRE</t>
        </is>
      </c>
      <c r="G5723" t="n">
        <v>3.3</v>
      </c>
      <c r="H5723" t="n">
        <v>0</v>
      </c>
      <c r="I5723" t="n">
        <v>0</v>
      </c>
      <c r="J5723" t="n">
        <v>0</v>
      </c>
      <c r="K5723" t="n">
        <v>0</v>
      </c>
      <c r="L5723" t="n">
        <v>0</v>
      </c>
      <c r="M5723" t="n">
        <v>0</v>
      </c>
      <c r="N5723" t="n">
        <v>0</v>
      </c>
      <c r="O5723" t="n">
        <v>0</v>
      </c>
      <c r="P5723" t="n">
        <v>0</v>
      </c>
      <c r="Q5723" t="n">
        <v>0</v>
      </c>
      <c r="R5723" s="2" t="inlineStr"/>
    </row>
    <row r="5724" ht="15" customHeight="1">
      <c r="A5724" t="inlineStr">
        <is>
          <t>A 59376-2022</t>
        </is>
      </c>
      <c r="B5724" s="1" t="n">
        <v>44904</v>
      </c>
      <c r="C5724" s="1" t="n">
        <v>45182</v>
      </c>
      <c r="D5724" t="inlineStr">
        <is>
          <t>JÄMTLANDS LÄN</t>
        </is>
      </c>
      <c r="E5724" t="inlineStr">
        <is>
          <t>STRÖMSUND</t>
        </is>
      </c>
      <c r="F5724" t="inlineStr">
        <is>
          <t>SCA</t>
        </is>
      </c>
      <c r="G5724" t="n">
        <v>0.7</v>
      </c>
      <c r="H5724" t="n">
        <v>0</v>
      </c>
      <c r="I5724" t="n">
        <v>0</v>
      </c>
      <c r="J5724" t="n">
        <v>0</v>
      </c>
      <c r="K5724" t="n">
        <v>0</v>
      </c>
      <c r="L5724" t="n">
        <v>0</v>
      </c>
      <c r="M5724" t="n">
        <v>0</v>
      </c>
      <c r="N5724" t="n">
        <v>0</v>
      </c>
      <c r="O5724" t="n">
        <v>0</v>
      </c>
      <c r="P5724" t="n">
        <v>0</v>
      </c>
      <c r="Q5724" t="n">
        <v>0</v>
      </c>
      <c r="R5724" s="2" t="inlineStr"/>
    </row>
    <row r="5725" ht="15" customHeight="1">
      <c r="A5725" t="inlineStr">
        <is>
          <t>A 60540-2022</t>
        </is>
      </c>
      <c r="B5725" s="1" t="n">
        <v>44904</v>
      </c>
      <c r="C5725" s="1" t="n">
        <v>45182</v>
      </c>
      <c r="D5725" t="inlineStr">
        <is>
          <t>JÄMTLANDS LÄN</t>
        </is>
      </c>
      <c r="E5725" t="inlineStr">
        <is>
          <t>ÅRE</t>
        </is>
      </c>
      <c r="G5725" t="n">
        <v>1</v>
      </c>
      <c r="H5725" t="n">
        <v>0</v>
      </c>
      <c r="I5725" t="n">
        <v>0</v>
      </c>
      <c r="J5725" t="n">
        <v>0</v>
      </c>
      <c r="K5725" t="n">
        <v>0</v>
      </c>
      <c r="L5725" t="n">
        <v>0</v>
      </c>
      <c r="M5725" t="n">
        <v>0</v>
      </c>
      <c r="N5725" t="n">
        <v>0</v>
      </c>
      <c r="O5725" t="n">
        <v>0</v>
      </c>
      <c r="P5725" t="n">
        <v>0</v>
      </c>
      <c r="Q5725" t="n">
        <v>0</v>
      </c>
      <c r="R5725" s="2" t="inlineStr"/>
    </row>
    <row r="5726" ht="15" customHeight="1">
      <c r="A5726" t="inlineStr">
        <is>
          <t>A 59266-2022</t>
        </is>
      </c>
      <c r="B5726" s="1" t="n">
        <v>44904</v>
      </c>
      <c r="C5726" s="1" t="n">
        <v>45182</v>
      </c>
      <c r="D5726" t="inlineStr">
        <is>
          <t>JÄMTLANDS LÄN</t>
        </is>
      </c>
      <c r="E5726" t="inlineStr">
        <is>
          <t>ÖSTERSUND</t>
        </is>
      </c>
      <c r="F5726" t="inlineStr">
        <is>
          <t>Övriga Aktiebolag</t>
        </is>
      </c>
      <c r="G5726" t="n">
        <v>11</v>
      </c>
      <c r="H5726" t="n">
        <v>0</v>
      </c>
      <c r="I5726" t="n">
        <v>0</v>
      </c>
      <c r="J5726" t="n">
        <v>0</v>
      </c>
      <c r="K5726" t="n">
        <v>0</v>
      </c>
      <c r="L5726" t="n">
        <v>0</v>
      </c>
      <c r="M5726" t="n">
        <v>0</v>
      </c>
      <c r="N5726" t="n">
        <v>0</v>
      </c>
      <c r="O5726" t="n">
        <v>0</v>
      </c>
      <c r="P5726" t="n">
        <v>0</v>
      </c>
      <c r="Q5726" t="n">
        <v>0</v>
      </c>
      <c r="R5726" s="2" t="inlineStr"/>
    </row>
    <row r="5727" ht="15" customHeight="1">
      <c r="A5727" t="inlineStr">
        <is>
          <t>A 59373-2022</t>
        </is>
      </c>
      <c r="B5727" s="1" t="n">
        <v>44904</v>
      </c>
      <c r="C5727" s="1" t="n">
        <v>45182</v>
      </c>
      <c r="D5727" t="inlineStr">
        <is>
          <t>JÄMTLANDS LÄN</t>
        </is>
      </c>
      <c r="E5727" t="inlineStr">
        <is>
          <t>RAGUNDA</t>
        </is>
      </c>
      <c r="F5727" t="inlineStr">
        <is>
          <t>SCA</t>
        </is>
      </c>
      <c r="G5727" t="n">
        <v>25</v>
      </c>
      <c r="H5727" t="n">
        <v>0</v>
      </c>
      <c r="I5727" t="n">
        <v>0</v>
      </c>
      <c r="J5727" t="n">
        <v>0</v>
      </c>
      <c r="K5727" t="n">
        <v>0</v>
      </c>
      <c r="L5727" t="n">
        <v>0</v>
      </c>
      <c r="M5727" t="n">
        <v>0</v>
      </c>
      <c r="N5727" t="n">
        <v>0</v>
      </c>
      <c r="O5727" t="n">
        <v>0</v>
      </c>
      <c r="P5727" t="n">
        <v>0</v>
      </c>
      <c r="Q5727" t="n">
        <v>0</v>
      </c>
      <c r="R5727" s="2" t="inlineStr"/>
    </row>
    <row r="5728" ht="15" customHeight="1">
      <c r="A5728" t="inlineStr">
        <is>
          <t>A 59387-2022</t>
        </is>
      </c>
      <c r="B5728" s="1" t="n">
        <v>44905</v>
      </c>
      <c r="C5728" s="1" t="n">
        <v>45182</v>
      </c>
      <c r="D5728" t="inlineStr">
        <is>
          <t>JÄMTLANDS LÄN</t>
        </is>
      </c>
      <c r="E5728" t="inlineStr">
        <is>
          <t>ÅRE</t>
        </is>
      </c>
      <c r="G5728" t="n">
        <v>0.6</v>
      </c>
      <c r="H5728" t="n">
        <v>0</v>
      </c>
      <c r="I5728" t="n">
        <v>0</v>
      </c>
      <c r="J5728" t="n">
        <v>0</v>
      </c>
      <c r="K5728" t="n">
        <v>0</v>
      </c>
      <c r="L5728" t="n">
        <v>0</v>
      </c>
      <c r="M5728" t="n">
        <v>0</v>
      </c>
      <c r="N5728" t="n">
        <v>0</v>
      </c>
      <c r="O5728" t="n">
        <v>0</v>
      </c>
      <c r="P5728" t="n">
        <v>0</v>
      </c>
      <c r="Q5728" t="n">
        <v>0</v>
      </c>
      <c r="R5728" s="2" t="inlineStr"/>
    </row>
    <row r="5729" ht="15" customHeight="1">
      <c r="A5729" t="inlineStr">
        <is>
          <t>A 59405-2022</t>
        </is>
      </c>
      <c r="B5729" s="1" t="n">
        <v>44906</v>
      </c>
      <c r="C5729" s="1" t="n">
        <v>45182</v>
      </c>
      <c r="D5729" t="inlineStr">
        <is>
          <t>JÄMTLANDS LÄN</t>
        </is>
      </c>
      <c r="E5729" t="inlineStr">
        <is>
          <t>BRÄCKE</t>
        </is>
      </c>
      <c r="G5729" t="n">
        <v>0.4</v>
      </c>
      <c r="H5729" t="n">
        <v>0</v>
      </c>
      <c r="I5729" t="n">
        <v>0</v>
      </c>
      <c r="J5729" t="n">
        <v>0</v>
      </c>
      <c r="K5729" t="n">
        <v>0</v>
      </c>
      <c r="L5729" t="n">
        <v>0</v>
      </c>
      <c r="M5729" t="n">
        <v>0</v>
      </c>
      <c r="N5729" t="n">
        <v>0</v>
      </c>
      <c r="O5729" t="n">
        <v>0</v>
      </c>
      <c r="P5729" t="n">
        <v>0</v>
      </c>
      <c r="Q5729" t="n">
        <v>0</v>
      </c>
      <c r="R5729" s="2" t="inlineStr"/>
    </row>
    <row r="5730" ht="15" customHeight="1">
      <c r="A5730" t="inlineStr">
        <is>
          <t>A 59643-2022</t>
        </is>
      </c>
      <c r="B5730" s="1" t="n">
        <v>44907</v>
      </c>
      <c r="C5730" s="1" t="n">
        <v>45182</v>
      </c>
      <c r="D5730" t="inlineStr">
        <is>
          <t>JÄMTLANDS LÄN</t>
        </is>
      </c>
      <c r="E5730" t="inlineStr">
        <is>
          <t>BRÄCKE</t>
        </is>
      </c>
      <c r="F5730" t="inlineStr">
        <is>
          <t>SCA</t>
        </is>
      </c>
      <c r="G5730" t="n">
        <v>2.6</v>
      </c>
      <c r="H5730" t="n">
        <v>0</v>
      </c>
      <c r="I5730" t="n">
        <v>0</v>
      </c>
      <c r="J5730" t="n">
        <v>0</v>
      </c>
      <c r="K5730" t="n">
        <v>0</v>
      </c>
      <c r="L5730" t="n">
        <v>0</v>
      </c>
      <c r="M5730" t="n">
        <v>0</v>
      </c>
      <c r="N5730" t="n">
        <v>0</v>
      </c>
      <c r="O5730" t="n">
        <v>0</v>
      </c>
      <c r="P5730" t="n">
        <v>0</v>
      </c>
      <c r="Q5730" t="n">
        <v>0</v>
      </c>
      <c r="R5730" s="2" t="inlineStr"/>
    </row>
    <row r="5731" ht="15" customHeight="1">
      <c r="A5731" t="inlineStr">
        <is>
          <t>A 60639-2022</t>
        </is>
      </c>
      <c r="B5731" s="1" t="n">
        <v>44907</v>
      </c>
      <c r="C5731" s="1" t="n">
        <v>45182</v>
      </c>
      <c r="D5731" t="inlineStr">
        <is>
          <t>JÄMTLANDS LÄN</t>
        </is>
      </c>
      <c r="E5731" t="inlineStr">
        <is>
          <t>STRÖMSUND</t>
        </is>
      </c>
      <c r="G5731" t="n">
        <v>2.6</v>
      </c>
      <c r="H5731" t="n">
        <v>0</v>
      </c>
      <c r="I5731" t="n">
        <v>0</v>
      </c>
      <c r="J5731" t="n">
        <v>0</v>
      </c>
      <c r="K5731" t="n">
        <v>0</v>
      </c>
      <c r="L5731" t="n">
        <v>0</v>
      </c>
      <c r="M5731" t="n">
        <v>0</v>
      </c>
      <c r="N5731" t="n">
        <v>0</v>
      </c>
      <c r="O5731" t="n">
        <v>0</v>
      </c>
      <c r="P5731" t="n">
        <v>0</v>
      </c>
      <c r="Q5731" t="n">
        <v>0</v>
      </c>
      <c r="R5731" s="2" t="inlineStr"/>
    </row>
    <row r="5732" ht="15" customHeight="1">
      <c r="A5732" t="inlineStr">
        <is>
          <t>A 60775-2022</t>
        </is>
      </c>
      <c r="B5732" s="1" t="n">
        <v>44907</v>
      </c>
      <c r="C5732" s="1" t="n">
        <v>45182</v>
      </c>
      <c r="D5732" t="inlineStr">
        <is>
          <t>JÄMTLANDS LÄN</t>
        </is>
      </c>
      <c r="E5732" t="inlineStr">
        <is>
          <t>STRÖMSUND</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59461-2022</t>
        </is>
      </c>
      <c r="B5733" s="1" t="n">
        <v>44907</v>
      </c>
      <c r="C5733" s="1" t="n">
        <v>45182</v>
      </c>
      <c r="D5733" t="inlineStr">
        <is>
          <t>JÄMTLANDS LÄN</t>
        </is>
      </c>
      <c r="E5733" t="inlineStr">
        <is>
          <t>STRÖMSUND</t>
        </is>
      </c>
      <c r="G5733" t="n">
        <v>10.7</v>
      </c>
      <c r="H5733" t="n">
        <v>0</v>
      </c>
      <c r="I5733" t="n">
        <v>0</v>
      </c>
      <c r="J5733" t="n">
        <v>0</v>
      </c>
      <c r="K5733" t="n">
        <v>0</v>
      </c>
      <c r="L5733" t="n">
        <v>0</v>
      </c>
      <c r="M5733" t="n">
        <v>0</v>
      </c>
      <c r="N5733" t="n">
        <v>0</v>
      </c>
      <c r="O5733" t="n">
        <v>0</v>
      </c>
      <c r="P5733" t="n">
        <v>0</v>
      </c>
      <c r="Q5733" t="n">
        <v>0</v>
      </c>
      <c r="R5733" s="2" t="inlineStr"/>
    </row>
    <row r="5734" ht="15" customHeight="1">
      <c r="A5734" t="inlineStr">
        <is>
          <t>A 59635-2022</t>
        </is>
      </c>
      <c r="B5734" s="1" t="n">
        <v>44907</v>
      </c>
      <c r="C5734" s="1" t="n">
        <v>45182</v>
      </c>
      <c r="D5734" t="inlineStr">
        <is>
          <t>JÄMTLANDS LÄN</t>
        </is>
      </c>
      <c r="E5734" t="inlineStr">
        <is>
          <t>BERG</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59650-2022</t>
        </is>
      </c>
      <c r="B5735" s="1" t="n">
        <v>44907</v>
      </c>
      <c r="C5735" s="1" t="n">
        <v>45182</v>
      </c>
      <c r="D5735" t="inlineStr">
        <is>
          <t>JÄMTLANDS LÄN</t>
        </is>
      </c>
      <c r="E5735" t="inlineStr">
        <is>
          <t>BERG</t>
        </is>
      </c>
      <c r="G5735" t="n">
        <v>3.3</v>
      </c>
      <c r="H5735" t="n">
        <v>0</v>
      </c>
      <c r="I5735" t="n">
        <v>0</v>
      </c>
      <c r="J5735" t="n">
        <v>0</v>
      </c>
      <c r="K5735" t="n">
        <v>0</v>
      </c>
      <c r="L5735" t="n">
        <v>0</v>
      </c>
      <c r="M5735" t="n">
        <v>0</v>
      </c>
      <c r="N5735" t="n">
        <v>0</v>
      </c>
      <c r="O5735" t="n">
        <v>0</v>
      </c>
      <c r="P5735" t="n">
        <v>0</v>
      </c>
      <c r="Q5735" t="n">
        <v>0</v>
      </c>
      <c r="R5735" s="2" t="inlineStr"/>
    </row>
    <row r="5736" ht="15" customHeight="1">
      <c r="A5736" t="inlineStr">
        <is>
          <t>A 59648-2022</t>
        </is>
      </c>
      <c r="B5736" s="1" t="n">
        <v>44907</v>
      </c>
      <c r="C5736" s="1" t="n">
        <v>45182</v>
      </c>
      <c r="D5736" t="inlineStr">
        <is>
          <t>JÄMTLANDS LÄN</t>
        </is>
      </c>
      <c r="E5736" t="inlineStr">
        <is>
          <t>ÖSTERSUND</t>
        </is>
      </c>
      <c r="F5736" t="inlineStr">
        <is>
          <t>SCA</t>
        </is>
      </c>
      <c r="G5736" t="n">
        <v>1.6</v>
      </c>
      <c r="H5736" t="n">
        <v>0</v>
      </c>
      <c r="I5736" t="n">
        <v>0</v>
      </c>
      <c r="J5736" t="n">
        <v>0</v>
      </c>
      <c r="K5736" t="n">
        <v>0</v>
      </c>
      <c r="L5736" t="n">
        <v>0</v>
      </c>
      <c r="M5736" t="n">
        <v>0</v>
      </c>
      <c r="N5736" t="n">
        <v>0</v>
      </c>
      <c r="O5736" t="n">
        <v>0</v>
      </c>
      <c r="P5736" t="n">
        <v>0</v>
      </c>
      <c r="Q5736" t="n">
        <v>0</v>
      </c>
      <c r="R5736" s="2" t="inlineStr"/>
    </row>
    <row r="5737" ht="15" customHeight="1">
      <c r="A5737" t="inlineStr">
        <is>
          <t>A 60776-2022</t>
        </is>
      </c>
      <c r="B5737" s="1" t="n">
        <v>44907</v>
      </c>
      <c r="C5737" s="1" t="n">
        <v>45182</v>
      </c>
      <c r="D5737" t="inlineStr">
        <is>
          <t>JÄMTLANDS LÄN</t>
        </is>
      </c>
      <c r="E5737" t="inlineStr">
        <is>
          <t>ÖSTERSUND</t>
        </is>
      </c>
      <c r="G5737" t="n">
        <v>1.4</v>
      </c>
      <c r="H5737" t="n">
        <v>0</v>
      </c>
      <c r="I5737" t="n">
        <v>0</v>
      </c>
      <c r="J5737" t="n">
        <v>0</v>
      </c>
      <c r="K5737" t="n">
        <v>0</v>
      </c>
      <c r="L5737" t="n">
        <v>0</v>
      </c>
      <c r="M5737" t="n">
        <v>0</v>
      </c>
      <c r="N5737" t="n">
        <v>0</v>
      </c>
      <c r="O5737" t="n">
        <v>0</v>
      </c>
      <c r="P5737" t="n">
        <v>0</v>
      </c>
      <c r="Q5737" t="n">
        <v>0</v>
      </c>
      <c r="R5737" s="2" t="inlineStr"/>
    </row>
    <row r="5738" ht="15" customHeight="1">
      <c r="A5738" t="inlineStr">
        <is>
          <t>A 60845-2022</t>
        </is>
      </c>
      <c r="B5738" s="1" t="n">
        <v>44907</v>
      </c>
      <c r="C5738" s="1" t="n">
        <v>45182</v>
      </c>
      <c r="D5738" t="inlineStr">
        <is>
          <t>JÄMTLANDS LÄN</t>
        </is>
      </c>
      <c r="E5738" t="inlineStr">
        <is>
          <t>BERG</t>
        </is>
      </c>
      <c r="G5738" t="n">
        <v>14.6</v>
      </c>
      <c r="H5738" t="n">
        <v>0</v>
      </c>
      <c r="I5738" t="n">
        <v>0</v>
      </c>
      <c r="J5738" t="n">
        <v>0</v>
      </c>
      <c r="K5738" t="n">
        <v>0</v>
      </c>
      <c r="L5738" t="n">
        <v>0</v>
      </c>
      <c r="M5738" t="n">
        <v>0</v>
      </c>
      <c r="N5738" t="n">
        <v>0</v>
      </c>
      <c r="O5738" t="n">
        <v>0</v>
      </c>
      <c r="P5738" t="n">
        <v>0</v>
      </c>
      <c r="Q5738" t="n">
        <v>0</v>
      </c>
      <c r="R5738" s="2" t="inlineStr"/>
    </row>
    <row r="5739" ht="15" customHeight="1">
      <c r="A5739" t="inlineStr">
        <is>
          <t>A 59668-2022</t>
        </is>
      </c>
      <c r="B5739" s="1" t="n">
        <v>44908</v>
      </c>
      <c r="C5739" s="1" t="n">
        <v>45182</v>
      </c>
      <c r="D5739" t="inlineStr">
        <is>
          <t>JÄMTLANDS LÄN</t>
        </is>
      </c>
      <c r="E5739" t="inlineStr">
        <is>
          <t>KROKOM</t>
        </is>
      </c>
      <c r="F5739" t="inlineStr">
        <is>
          <t>Övriga Aktiebolag</t>
        </is>
      </c>
      <c r="G5739" t="n">
        <v>7.8</v>
      </c>
      <c r="H5739" t="n">
        <v>0</v>
      </c>
      <c r="I5739" t="n">
        <v>0</v>
      </c>
      <c r="J5739" t="n">
        <v>0</v>
      </c>
      <c r="K5739" t="n">
        <v>0</v>
      </c>
      <c r="L5739" t="n">
        <v>0</v>
      </c>
      <c r="M5739" t="n">
        <v>0</v>
      </c>
      <c r="N5739" t="n">
        <v>0</v>
      </c>
      <c r="O5739" t="n">
        <v>0</v>
      </c>
      <c r="P5739" t="n">
        <v>0</v>
      </c>
      <c r="Q5739" t="n">
        <v>0</v>
      </c>
      <c r="R5739" s="2" t="inlineStr"/>
    </row>
    <row r="5740" ht="15" customHeight="1">
      <c r="A5740" t="inlineStr">
        <is>
          <t>A 60899-2022</t>
        </is>
      </c>
      <c r="B5740" s="1" t="n">
        <v>44908</v>
      </c>
      <c r="C5740" s="1" t="n">
        <v>45182</v>
      </c>
      <c r="D5740" t="inlineStr">
        <is>
          <t>JÄMTLANDS LÄN</t>
        </is>
      </c>
      <c r="E5740" t="inlineStr">
        <is>
          <t>ÅRE</t>
        </is>
      </c>
      <c r="G5740" t="n">
        <v>0.6</v>
      </c>
      <c r="H5740" t="n">
        <v>0</v>
      </c>
      <c r="I5740" t="n">
        <v>0</v>
      </c>
      <c r="J5740" t="n">
        <v>0</v>
      </c>
      <c r="K5740" t="n">
        <v>0</v>
      </c>
      <c r="L5740" t="n">
        <v>0</v>
      </c>
      <c r="M5740" t="n">
        <v>0</v>
      </c>
      <c r="N5740" t="n">
        <v>0</v>
      </c>
      <c r="O5740" t="n">
        <v>0</v>
      </c>
      <c r="P5740" t="n">
        <v>0</v>
      </c>
      <c r="Q5740" t="n">
        <v>0</v>
      </c>
      <c r="R5740" s="2" t="inlineStr"/>
    </row>
    <row r="5741" ht="15" customHeight="1">
      <c r="A5741" t="inlineStr">
        <is>
          <t>A 60921-2022</t>
        </is>
      </c>
      <c r="B5741" s="1" t="n">
        <v>44908</v>
      </c>
      <c r="C5741" s="1" t="n">
        <v>45182</v>
      </c>
      <c r="D5741" t="inlineStr">
        <is>
          <t>JÄMTLANDS LÄN</t>
        </is>
      </c>
      <c r="E5741" t="inlineStr">
        <is>
          <t>ÅRE</t>
        </is>
      </c>
      <c r="G5741" t="n">
        <v>4.4</v>
      </c>
      <c r="H5741" t="n">
        <v>0</v>
      </c>
      <c r="I5741" t="n">
        <v>0</v>
      </c>
      <c r="J5741" t="n">
        <v>0</v>
      </c>
      <c r="K5741" t="n">
        <v>0</v>
      </c>
      <c r="L5741" t="n">
        <v>0</v>
      </c>
      <c r="M5741" t="n">
        <v>0</v>
      </c>
      <c r="N5741" t="n">
        <v>0</v>
      </c>
      <c r="O5741" t="n">
        <v>0</v>
      </c>
      <c r="P5741" t="n">
        <v>0</v>
      </c>
      <c r="Q5741" t="n">
        <v>0</v>
      </c>
      <c r="R5741" s="2" t="inlineStr"/>
    </row>
    <row r="5742" ht="15" customHeight="1">
      <c r="A5742" t="inlineStr">
        <is>
          <t>A 60941-2022</t>
        </is>
      </c>
      <c r="B5742" s="1" t="n">
        <v>44908</v>
      </c>
      <c r="C5742" s="1" t="n">
        <v>45182</v>
      </c>
      <c r="D5742" t="inlineStr">
        <is>
          <t>JÄMTLANDS LÄN</t>
        </is>
      </c>
      <c r="E5742" t="inlineStr">
        <is>
          <t>ÅRE</t>
        </is>
      </c>
      <c r="G5742" t="n">
        <v>1.6</v>
      </c>
      <c r="H5742" t="n">
        <v>0</v>
      </c>
      <c r="I5742" t="n">
        <v>0</v>
      </c>
      <c r="J5742" t="n">
        <v>0</v>
      </c>
      <c r="K5742" t="n">
        <v>0</v>
      </c>
      <c r="L5742" t="n">
        <v>0</v>
      </c>
      <c r="M5742" t="n">
        <v>0</v>
      </c>
      <c r="N5742" t="n">
        <v>0</v>
      </c>
      <c r="O5742" t="n">
        <v>0</v>
      </c>
      <c r="P5742" t="n">
        <v>0</v>
      </c>
      <c r="Q5742" t="n">
        <v>0</v>
      </c>
      <c r="R5742" s="2" t="inlineStr"/>
    </row>
    <row r="5743" ht="15" customHeight="1">
      <c r="A5743" t="inlineStr">
        <is>
          <t>A 59851-2022</t>
        </is>
      </c>
      <c r="B5743" s="1" t="n">
        <v>44908</v>
      </c>
      <c r="C5743" s="1" t="n">
        <v>45182</v>
      </c>
      <c r="D5743" t="inlineStr">
        <is>
          <t>JÄMTLANDS LÄN</t>
        </is>
      </c>
      <c r="E5743" t="inlineStr">
        <is>
          <t>HÄRJEDALEN</t>
        </is>
      </c>
      <c r="G5743" t="n">
        <v>3.2</v>
      </c>
      <c r="H5743" t="n">
        <v>0</v>
      </c>
      <c r="I5743" t="n">
        <v>0</v>
      </c>
      <c r="J5743" t="n">
        <v>0</v>
      </c>
      <c r="K5743" t="n">
        <v>0</v>
      </c>
      <c r="L5743" t="n">
        <v>0</v>
      </c>
      <c r="M5743" t="n">
        <v>0</v>
      </c>
      <c r="N5743" t="n">
        <v>0</v>
      </c>
      <c r="O5743" t="n">
        <v>0</v>
      </c>
      <c r="P5743" t="n">
        <v>0</v>
      </c>
      <c r="Q5743" t="n">
        <v>0</v>
      </c>
      <c r="R5743" s="2" t="inlineStr"/>
    </row>
    <row r="5744" ht="15" customHeight="1">
      <c r="A5744" t="inlineStr">
        <is>
          <t>A 59912-2022</t>
        </is>
      </c>
      <c r="B5744" s="1" t="n">
        <v>44908</v>
      </c>
      <c r="C5744" s="1" t="n">
        <v>45182</v>
      </c>
      <c r="D5744" t="inlineStr">
        <is>
          <t>JÄMTLANDS LÄN</t>
        </is>
      </c>
      <c r="E5744" t="inlineStr">
        <is>
          <t>STRÖMSUND</t>
        </is>
      </c>
      <c r="G5744" t="n">
        <v>3.3</v>
      </c>
      <c r="H5744" t="n">
        <v>0</v>
      </c>
      <c r="I5744" t="n">
        <v>0</v>
      </c>
      <c r="J5744" t="n">
        <v>0</v>
      </c>
      <c r="K5744" t="n">
        <v>0</v>
      </c>
      <c r="L5744" t="n">
        <v>0</v>
      </c>
      <c r="M5744" t="n">
        <v>0</v>
      </c>
      <c r="N5744" t="n">
        <v>0</v>
      </c>
      <c r="O5744" t="n">
        <v>0</v>
      </c>
      <c r="P5744" t="n">
        <v>0</v>
      </c>
      <c r="Q5744" t="n">
        <v>0</v>
      </c>
      <c r="R5744" s="2" t="inlineStr"/>
    </row>
    <row r="5745" ht="15" customHeight="1">
      <c r="A5745" t="inlineStr">
        <is>
          <t>A 60854-2022</t>
        </is>
      </c>
      <c r="B5745" s="1" t="n">
        <v>44908</v>
      </c>
      <c r="C5745" s="1" t="n">
        <v>45182</v>
      </c>
      <c r="D5745" t="inlineStr">
        <is>
          <t>JÄMTLANDS LÄN</t>
        </is>
      </c>
      <c r="E5745" t="inlineStr">
        <is>
          <t>BERG</t>
        </is>
      </c>
      <c r="G5745" t="n">
        <v>26.9</v>
      </c>
      <c r="H5745" t="n">
        <v>0</v>
      </c>
      <c r="I5745" t="n">
        <v>0</v>
      </c>
      <c r="J5745" t="n">
        <v>0</v>
      </c>
      <c r="K5745" t="n">
        <v>0</v>
      </c>
      <c r="L5745" t="n">
        <v>0</v>
      </c>
      <c r="M5745" t="n">
        <v>0</v>
      </c>
      <c r="N5745" t="n">
        <v>0</v>
      </c>
      <c r="O5745" t="n">
        <v>0</v>
      </c>
      <c r="P5745" t="n">
        <v>0</v>
      </c>
      <c r="Q5745" t="n">
        <v>0</v>
      </c>
      <c r="R5745" s="2" t="inlineStr"/>
    </row>
    <row r="5746" ht="15" customHeight="1">
      <c r="A5746" t="inlineStr">
        <is>
          <t>A 60935-2022</t>
        </is>
      </c>
      <c r="B5746" s="1" t="n">
        <v>44908</v>
      </c>
      <c r="C5746" s="1" t="n">
        <v>45182</v>
      </c>
      <c r="D5746" t="inlineStr">
        <is>
          <t>JÄMTLANDS LÄN</t>
        </is>
      </c>
      <c r="E5746" t="inlineStr">
        <is>
          <t>ÅRE</t>
        </is>
      </c>
      <c r="G5746" t="n">
        <v>0.8</v>
      </c>
      <c r="H5746" t="n">
        <v>0</v>
      </c>
      <c r="I5746" t="n">
        <v>0</v>
      </c>
      <c r="J5746" t="n">
        <v>0</v>
      </c>
      <c r="K5746" t="n">
        <v>0</v>
      </c>
      <c r="L5746" t="n">
        <v>0</v>
      </c>
      <c r="M5746" t="n">
        <v>0</v>
      </c>
      <c r="N5746" t="n">
        <v>0</v>
      </c>
      <c r="O5746" t="n">
        <v>0</v>
      </c>
      <c r="P5746" t="n">
        <v>0</v>
      </c>
      <c r="Q5746" t="n">
        <v>0</v>
      </c>
      <c r="R5746" s="2" t="inlineStr"/>
    </row>
    <row r="5747" ht="15" customHeight="1">
      <c r="A5747" t="inlineStr">
        <is>
          <t>A 59910-2022</t>
        </is>
      </c>
      <c r="B5747" s="1" t="n">
        <v>44908</v>
      </c>
      <c r="C5747" s="1" t="n">
        <v>45182</v>
      </c>
      <c r="D5747" t="inlineStr">
        <is>
          <t>JÄMTLANDS LÄN</t>
        </is>
      </c>
      <c r="E5747" t="inlineStr">
        <is>
          <t>BRÄCKE</t>
        </is>
      </c>
      <c r="F5747" t="inlineStr">
        <is>
          <t>SCA</t>
        </is>
      </c>
      <c r="G5747" t="n">
        <v>11.2</v>
      </c>
      <c r="H5747" t="n">
        <v>0</v>
      </c>
      <c r="I5747" t="n">
        <v>0</v>
      </c>
      <c r="J5747" t="n">
        <v>0</v>
      </c>
      <c r="K5747" t="n">
        <v>0</v>
      </c>
      <c r="L5747" t="n">
        <v>0</v>
      </c>
      <c r="M5747" t="n">
        <v>0</v>
      </c>
      <c r="N5747" t="n">
        <v>0</v>
      </c>
      <c r="O5747" t="n">
        <v>0</v>
      </c>
      <c r="P5747" t="n">
        <v>0</v>
      </c>
      <c r="Q5747" t="n">
        <v>0</v>
      </c>
      <c r="R5747" s="2" t="inlineStr"/>
    </row>
    <row r="5748" ht="15" customHeight="1">
      <c r="A5748" t="inlineStr">
        <is>
          <t>A 60852-2022</t>
        </is>
      </c>
      <c r="B5748" s="1" t="n">
        <v>44908</v>
      </c>
      <c r="C5748" s="1" t="n">
        <v>45182</v>
      </c>
      <c r="D5748" t="inlineStr">
        <is>
          <t>JÄMTLANDS LÄN</t>
        </is>
      </c>
      <c r="E5748" t="inlineStr">
        <is>
          <t>BERG</t>
        </is>
      </c>
      <c r="G5748" t="n">
        <v>17.3</v>
      </c>
      <c r="H5748" t="n">
        <v>0</v>
      </c>
      <c r="I5748" t="n">
        <v>0</v>
      </c>
      <c r="J5748" t="n">
        <v>0</v>
      </c>
      <c r="K5748" t="n">
        <v>0</v>
      </c>
      <c r="L5748" t="n">
        <v>0</v>
      </c>
      <c r="M5748" t="n">
        <v>0</v>
      </c>
      <c r="N5748" t="n">
        <v>0</v>
      </c>
      <c r="O5748" t="n">
        <v>0</v>
      </c>
      <c r="P5748" t="n">
        <v>0</v>
      </c>
      <c r="Q5748" t="n">
        <v>0</v>
      </c>
      <c r="R5748" s="2" t="inlineStr"/>
    </row>
    <row r="5749" ht="15" customHeight="1">
      <c r="A5749" t="inlineStr">
        <is>
          <t>A 60944-2022</t>
        </is>
      </c>
      <c r="B5749" s="1" t="n">
        <v>44908</v>
      </c>
      <c r="C5749" s="1" t="n">
        <v>45182</v>
      </c>
      <c r="D5749" t="inlineStr">
        <is>
          <t>JÄMTLANDS LÄN</t>
        </is>
      </c>
      <c r="E5749" t="inlineStr">
        <is>
          <t>ÅRE</t>
        </is>
      </c>
      <c r="G5749" t="n">
        <v>6</v>
      </c>
      <c r="H5749" t="n">
        <v>0</v>
      </c>
      <c r="I5749" t="n">
        <v>0</v>
      </c>
      <c r="J5749" t="n">
        <v>0</v>
      </c>
      <c r="K5749" t="n">
        <v>0</v>
      </c>
      <c r="L5749" t="n">
        <v>0</v>
      </c>
      <c r="M5749" t="n">
        <v>0</v>
      </c>
      <c r="N5749" t="n">
        <v>0</v>
      </c>
      <c r="O5749" t="n">
        <v>0</v>
      </c>
      <c r="P5749" t="n">
        <v>0</v>
      </c>
      <c r="Q5749" t="n">
        <v>0</v>
      </c>
      <c r="R5749" s="2" t="inlineStr"/>
    </row>
    <row r="5750" ht="15" customHeight="1">
      <c r="A5750" t="inlineStr">
        <is>
          <t>A 60177-2022</t>
        </is>
      </c>
      <c r="B5750" s="1" t="n">
        <v>44909</v>
      </c>
      <c r="C5750" s="1" t="n">
        <v>45182</v>
      </c>
      <c r="D5750" t="inlineStr">
        <is>
          <t>JÄMTLANDS LÄN</t>
        </is>
      </c>
      <c r="E5750" t="inlineStr">
        <is>
          <t>RAGUNDA</t>
        </is>
      </c>
      <c r="F5750" t="inlineStr">
        <is>
          <t>SCA</t>
        </is>
      </c>
      <c r="G5750" t="n">
        <v>17.9</v>
      </c>
      <c r="H5750" t="n">
        <v>0</v>
      </c>
      <c r="I5750" t="n">
        <v>0</v>
      </c>
      <c r="J5750" t="n">
        <v>0</v>
      </c>
      <c r="K5750" t="n">
        <v>0</v>
      </c>
      <c r="L5750" t="n">
        <v>0</v>
      </c>
      <c r="M5750" t="n">
        <v>0</v>
      </c>
      <c r="N5750" t="n">
        <v>0</v>
      </c>
      <c r="O5750" t="n">
        <v>0</v>
      </c>
      <c r="P5750" t="n">
        <v>0</v>
      </c>
      <c r="Q5750" t="n">
        <v>0</v>
      </c>
      <c r="R5750" s="2" t="inlineStr"/>
    </row>
    <row r="5751" ht="15" customHeight="1">
      <c r="A5751" t="inlineStr">
        <is>
          <t>A 60178-2022</t>
        </is>
      </c>
      <c r="B5751" s="1" t="n">
        <v>44909</v>
      </c>
      <c r="C5751" s="1" t="n">
        <v>45182</v>
      </c>
      <c r="D5751" t="inlineStr">
        <is>
          <t>JÄMTLANDS LÄN</t>
        </is>
      </c>
      <c r="E5751" t="inlineStr">
        <is>
          <t>BRÄCKE</t>
        </is>
      </c>
      <c r="F5751" t="inlineStr">
        <is>
          <t>SCA</t>
        </is>
      </c>
      <c r="G5751" t="n">
        <v>2.1</v>
      </c>
      <c r="H5751" t="n">
        <v>0</v>
      </c>
      <c r="I5751" t="n">
        <v>0</v>
      </c>
      <c r="J5751" t="n">
        <v>0</v>
      </c>
      <c r="K5751" t="n">
        <v>0</v>
      </c>
      <c r="L5751" t="n">
        <v>0</v>
      </c>
      <c r="M5751" t="n">
        <v>0</v>
      </c>
      <c r="N5751" t="n">
        <v>0</v>
      </c>
      <c r="O5751" t="n">
        <v>0</v>
      </c>
      <c r="P5751" t="n">
        <v>0</v>
      </c>
      <c r="Q5751" t="n">
        <v>0</v>
      </c>
      <c r="R5751" s="2" t="inlineStr"/>
    </row>
    <row r="5752" ht="15" customHeight="1">
      <c r="A5752" t="inlineStr">
        <is>
          <t>A 61239-2022</t>
        </is>
      </c>
      <c r="B5752" s="1" t="n">
        <v>44909</v>
      </c>
      <c r="C5752" s="1" t="n">
        <v>45182</v>
      </c>
      <c r="D5752" t="inlineStr">
        <is>
          <t>JÄMTLANDS LÄN</t>
        </is>
      </c>
      <c r="E5752" t="inlineStr">
        <is>
          <t>BERG</t>
        </is>
      </c>
      <c r="G5752" t="n">
        <v>13.5</v>
      </c>
      <c r="H5752" t="n">
        <v>0</v>
      </c>
      <c r="I5752" t="n">
        <v>0</v>
      </c>
      <c r="J5752" t="n">
        <v>0</v>
      </c>
      <c r="K5752" t="n">
        <v>0</v>
      </c>
      <c r="L5752" t="n">
        <v>0</v>
      </c>
      <c r="M5752" t="n">
        <v>0</v>
      </c>
      <c r="N5752" t="n">
        <v>0</v>
      </c>
      <c r="O5752" t="n">
        <v>0</v>
      </c>
      <c r="P5752" t="n">
        <v>0</v>
      </c>
      <c r="Q5752" t="n">
        <v>0</v>
      </c>
      <c r="R5752" s="2" t="inlineStr"/>
    </row>
    <row r="5753" ht="15" customHeight="1">
      <c r="A5753" t="inlineStr">
        <is>
          <t>A 61255-2022</t>
        </is>
      </c>
      <c r="B5753" s="1" t="n">
        <v>44909</v>
      </c>
      <c r="C5753" s="1" t="n">
        <v>45182</v>
      </c>
      <c r="D5753" t="inlineStr">
        <is>
          <t>JÄMTLANDS LÄN</t>
        </is>
      </c>
      <c r="E5753" t="inlineStr">
        <is>
          <t>BERG</t>
        </is>
      </c>
      <c r="G5753" t="n">
        <v>12</v>
      </c>
      <c r="H5753" t="n">
        <v>0</v>
      </c>
      <c r="I5753" t="n">
        <v>0</v>
      </c>
      <c r="J5753" t="n">
        <v>0</v>
      </c>
      <c r="K5753" t="n">
        <v>0</v>
      </c>
      <c r="L5753" t="n">
        <v>0</v>
      </c>
      <c r="M5753" t="n">
        <v>0</v>
      </c>
      <c r="N5753" t="n">
        <v>0</v>
      </c>
      <c r="O5753" t="n">
        <v>0</v>
      </c>
      <c r="P5753" t="n">
        <v>0</v>
      </c>
      <c r="Q5753" t="n">
        <v>0</v>
      </c>
      <c r="R5753" s="2" t="inlineStr"/>
    </row>
    <row r="5754" ht="15" customHeight="1">
      <c r="A5754" t="inlineStr">
        <is>
          <t>A 60002-2022</t>
        </is>
      </c>
      <c r="B5754" s="1" t="n">
        <v>44909</v>
      </c>
      <c r="C5754" s="1" t="n">
        <v>45182</v>
      </c>
      <c r="D5754" t="inlineStr">
        <is>
          <t>JÄMTLANDS LÄN</t>
        </is>
      </c>
      <c r="E5754" t="inlineStr">
        <is>
          <t>STRÖMSUND</t>
        </is>
      </c>
      <c r="G5754" t="n">
        <v>1.8</v>
      </c>
      <c r="H5754" t="n">
        <v>0</v>
      </c>
      <c r="I5754" t="n">
        <v>0</v>
      </c>
      <c r="J5754" t="n">
        <v>0</v>
      </c>
      <c r="K5754" t="n">
        <v>0</v>
      </c>
      <c r="L5754" t="n">
        <v>0</v>
      </c>
      <c r="M5754" t="n">
        <v>0</v>
      </c>
      <c r="N5754" t="n">
        <v>0</v>
      </c>
      <c r="O5754" t="n">
        <v>0</v>
      </c>
      <c r="P5754" t="n">
        <v>0</v>
      </c>
      <c r="Q5754" t="n">
        <v>0</v>
      </c>
      <c r="R5754" s="2" t="inlineStr"/>
    </row>
    <row r="5755" ht="15" customHeight="1">
      <c r="A5755" t="inlineStr">
        <is>
          <t>A 61251-2022</t>
        </is>
      </c>
      <c r="B5755" s="1" t="n">
        <v>44909</v>
      </c>
      <c r="C5755" s="1" t="n">
        <v>45182</v>
      </c>
      <c r="D5755" t="inlineStr">
        <is>
          <t>JÄMTLANDS LÄN</t>
        </is>
      </c>
      <c r="E5755" t="inlineStr">
        <is>
          <t>BERG</t>
        </is>
      </c>
      <c r="G5755" t="n">
        <v>3</v>
      </c>
      <c r="H5755" t="n">
        <v>0</v>
      </c>
      <c r="I5755" t="n">
        <v>0</v>
      </c>
      <c r="J5755" t="n">
        <v>0</v>
      </c>
      <c r="K5755" t="n">
        <v>0</v>
      </c>
      <c r="L5755" t="n">
        <v>0</v>
      </c>
      <c r="M5755" t="n">
        <v>0</v>
      </c>
      <c r="N5755" t="n">
        <v>0</v>
      </c>
      <c r="O5755" t="n">
        <v>0</v>
      </c>
      <c r="P5755" t="n">
        <v>0</v>
      </c>
      <c r="Q5755" t="n">
        <v>0</v>
      </c>
      <c r="R5755" s="2" t="inlineStr"/>
    </row>
    <row r="5756" ht="15" customHeight="1">
      <c r="A5756" t="inlineStr">
        <is>
          <t>A 61300-2022</t>
        </is>
      </c>
      <c r="B5756" s="1" t="n">
        <v>44909</v>
      </c>
      <c r="C5756" s="1" t="n">
        <v>45182</v>
      </c>
      <c r="D5756" t="inlineStr">
        <is>
          <t>JÄMTLANDS LÄN</t>
        </is>
      </c>
      <c r="E5756" t="inlineStr">
        <is>
          <t>HÄRJEDALEN</t>
        </is>
      </c>
      <c r="F5756" t="inlineStr">
        <is>
          <t>Bergvik skog väst AB</t>
        </is>
      </c>
      <c r="G5756" t="n">
        <v>14.1</v>
      </c>
      <c r="H5756" t="n">
        <v>0</v>
      </c>
      <c r="I5756" t="n">
        <v>0</v>
      </c>
      <c r="J5756" t="n">
        <v>0</v>
      </c>
      <c r="K5756" t="n">
        <v>0</v>
      </c>
      <c r="L5756" t="n">
        <v>0</v>
      </c>
      <c r="M5756" t="n">
        <v>0</v>
      </c>
      <c r="N5756" t="n">
        <v>0</v>
      </c>
      <c r="O5756" t="n">
        <v>0</v>
      </c>
      <c r="P5756" t="n">
        <v>0</v>
      </c>
      <c r="Q5756" t="n">
        <v>0</v>
      </c>
      <c r="R5756" s="2" t="inlineStr"/>
    </row>
    <row r="5757" ht="15" customHeight="1">
      <c r="A5757" t="inlineStr">
        <is>
          <t>A 61340-2022</t>
        </is>
      </c>
      <c r="B5757" s="1" t="n">
        <v>44909</v>
      </c>
      <c r="C5757" s="1" t="n">
        <v>45182</v>
      </c>
      <c r="D5757" t="inlineStr">
        <is>
          <t>JÄMTLANDS LÄN</t>
        </is>
      </c>
      <c r="E5757" t="inlineStr">
        <is>
          <t>ÅRE</t>
        </is>
      </c>
      <c r="G5757" t="n">
        <v>4.4</v>
      </c>
      <c r="H5757" t="n">
        <v>0</v>
      </c>
      <c r="I5757" t="n">
        <v>0</v>
      </c>
      <c r="J5757" t="n">
        <v>0</v>
      </c>
      <c r="K5757" t="n">
        <v>0</v>
      </c>
      <c r="L5757" t="n">
        <v>0</v>
      </c>
      <c r="M5757" t="n">
        <v>0</v>
      </c>
      <c r="N5757" t="n">
        <v>0</v>
      </c>
      <c r="O5757" t="n">
        <v>0</v>
      </c>
      <c r="P5757" t="n">
        <v>0</v>
      </c>
      <c r="Q5757" t="n">
        <v>0</v>
      </c>
      <c r="R5757" s="2" t="inlineStr"/>
    </row>
    <row r="5758" ht="15" customHeight="1">
      <c r="A5758" t="inlineStr">
        <is>
          <t>A 61248-2022</t>
        </is>
      </c>
      <c r="B5758" s="1" t="n">
        <v>44909</v>
      </c>
      <c r="C5758" s="1" t="n">
        <v>45182</v>
      </c>
      <c r="D5758" t="inlineStr">
        <is>
          <t>JÄMTLANDS LÄN</t>
        </is>
      </c>
      <c r="E5758" t="inlineStr">
        <is>
          <t>BERG</t>
        </is>
      </c>
      <c r="G5758" t="n">
        <v>2.8</v>
      </c>
      <c r="H5758" t="n">
        <v>0</v>
      </c>
      <c r="I5758" t="n">
        <v>0</v>
      </c>
      <c r="J5758" t="n">
        <v>0</v>
      </c>
      <c r="K5758" t="n">
        <v>0</v>
      </c>
      <c r="L5758" t="n">
        <v>0</v>
      </c>
      <c r="M5758" t="n">
        <v>0</v>
      </c>
      <c r="N5758" t="n">
        <v>0</v>
      </c>
      <c r="O5758" t="n">
        <v>0</v>
      </c>
      <c r="P5758" t="n">
        <v>0</v>
      </c>
      <c r="Q5758" t="n">
        <v>0</v>
      </c>
      <c r="R5758" s="2" t="inlineStr"/>
    </row>
    <row r="5759" ht="15" customHeight="1">
      <c r="A5759" t="inlineStr">
        <is>
          <t>A 61256-2022</t>
        </is>
      </c>
      <c r="B5759" s="1" t="n">
        <v>44909</v>
      </c>
      <c r="C5759" s="1" t="n">
        <v>45182</v>
      </c>
      <c r="D5759" t="inlineStr">
        <is>
          <t>JÄMTLANDS LÄN</t>
        </is>
      </c>
      <c r="E5759" t="inlineStr">
        <is>
          <t>ÖSTERSUND</t>
        </is>
      </c>
      <c r="G5759" t="n">
        <v>3.9</v>
      </c>
      <c r="H5759" t="n">
        <v>0</v>
      </c>
      <c r="I5759" t="n">
        <v>0</v>
      </c>
      <c r="J5759" t="n">
        <v>0</v>
      </c>
      <c r="K5759" t="n">
        <v>0</v>
      </c>
      <c r="L5759" t="n">
        <v>0</v>
      </c>
      <c r="M5759" t="n">
        <v>0</v>
      </c>
      <c r="N5759" t="n">
        <v>0</v>
      </c>
      <c r="O5759" t="n">
        <v>0</v>
      </c>
      <c r="P5759" t="n">
        <v>0</v>
      </c>
      <c r="Q5759" t="n">
        <v>0</v>
      </c>
      <c r="R5759" s="2" t="inlineStr"/>
    </row>
    <row r="5760" ht="15" customHeight="1">
      <c r="A5760" t="inlineStr">
        <is>
          <t>A 61481-2022</t>
        </is>
      </c>
      <c r="B5760" s="1" t="n">
        <v>44910</v>
      </c>
      <c r="C5760" s="1" t="n">
        <v>45182</v>
      </c>
      <c r="D5760" t="inlineStr">
        <is>
          <t>JÄMTLANDS LÄN</t>
        </is>
      </c>
      <c r="E5760" t="inlineStr">
        <is>
          <t>ÅRE</t>
        </is>
      </c>
      <c r="G5760" t="n">
        <v>0.4</v>
      </c>
      <c r="H5760" t="n">
        <v>0</v>
      </c>
      <c r="I5760" t="n">
        <v>0</v>
      </c>
      <c r="J5760" t="n">
        <v>0</v>
      </c>
      <c r="K5760" t="n">
        <v>0</v>
      </c>
      <c r="L5760" t="n">
        <v>0</v>
      </c>
      <c r="M5760" t="n">
        <v>0</v>
      </c>
      <c r="N5760" t="n">
        <v>0</v>
      </c>
      <c r="O5760" t="n">
        <v>0</v>
      </c>
      <c r="P5760" t="n">
        <v>0</v>
      </c>
      <c r="Q5760" t="n">
        <v>0</v>
      </c>
      <c r="R5760" s="2" t="inlineStr"/>
    </row>
    <row r="5761" ht="15" customHeight="1">
      <c r="A5761" t="inlineStr">
        <is>
          <t>A 60659-2022</t>
        </is>
      </c>
      <c r="B5761" s="1" t="n">
        <v>44911</v>
      </c>
      <c r="C5761" s="1" t="n">
        <v>45182</v>
      </c>
      <c r="D5761" t="inlineStr">
        <is>
          <t>JÄMTLANDS LÄN</t>
        </is>
      </c>
      <c r="E5761" t="inlineStr">
        <is>
          <t>RAGUNDA</t>
        </is>
      </c>
      <c r="F5761" t="inlineStr">
        <is>
          <t>SCA</t>
        </is>
      </c>
      <c r="G5761" t="n">
        <v>2.7</v>
      </c>
      <c r="H5761" t="n">
        <v>0</v>
      </c>
      <c r="I5761" t="n">
        <v>0</v>
      </c>
      <c r="J5761" t="n">
        <v>0</v>
      </c>
      <c r="K5761" t="n">
        <v>0</v>
      </c>
      <c r="L5761" t="n">
        <v>0</v>
      </c>
      <c r="M5761" t="n">
        <v>0</v>
      </c>
      <c r="N5761" t="n">
        <v>0</v>
      </c>
      <c r="O5761" t="n">
        <v>0</v>
      </c>
      <c r="P5761" t="n">
        <v>0</v>
      </c>
      <c r="Q5761" t="n">
        <v>0</v>
      </c>
      <c r="R5761" s="2" t="inlineStr"/>
    </row>
    <row r="5762" ht="15" customHeight="1">
      <c r="A5762" t="inlineStr">
        <is>
          <t>A 60668-2022</t>
        </is>
      </c>
      <c r="B5762" s="1" t="n">
        <v>44911</v>
      </c>
      <c r="C5762" s="1" t="n">
        <v>45182</v>
      </c>
      <c r="D5762" t="inlineStr">
        <is>
          <t>JÄMTLANDS LÄN</t>
        </is>
      </c>
      <c r="E5762" t="inlineStr">
        <is>
          <t>BERG</t>
        </is>
      </c>
      <c r="F5762" t="inlineStr">
        <is>
          <t>SCA</t>
        </is>
      </c>
      <c r="G5762" t="n">
        <v>17</v>
      </c>
      <c r="H5762" t="n">
        <v>0</v>
      </c>
      <c r="I5762" t="n">
        <v>0</v>
      </c>
      <c r="J5762" t="n">
        <v>0</v>
      </c>
      <c r="K5762" t="n">
        <v>0</v>
      </c>
      <c r="L5762" t="n">
        <v>0</v>
      </c>
      <c r="M5762" t="n">
        <v>0</v>
      </c>
      <c r="N5762" t="n">
        <v>0</v>
      </c>
      <c r="O5762" t="n">
        <v>0</v>
      </c>
      <c r="P5762" t="n">
        <v>0</v>
      </c>
      <c r="Q5762" t="n">
        <v>0</v>
      </c>
      <c r="R5762" s="2" t="inlineStr"/>
    </row>
    <row r="5763" ht="15" customHeight="1">
      <c r="A5763" t="inlineStr">
        <is>
          <t>A 60699-2022</t>
        </is>
      </c>
      <c r="B5763" s="1" t="n">
        <v>44911</v>
      </c>
      <c r="C5763" s="1" t="n">
        <v>45182</v>
      </c>
      <c r="D5763" t="inlineStr">
        <is>
          <t>JÄMTLANDS LÄN</t>
        </is>
      </c>
      <c r="E5763" t="inlineStr">
        <is>
          <t>RAGUNDA</t>
        </is>
      </c>
      <c r="F5763" t="inlineStr">
        <is>
          <t>SCA</t>
        </is>
      </c>
      <c r="G5763" t="n">
        <v>4.9</v>
      </c>
      <c r="H5763" t="n">
        <v>0</v>
      </c>
      <c r="I5763" t="n">
        <v>0</v>
      </c>
      <c r="J5763" t="n">
        <v>0</v>
      </c>
      <c r="K5763" t="n">
        <v>0</v>
      </c>
      <c r="L5763" t="n">
        <v>0</v>
      </c>
      <c r="M5763" t="n">
        <v>0</v>
      </c>
      <c r="N5763" t="n">
        <v>0</v>
      </c>
      <c r="O5763" t="n">
        <v>0</v>
      </c>
      <c r="P5763" t="n">
        <v>0</v>
      </c>
      <c r="Q5763" t="n">
        <v>0</v>
      </c>
      <c r="R5763" s="2" t="inlineStr"/>
    </row>
    <row r="5764" ht="15" customHeight="1">
      <c r="A5764" t="inlineStr">
        <is>
          <t>A 60430-2022</t>
        </is>
      </c>
      <c r="B5764" s="1" t="n">
        <v>44911</v>
      </c>
      <c r="C5764" s="1" t="n">
        <v>45182</v>
      </c>
      <c r="D5764" t="inlineStr">
        <is>
          <t>JÄMTLANDS LÄN</t>
        </is>
      </c>
      <c r="E5764" t="inlineStr">
        <is>
          <t>ÖSTERSUND</t>
        </is>
      </c>
      <c r="F5764" t="inlineStr">
        <is>
          <t>Övriga Aktiebolag</t>
        </is>
      </c>
      <c r="G5764" t="n">
        <v>24.2</v>
      </c>
      <c r="H5764" t="n">
        <v>0</v>
      </c>
      <c r="I5764" t="n">
        <v>0</v>
      </c>
      <c r="J5764" t="n">
        <v>0</v>
      </c>
      <c r="K5764" t="n">
        <v>0</v>
      </c>
      <c r="L5764" t="n">
        <v>0</v>
      </c>
      <c r="M5764" t="n">
        <v>0</v>
      </c>
      <c r="N5764" t="n">
        <v>0</v>
      </c>
      <c r="O5764" t="n">
        <v>0</v>
      </c>
      <c r="P5764" t="n">
        <v>0</v>
      </c>
      <c r="Q5764" t="n">
        <v>0</v>
      </c>
      <c r="R5764" s="2" t="inlineStr"/>
    </row>
    <row r="5765" ht="15" customHeight="1">
      <c r="A5765" t="inlineStr">
        <is>
          <t>A 60542-2022</t>
        </is>
      </c>
      <c r="B5765" s="1" t="n">
        <v>44911</v>
      </c>
      <c r="C5765" s="1" t="n">
        <v>45182</v>
      </c>
      <c r="D5765" t="inlineStr">
        <is>
          <t>JÄMTLANDS LÄN</t>
        </is>
      </c>
      <c r="E5765" t="inlineStr">
        <is>
          <t>HÄRJEDALEN</t>
        </is>
      </c>
      <c r="F5765" t="inlineStr">
        <is>
          <t>Bergvik skog väst AB</t>
        </is>
      </c>
      <c r="G5765" t="n">
        <v>1.3</v>
      </c>
      <c r="H5765" t="n">
        <v>0</v>
      </c>
      <c r="I5765" t="n">
        <v>0</v>
      </c>
      <c r="J5765" t="n">
        <v>0</v>
      </c>
      <c r="K5765" t="n">
        <v>0</v>
      </c>
      <c r="L5765" t="n">
        <v>0</v>
      </c>
      <c r="M5765" t="n">
        <v>0</v>
      </c>
      <c r="N5765" t="n">
        <v>0</v>
      </c>
      <c r="O5765" t="n">
        <v>0</v>
      </c>
      <c r="P5765" t="n">
        <v>0</v>
      </c>
      <c r="Q5765" t="n">
        <v>0</v>
      </c>
      <c r="R5765" s="2" t="inlineStr"/>
    </row>
    <row r="5766" ht="15" customHeight="1">
      <c r="A5766" t="inlineStr">
        <is>
          <t>A 60661-2022</t>
        </is>
      </c>
      <c r="B5766" s="1" t="n">
        <v>44911</v>
      </c>
      <c r="C5766" s="1" t="n">
        <v>45182</v>
      </c>
      <c r="D5766" t="inlineStr">
        <is>
          <t>JÄMTLANDS LÄN</t>
        </is>
      </c>
      <c r="E5766" t="inlineStr">
        <is>
          <t>BRÄCKE</t>
        </is>
      </c>
      <c r="F5766" t="inlineStr">
        <is>
          <t>SCA</t>
        </is>
      </c>
      <c r="G5766" t="n">
        <v>7</v>
      </c>
      <c r="H5766" t="n">
        <v>0</v>
      </c>
      <c r="I5766" t="n">
        <v>0</v>
      </c>
      <c r="J5766" t="n">
        <v>0</v>
      </c>
      <c r="K5766" t="n">
        <v>0</v>
      </c>
      <c r="L5766" t="n">
        <v>0</v>
      </c>
      <c r="M5766" t="n">
        <v>0</v>
      </c>
      <c r="N5766" t="n">
        <v>0</v>
      </c>
      <c r="O5766" t="n">
        <v>0</v>
      </c>
      <c r="P5766" t="n">
        <v>0</v>
      </c>
      <c r="Q5766" t="n">
        <v>0</v>
      </c>
      <c r="R5766" s="2" t="inlineStr"/>
    </row>
    <row r="5767" ht="15" customHeight="1">
      <c r="A5767" t="inlineStr">
        <is>
          <t>A 61675-2022</t>
        </is>
      </c>
      <c r="B5767" s="1" t="n">
        <v>44911</v>
      </c>
      <c r="C5767" s="1" t="n">
        <v>45182</v>
      </c>
      <c r="D5767" t="inlineStr">
        <is>
          <t>JÄMTLANDS LÄN</t>
        </is>
      </c>
      <c r="E5767" t="inlineStr">
        <is>
          <t>KROKOM</t>
        </is>
      </c>
      <c r="G5767" t="n">
        <v>2.6</v>
      </c>
      <c r="H5767" t="n">
        <v>0</v>
      </c>
      <c r="I5767" t="n">
        <v>0</v>
      </c>
      <c r="J5767" t="n">
        <v>0</v>
      </c>
      <c r="K5767" t="n">
        <v>0</v>
      </c>
      <c r="L5767" t="n">
        <v>0</v>
      </c>
      <c r="M5767" t="n">
        <v>0</v>
      </c>
      <c r="N5767" t="n">
        <v>0</v>
      </c>
      <c r="O5767" t="n">
        <v>0</v>
      </c>
      <c r="P5767" t="n">
        <v>0</v>
      </c>
      <c r="Q5767" t="n">
        <v>0</v>
      </c>
      <c r="R5767" s="2" t="inlineStr"/>
    </row>
    <row r="5768" ht="15" customHeight="1">
      <c r="A5768" t="inlineStr">
        <is>
          <t>A 60667-2022</t>
        </is>
      </c>
      <c r="B5768" s="1" t="n">
        <v>44911</v>
      </c>
      <c r="C5768" s="1" t="n">
        <v>45182</v>
      </c>
      <c r="D5768" t="inlineStr">
        <is>
          <t>JÄMTLANDS LÄN</t>
        </is>
      </c>
      <c r="E5768" t="inlineStr">
        <is>
          <t>STRÖMSUND</t>
        </is>
      </c>
      <c r="F5768" t="inlineStr">
        <is>
          <t>SCA</t>
        </is>
      </c>
      <c r="G5768" t="n">
        <v>5.1</v>
      </c>
      <c r="H5768" t="n">
        <v>0</v>
      </c>
      <c r="I5768" t="n">
        <v>0</v>
      </c>
      <c r="J5768" t="n">
        <v>0</v>
      </c>
      <c r="K5768" t="n">
        <v>0</v>
      </c>
      <c r="L5768" t="n">
        <v>0</v>
      </c>
      <c r="M5768" t="n">
        <v>0</v>
      </c>
      <c r="N5768" t="n">
        <v>0</v>
      </c>
      <c r="O5768" t="n">
        <v>0</v>
      </c>
      <c r="P5768" t="n">
        <v>0</v>
      </c>
      <c r="Q5768" t="n">
        <v>0</v>
      </c>
      <c r="R5768" s="2" t="inlineStr"/>
    </row>
    <row r="5769" ht="15" customHeight="1">
      <c r="A5769" t="inlineStr">
        <is>
          <t>A 60742-2022</t>
        </is>
      </c>
      <c r="B5769" s="1" t="n">
        <v>44913</v>
      </c>
      <c r="C5769" s="1" t="n">
        <v>45182</v>
      </c>
      <c r="D5769" t="inlineStr">
        <is>
          <t>JÄMTLANDS LÄN</t>
        </is>
      </c>
      <c r="E5769" t="inlineStr">
        <is>
          <t>STRÖMSUND</t>
        </is>
      </c>
      <c r="F5769" t="inlineStr">
        <is>
          <t>SCA</t>
        </is>
      </c>
      <c r="G5769" t="n">
        <v>1.1</v>
      </c>
      <c r="H5769" t="n">
        <v>0</v>
      </c>
      <c r="I5769" t="n">
        <v>0</v>
      </c>
      <c r="J5769" t="n">
        <v>0</v>
      </c>
      <c r="K5769" t="n">
        <v>0</v>
      </c>
      <c r="L5769" t="n">
        <v>0</v>
      </c>
      <c r="M5769" t="n">
        <v>0</v>
      </c>
      <c r="N5769" t="n">
        <v>0</v>
      </c>
      <c r="O5769" t="n">
        <v>0</v>
      </c>
      <c r="P5769" t="n">
        <v>0</v>
      </c>
      <c r="Q5769" t="n">
        <v>0</v>
      </c>
      <c r="R5769" s="2" t="inlineStr"/>
    </row>
    <row r="5770" ht="15" customHeight="1">
      <c r="A5770" t="inlineStr">
        <is>
          <t>A 60740-2022</t>
        </is>
      </c>
      <c r="B5770" s="1" t="n">
        <v>44913</v>
      </c>
      <c r="C5770" s="1" t="n">
        <v>45182</v>
      </c>
      <c r="D5770" t="inlineStr">
        <is>
          <t>JÄMTLANDS LÄN</t>
        </is>
      </c>
      <c r="E5770" t="inlineStr">
        <is>
          <t>STRÖMSUND</t>
        </is>
      </c>
      <c r="F5770" t="inlineStr">
        <is>
          <t>SCA</t>
        </is>
      </c>
      <c r="G5770" t="n">
        <v>16.7</v>
      </c>
      <c r="H5770" t="n">
        <v>0</v>
      </c>
      <c r="I5770" t="n">
        <v>0</v>
      </c>
      <c r="J5770" t="n">
        <v>0</v>
      </c>
      <c r="K5770" t="n">
        <v>0</v>
      </c>
      <c r="L5770" t="n">
        <v>0</v>
      </c>
      <c r="M5770" t="n">
        <v>0</v>
      </c>
      <c r="N5770" t="n">
        <v>0</v>
      </c>
      <c r="O5770" t="n">
        <v>0</v>
      </c>
      <c r="P5770" t="n">
        <v>0</v>
      </c>
      <c r="Q5770" t="n">
        <v>0</v>
      </c>
      <c r="R5770" s="2" t="inlineStr"/>
    </row>
    <row r="5771" ht="15" customHeight="1">
      <c r="A5771" t="inlineStr">
        <is>
          <t>A 60739-2022</t>
        </is>
      </c>
      <c r="B5771" s="1" t="n">
        <v>44913</v>
      </c>
      <c r="C5771" s="1" t="n">
        <v>45182</v>
      </c>
      <c r="D5771" t="inlineStr">
        <is>
          <t>JÄMTLANDS LÄN</t>
        </is>
      </c>
      <c r="E5771" t="inlineStr">
        <is>
          <t>RAGUNDA</t>
        </is>
      </c>
      <c r="F5771" t="inlineStr">
        <is>
          <t>Naturvårdsverket</t>
        </is>
      </c>
      <c r="G5771" t="n">
        <v>6.6</v>
      </c>
      <c r="H5771" t="n">
        <v>0</v>
      </c>
      <c r="I5771" t="n">
        <v>0</v>
      </c>
      <c r="J5771" t="n">
        <v>0</v>
      </c>
      <c r="K5771" t="n">
        <v>0</v>
      </c>
      <c r="L5771" t="n">
        <v>0</v>
      </c>
      <c r="M5771" t="n">
        <v>0</v>
      </c>
      <c r="N5771" t="n">
        <v>0</v>
      </c>
      <c r="O5771" t="n">
        <v>0</v>
      </c>
      <c r="P5771" t="n">
        <v>0</v>
      </c>
      <c r="Q5771" t="n">
        <v>0</v>
      </c>
      <c r="R5771" s="2" t="inlineStr"/>
    </row>
    <row r="5772" ht="15" customHeight="1">
      <c r="A5772" t="inlineStr">
        <is>
          <t>A 60741-2022</t>
        </is>
      </c>
      <c r="B5772" s="1" t="n">
        <v>44913</v>
      </c>
      <c r="C5772" s="1" t="n">
        <v>45182</v>
      </c>
      <c r="D5772" t="inlineStr">
        <is>
          <t>JÄMTLANDS LÄN</t>
        </is>
      </c>
      <c r="E5772" t="inlineStr">
        <is>
          <t>STRÖMSUND</t>
        </is>
      </c>
      <c r="F5772" t="inlineStr">
        <is>
          <t>SCA</t>
        </is>
      </c>
      <c r="G5772" t="n">
        <v>6.7</v>
      </c>
      <c r="H5772" t="n">
        <v>0</v>
      </c>
      <c r="I5772" t="n">
        <v>0</v>
      </c>
      <c r="J5772" t="n">
        <v>0</v>
      </c>
      <c r="K5772" t="n">
        <v>0</v>
      </c>
      <c r="L5772" t="n">
        <v>0</v>
      </c>
      <c r="M5772" t="n">
        <v>0</v>
      </c>
      <c r="N5772" t="n">
        <v>0</v>
      </c>
      <c r="O5772" t="n">
        <v>0</v>
      </c>
      <c r="P5772" t="n">
        <v>0</v>
      </c>
      <c r="Q5772" t="n">
        <v>0</v>
      </c>
      <c r="R5772" s="2" t="inlineStr"/>
    </row>
    <row r="5773" ht="15" customHeight="1">
      <c r="A5773" t="inlineStr">
        <is>
          <t>A 62011-2022</t>
        </is>
      </c>
      <c r="B5773" s="1" t="n">
        <v>44914</v>
      </c>
      <c r="C5773" s="1" t="n">
        <v>45182</v>
      </c>
      <c r="D5773" t="inlineStr">
        <is>
          <t>JÄMTLANDS LÄN</t>
        </is>
      </c>
      <c r="E5773" t="inlineStr">
        <is>
          <t>RAGUNDA</t>
        </is>
      </c>
      <c r="G5773" t="n">
        <v>0.3</v>
      </c>
      <c r="H5773" t="n">
        <v>0</v>
      </c>
      <c r="I5773" t="n">
        <v>0</v>
      </c>
      <c r="J5773" t="n">
        <v>0</v>
      </c>
      <c r="K5773" t="n">
        <v>0</v>
      </c>
      <c r="L5773" t="n">
        <v>0</v>
      </c>
      <c r="M5773" t="n">
        <v>0</v>
      </c>
      <c r="N5773" t="n">
        <v>0</v>
      </c>
      <c r="O5773" t="n">
        <v>0</v>
      </c>
      <c r="P5773" t="n">
        <v>0</v>
      </c>
      <c r="Q5773" t="n">
        <v>0</v>
      </c>
      <c r="R5773" s="2" t="inlineStr"/>
    </row>
    <row r="5774" ht="15" customHeight="1">
      <c r="A5774" t="inlineStr">
        <is>
          <t>A 60933-2022</t>
        </is>
      </c>
      <c r="B5774" s="1" t="n">
        <v>44914</v>
      </c>
      <c r="C5774" s="1" t="n">
        <v>45182</v>
      </c>
      <c r="D5774" t="inlineStr">
        <is>
          <t>JÄMTLANDS LÄN</t>
        </is>
      </c>
      <c r="E5774" t="inlineStr">
        <is>
          <t>HÄRJEDALEN</t>
        </is>
      </c>
      <c r="G5774" t="n">
        <v>0.7</v>
      </c>
      <c r="H5774" t="n">
        <v>0</v>
      </c>
      <c r="I5774" t="n">
        <v>0</v>
      </c>
      <c r="J5774" t="n">
        <v>0</v>
      </c>
      <c r="K5774" t="n">
        <v>0</v>
      </c>
      <c r="L5774" t="n">
        <v>0</v>
      </c>
      <c r="M5774" t="n">
        <v>0</v>
      </c>
      <c r="N5774" t="n">
        <v>0</v>
      </c>
      <c r="O5774" t="n">
        <v>0</v>
      </c>
      <c r="P5774" t="n">
        <v>0</v>
      </c>
      <c r="Q5774" t="n">
        <v>0</v>
      </c>
      <c r="R5774" s="2" t="inlineStr"/>
    </row>
    <row r="5775" ht="15" customHeight="1">
      <c r="A5775" t="inlineStr">
        <is>
          <t>A 60983-2022</t>
        </is>
      </c>
      <c r="B5775" s="1" t="n">
        <v>44914</v>
      </c>
      <c r="C5775" s="1" t="n">
        <v>45182</v>
      </c>
      <c r="D5775" t="inlineStr">
        <is>
          <t>JÄMTLANDS LÄN</t>
        </is>
      </c>
      <c r="E5775" t="inlineStr">
        <is>
          <t>HÄRJEDALEN</t>
        </is>
      </c>
      <c r="G5775" t="n">
        <v>44</v>
      </c>
      <c r="H5775" t="n">
        <v>0</v>
      </c>
      <c r="I5775" t="n">
        <v>0</v>
      </c>
      <c r="J5775" t="n">
        <v>0</v>
      </c>
      <c r="K5775" t="n">
        <v>0</v>
      </c>
      <c r="L5775" t="n">
        <v>0</v>
      </c>
      <c r="M5775" t="n">
        <v>0</v>
      </c>
      <c r="N5775" t="n">
        <v>0</v>
      </c>
      <c r="O5775" t="n">
        <v>0</v>
      </c>
      <c r="P5775" t="n">
        <v>0</v>
      </c>
      <c r="Q5775" t="n">
        <v>0</v>
      </c>
      <c r="R5775" s="2" t="inlineStr"/>
    </row>
    <row r="5776" ht="15" customHeight="1">
      <c r="A5776" t="inlineStr">
        <is>
          <t>A 61045-2022</t>
        </is>
      </c>
      <c r="B5776" s="1" t="n">
        <v>44914</v>
      </c>
      <c r="C5776" s="1" t="n">
        <v>45182</v>
      </c>
      <c r="D5776" t="inlineStr">
        <is>
          <t>JÄMTLANDS LÄN</t>
        </is>
      </c>
      <c r="E5776" t="inlineStr">
        <is>
          <t>RAGUNDA</t>
        </is>
      </c>
      <c r="F5776" t="inlineStr">
        <is>
          <t>SCA</t>
        </is>
      </c>
      <c r="G5776" t="n">
        <v>2.6</v>
      </c>
      <c r="H5776" t="n">
        <v>0</v>
      </c>
      <c r="I5776" t="n">
        <v>0</v>
      </c>
      <c r="J5776" t="n">
        <v>0</v>
      </c>
      <c r="K5776" t="n">
        <v>0</v>
      </c>
      <c r="L5776" t="n">
        <v>0</v>
      </c>
      <c r="M5776" t="n">
        <v>0</v>
      </c>
      <c r="N5776" t="n">
        <v>0</v>
      </c>
      <c r="O5776" t="n">
        <v>0</v>
      </c>
      <c r="P5776" t="n">
        <v>0</v>
      </c>
      <c r="Q5776" t="n">
        <v>0</v>
      </c>
      <c r="R5776" s="2" t="inlineStr"/>
    </row>
    <row r="5777" ht="15" customHeight="1">
      <c r="A5777" t="inlineStr">
        <is>
          <t>A 60887-2022</t>
        </is>
      </c>
      <c r="B5777" s="1" t="n">
        <v>44914</v>
      </c>
      <c r="C5777" s="1" t="n">
        <v>45182</v>
      </c>
      <c r="D5777" t="inlineStr">
        <is>
          <t>JÄMTLANDS LÄN</t>
        </is>
      </c>
      <c r="E5777" t="inlineStr">
        <is>
          <t>HÄRJEDALEN</t>
        </is>
      </c>
      <c r="G5777" t="n">
        <v>0.9</v>
      </c>
      <c r="H5777" t="n">
        <v>0</v>
      </c>
      <c r="I5777" t="n">
        <v>0</v>
      </c>
      <c r="J5777" t="n">
        <v>0</v>
      </c>
      <c r="K5777" t="n">
        <v>0</v>
      </c>
      <c r="L5777" t="n">
        <v>0</v>
      </c>
      <c r="M5777" t="n">
        <v>0</v>
      </c>
      <c r="N5777" t="n">
        <v>0</v>
      </c>
      <c r="O5777" t="n">
        <v>0</v>
      </c>
      <c r="P5777" t="n">
        <v>0</v>
      </c>
      <c r="Q5777" t="n">
        <v>0</v>
      </c>
      <c r="R5777" s="2" t="inlineStr"/>
    </row>
    <row r="5778" ht="15" customHeight="1">
      <c r="A5778" t="inlineStr">
        <is>
          <t>A 60897-2022</t>
        </is>
      </c>
      <c r="B5778" s="1" t="n">
        <v>44914</v>
      </c>
      <c r="C5778" s="1" t="n">
        <v>45182</v>
      </c>
      <c r="D5778" t="inlineStr">
        <is>
          <t>JÄMTLANDS LÄN</t>
        </is>
      </c>
      <c r="E5778" t="inlineStr">
        <is>
          <t>HÄRJEDALEN</t>
        </is>
      </c>
      <c r="F5778" t="inlineStr">
        <is>
          <t>Holmen skog AB</t>
        </is>
      </c>
      <c r="G5778" t="n">
        <v>0.3</v>
      </c>
      <c r="H5778" t="n">
        <v>0</v>
      </c>
      <c r="I5778" t="n">
        <v>0</v>
      </c>
      <c r="J5778" t="n">
        <v>0</v>
      </c>
      <c r="K5778" t="n">
        <v>0</v>
      </c>
      <c r="L5778" t="n">
        <v>0</v>
      </c>
      <c r="M5778" t="n">
        <v>0</v>
      </c>
      <c r="N5778" t="n">
        <v>0</v>
      </c>
      <c r="O5778" t="n">
        <v>0</v>
      </c>
      <c r="P5778" t="n">
        <v>0</v>
      </c>
      <c r="Q5778" t="n">
        <v>0</v>
      </c>
      <c r="R5778" s="2" t="inlineStr"/>
      <c r="U5778">
        <f>HYPERLINK("https://klasma.github.io/Logging_HARJEDALEN/knärot/A 60897-2022.png")</f>
        <v/>
      </c>
      <c r="V5778">
        <f>HYPERLINK("https://klasma.github.io/Logging_HARJEDALEN/klagomål/A 60897-2022.docx")</f>
        <v/>
      </c>
      <c r="W5778">
        <f>HYPERLINK("https://klasma.github.io/Logging_HARJEDALEN/klagomålsmail/A 60897-2022.docx")</f>
        <v/>
      </c>
      <c r="X5778">
        <f>HYPERLINK("https://klasma.github.io/Logging_HARJEDALEN/tillsyn/A 60897-2022.docx")</f>
        <v/>
      </c>
      <c r="Y5778">
        <f>HYPERLINK("https://klasma.github.io/Logging_HARJEDALEN/tillsynsmail/A 60897-2022.docx")</f>
        <v/>
      </c>
    </row>
    <row r="5779" ht="15" customHeight="1">
      <c r="A5779" t="inlineStr">
        <is>
          <t>A 62147-2022</t>
        </is>
      </c>
      <c r="B5779" s="1" t="n">
        <v>44914</v>
      </c>
      <c r="C5779" s="1" t="n">
        <v>45182</v>
      </c>
      <c r="D5779" t="inlineStr">
        <is>
          <t>JÄMTLANDS LÄN</t>
        </is>
      </c>
      <c r="E5779" t="inlineStr">
        <is>
          <t>BERG</t>
        </is>
      </c>
      <c r="G5779" t="n">
        <v>1.1</v>
      </c>
      <c r="H5779" t="n">
        <v>0</v>
      </c>
      <c r="I5779" t="n">
        <v>0</v>
      </c>
      <c r="J5779" t="n">
        <v>0</v>
      </c>
      <c r="K5779" t="n">
        <v>0</v>
      </c>
      <c r="L5779" t="n">
        <v>0</v>
      </c>
      <c r="M5779" t="n">
        <v>0</v>
      </c>
      <c r="N5779" t="n">
        <v>0</v>
      </c>
      <c r="O5779" t="n">
        <v>0</v>
      </c>
      <c r="P5779" t="n">
        <v>0</v>
      </c>
      <c r="Q5779" t="n">
        <v>0</v>
      </c>
      <c r="R5779" s="2" t="inlineStr"/>
    </row>
    <row r="5780" ht="15" customHeight="1">
      <c r="A5780" t="inlineStr">
        <is>
          <t>A 60801-2022</t>
        </is>
      </c>
      <c r="B5780" s="1" t="n">
        <v>44914</v>
      </c>
      <c r="C5780" s="1" t="n">
        <v>45182</v>
      </c>
      <c r="D5780" t="inlineStr">
        <is>
          <t>JÄMTLANDS LÄN</t>
        </is>
      </c>
      <c r="E5780" t="inlineStr">
        <is>
          <t>STRÖMSUND</t>
        </is>
      </c>
      <c r="G5780" t="n">
        <v>1.1</v>
      </c>
      <c r="H5780" t="n">
        <v>0</v>
      </c>
      <c r="I5780" t="n">
        <v>0</v>
      </c>
      <c r="J5780" t="n">
        <v>0</v>
      </c>
      <c r="K5780" t="n">
        <v>0</v>
      </c>
      <c r="L5780" t="n">
        <v>0</v>
      </c>
      <c r="M5780" t="n">
        <v>0</v>
      </c>
      <c r="N5780" t="n">
        <v>0</v>
      </c>
      <c r="O5780" t="n">
        <v>0</v>
      </c>
      <c r="P5780" t="n">
        <v>0</v>
      </c>
      <c r="Q5780" t="n">
        <v>0</v>
      </c>
      <c r="R5780" s="2" t="inlineStr"/>
    </row>
    <row r="5781" ht="15" customHeight="1">
      <c r="A5781" t="inlineStr">
        <is>
          <t>A 62153-2022</t>
        </is>
      </c>
      <c r="B5781" s="1" t="n">
        <v>44914</v>
      </c>
      <c r="C5781" s="1" t="n">
        <v>45182</v>
      </c>
      <c r="D5781" t="inlineStr">
        <is>
          <t>JÄMTLANDS LÄN</t>
        </is>
      </c>
      <c r="E5781" t="inlineStr">
        <is>
          <t>BERG</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61382-2022</t>
        </is>
      </c>
      <c r="B5782" s="1" t="n">
        <v>44915</v>
      </c>
      <c r="C5782" s="1" t="n">
        <v>45182</v>
      </c>
      <c r="D5782" t="inlineStr">
        <is>
          <t>JÄMTLANDS LÄN</t>
        </is>
      </c>
      <c r="E5782" t="inlineStr">
        <is>
          <t>STRÖMSUND</t>
        </is>
      </c>
      <c r="G5782" t="n">
        <v>3.8</v>
      </c>
      <c r="H5782" t="n">
        <v>0</v>
      </c>
      <c r="I5782" t="n">
        <v>0</v>
      </c>
      <c r="J5782" t="n">
        <v>0</v>
      </c>
      <c r="K5782" t="n">
        <v>0</v>
      </c>
      <c r="L5782" t="n">
        <v>0</v>
      </c>
      <c r="M5782" t="n">
        <v>0</v>
      </c>
      <c r="N5782" t="n">
        <v>0</v>
      </c>
      <c r="O5782" t="n">
        <v>0</v>
      </c>
      <c r="P5782" t="n">
        <v>0</v>
      </c>
      <c r="Q5782" t="n">
        <v>0</v>
      </c>
      <c r="R5782" s="2" t="inlineStr"/>
    </row>
    <row r="5783" ht="15" customHeight="1">
      <c r="A5783" t="inlineStr">
        <is>
          <t>A 61080-2022</t>
        </is>
      </c>
      <c r="B5783" s="1" t="n">
        <v>44915</v>
      </c>
      <c r="C5783" s="1" t="n">
        <v>45182</v>
      </c>
      <c r="D5783" t="inlineStr">
        <is>
          <t>JÄMTLANDS LÄN</t>
        </is>
      </c>
      <c r="E5783" t="inlineStr">
        <is>
          <t>RAGUNDA</t>
        </is>
      </c>
      <c r="G5783" t="n">
        <v>3.4</v>
      </c>
      <c r="H5783" t="n">
        <v>0</v>
      </c>
      <c r="I5783" t="n">
        <v>0</v>
      </c>
      <c r="J5783" t="n">
        <v>0</v>
      </c>
      <c r="K5783" t="n">
        <v>0</v>
      </c>
      <c r="L5783" t="n">
        <v>0</v>
      </c>
      <c r="M5783" t="n">
        <v>0</v>
      </c>
      <c r="N5783" t="n">
        <v>0</v>
      </c>
      <c r="O5783" t="n">
        <v>0</v>
      </c>
      <c r="P5783" t="n">
        <v>0</v>
      </c>
      <c r="Q5783" t="n">
        <v>0</v>
      </c>
      <c r="R5783" s="2" t="inlineStr"/>
    </row>
    <row r="5784" ht="15" customHeight="1">
      <c r="A5784" t="inlineStr">
        <is>
          <t>A 61380-2022</t>
        </is>
      </c>
      <c r="B5784" s="1" t="n">
        <v>44915</v>
      </c>
      <c r="C5784" s="1" t="n">
        <v>45182</v>
      </c>
      <c r="D5784" t="inlineStr">
        <is>
          <t>JÄMTLANDS LÄN</t>
        </is>
      </c>
      <c r="E5784" t="inlineStr">
        <is>
          <t>STRÖMSUND</t>
        </is>
      </c>
      <c r="G5784" t="n">
        <v>0.8</v>
      </c>
      <c r="H5784" t="n">
        <v>0</v>
      </c>
      <c r="I5784" t="n">
        <v>0</v>
      </c>
      <c r="J5784" t="n">
        <v>0</v>
      </c>
      <c r="K5784" t="n">
        <v>0</v>
      </c>
      <c r="L5784" t="n">
        <v>0</v>
      </c>
      <c r="M5784" t="n">
        <v>0</v>
      </c>
      <c r="N5784" t="n">
        <v>0</v>
      </c>
      <c r="O5784" t="n">
        <v>0</v>
      </c>
      <c r="P5784" t="n">
        <v>0</v>
      </c>
      <c r="Q5784" t="n">
        <v>0</v>
      </c>
      <c r="R5784" s="2" t="inlineStr"/>
    </row>
    <row r="5785" ht="15" customHeight="1">
      <c r="A5785" t="inlineStr">
        <is>
          <t>A 61400-2022</t>
        </is>
      </c>
      <c r="B5785" s="1" t="n">
        <v>44915</v>
      </c>
      <c r="C5785" s="1" t="n">
        <v>45182</v>
      </c>
      <c r="D5785" t="inlineStr">
        <is>
          <t>JÄMTLANDS LÄN</t>
        </is>
      </c>
      <c r="E5785" t="inlineStr">
        <is>
          <t>RAGUNDA</t>
        </is>
      </c>
      <c r="F5785" t="inlineStr">
        <is>
          <t>SCA</t>
        </is>
      </c>
      <c r="G5785" t="n">
        <v>3.9</v>
      </c>
      <c r="H5785" t="n">
        <v>0</v>
      </c>
      <c r="I5785" t="n">
        <v>0</v>
      </c>
      <c r="J5785" t="n">
        <v>0</v>
      </c>
      <c r="K5785" t="n">
        <v>0</v>
      </c>
      <c r="L5785" t="n">
        <v>0</v>
      </c>
      <c r="M5785" t="n">
        <v>0</v>
      </c>
      <c r="N5785" t="n">
        <v>0</v>
      </c>
      <c r="O5785" t="n">
        <v>0</v>
      </c>
      <c r="P5785" t="n">
        <v>0</v>
      </c>
      <c r="Q5785" t="n">
        <v>0</v>
      </c>
      <c r="R5785" s="2" t="inlineStr"/>
    </row>
    <row r="5786" ht="15" customHeight="1">
      <c r="A5786" t="inlineStr">
        <is>
          <t>A 62205-2022</t>
        </is>
      </c>
      <c r="B5786" s="1" t="n">
        <v>44915</v>
      </c>
      <c r="C5786" s="1" t="n">
        <v>45182</v>
      </c>
      <c r="D5786" t="inlineStr">
        <is>
          <t>JÄMTLANDS LÄN</t>
        </is>
      </c>
      <c r="E5786" t="inlineStr">
        <is>
          <t>BERG</t>
        </is>
      </c>
      <c r="G5786" t="n">
        <v>15</v>
      </c>
      <c r="H5786" t="n">
        <v>0</v>
      </c>
      <c r="I5786" t="n">
        <v>0</v>
      </c>
      <c r="J5786" t="n">
        <v>0</v>
      </c>
      <c r="K5786" t="n">
        <v>0</v>
      </c>
      <c r="L5786" t="n">
        <v>0</v>
      </c>
      <c r="M5786" t="n">
        <v>0</v>
      </c>
      <c r="N5786" t="n">
        <v>0</v>
      </c>
      <c r="O5786" t="n">
        <v>0</v>
      </c>
      <c r="P5786" t="n">
        <v>0</v>
      </c>
      <c r="Q5786" t="n">
        <v>0</v>
      </c>
      <c r="R5786" s="2" t="inlineStr"/>
    </row>
    <row r="5787" ht="15" customHeight="1">
      <c r="A5787" t="inlineStr">
        <is>
          <t>A 62211-2022</t>
        </is>
      </c>
      <c r="B5787" s="1" t="n">
        <v>44915</v>
      </c>
      <c r="C5787" s="1" t="n">
        <v>45182</v>
      </c>
      <c r="D5787" t="inlineStr">
        <is>
          <t>JÄMTLANDS LÄN</t>
        </is>
      </c>
      <c r="E5787" t="inlineStr">
        <is>
          <t>STRÖMSUND</t>
        </is>
      </c>
      <c r="G5787" t="n">
        <v>7</v>
      </c>
      <c r="H5787" t="n">
        <v>0</v>
      </c>
      <c r="I5787" t="n">
        <v>0</v>
      </c>
      <c r="J5787" t="n">
        <v>0</v>
      </c>
      <c r="K5787" t="n">
        <v>0</v>
      </c>
      <c r="L5787" t="n">
        <v>0</v>
      </c>
      <c r="M5787" t="n">
        <v>0</v>
      </c>
      <c r="N5787" t="n">
        <v>0</v>
      </c>
      <c r="O5787" t="n">
        <v>0</v>
      </c>
      <c r="P5787" t="n">
        <v>0</v>
      </c>
      <c r="Q5787" t="n">
        <v>0</v>
      </c>
      <c r="R5787" s="2" t="inlineStr"/>
    </row>
    <row r="5788" ht="15" customHeight="1">
      <c r="A5788" t="inlineStr">
        <is>
          <t>A 61663-2022</t>
        </is>
      </c>
      <c r="B5788" s="1" t="n">
        <v>44916</v>
      </c>
      <c r="C5788" s="1" t="n">
        <v>45182</v>
      </c>
      <c r="D5788" t="inlineStr">
        <is>
          <t>JÄMTLANDS LÄN</t>
        </is>
      </c>
      <c r="E5788" t="inlineStr">
        <is>
          <t>BRÄCKE</t>
        </is>
      </c>
      <c r="F5788" t="inlineStr">
        <is>
          <t>SCA</t>
        </is>
      </c>
      <c r="G5788" t="n">
        <v>1.3</v>
      </c>
      <c r="H5788" t="n">
        <v>0</v>
      </c>
      <c r="I5788" t="n">
        <v>0</v>
      </c>
      <c r="J5788" t="n">
        <v>0</v>
      </c>
      <c r="K5788" t="n">
        <v>0</v>
      </c>
      <c r="L5788" t="n">
        <v>0</v>
      </c>
      <c r="M5788" t="n">
        <v>0</v>
      </c>
      <c r="N5788" t="n">
        <v>0</v>
      </c>
      <c r="O5788" t="n">
        <v>0</v>
      </c>
      <c r="P5788" t="n">
        <v>0</v>
      </c>
      <c r="Q5788" t="n">
        <v>0</v>
      </c>
      <c r="R5788" s="2" t="inlineStr"/>
    </row>
    <row r="5789" ht="15" customHeight="1">
      <c r="A5789" t="inlineStr">
        <is>
          <t>A 61571-2022</t>
        </is>
      </c>
      <c r="B5789" s="1" t="n">
        <v>44916</v>
      </c>
      <c r="C5789" s="1" t="n">
        <v>45182</v>
      </c>
      <c r="D5789" t="inlineStr">
        <is>
          <t>JÄMTLANDS LÄN</t>
        </is>
      </c>
      <c r="E5789" t="inlineStr">
        <is>
          <t>HÄRJEDALEN</t>
        </is>
      </c>
      <c r="G5789" t="n">
        <v>3.4</v>
      </c>
      <c r="H5789" t="n">
        <v>0</v>
      </c>
      <c r="I5789" t="n">
        <v>0</v>
      </c>
      <c r="J5789" t="n">
        <v>0</v>
      </c>
      <c r="K5789" t="n">
        <v>0</v>
      </c>
      <c r="L5789" t="n">
        <v>0</v>
      </c>
      <c r="M5789" t="n">
        <v>0</v>
      </c>
      <c r="N5789" t="n">
        <v>0</v>
      </c>
      <c r="O5789" t="n">
        <v>0</v>
      </c>
      <c r="P5789" t="n">
        <v>0</v>
      </c>
      <c r="Q5789" t="n">
        <v>0</v>
      </c>
      <c r="R5789" s="2" t="inlineStr"/>
    </row>
    <row r="5790" ht="15" customHeight="1">
      <c r="A5790" t="inlineStr">
        <is>
          <t>A 61472-2022</t>
        </is>
      </c>
      <c r="B5790" s="1" t="n">
        <v>44916</v>
      </c>
      <c r="C5790" s="1" t="n">
        <v>45182</v>
      </c>
      <c r="D5790" t="inlineStr">
        <is>
          <t>JÄMTLANDS LÄN</t>
        </is>
      </c>
      <c r="E5790" t="inlineStr">
        <is>
          <t>BERG</t>
        </is>
      </c>
      <c r="G5790" t="n">
        <v>9.199999999999999</v>
      </c>
      <c r="H5790" t="n">
        <v>0</v>
      </c>
      <c r="I5790" t="n">
        <v>0</v>
      </c>
      <c r="J5790" t="n">
        <v>0</v>
      </c>
      <c r="K5790" t="n">
        <v>0</v>
      </c>
      <c r="L5790" t="n">
        <v>0</v>
      </c>
      <c r="M5790" t="n">
        <v>0</v>
      </c>
      <c r="N5790" t="n">
        <v>0</v>
      </c>
      <c r="O5790" t="n">
        <v>0</v>
      </c>
      <c r="P5790" t="n">
        <v>0</v>
      </c>
      <c r="Q5790" t="n">
        <v>0</v>
      </c>
      <c r="R5790" s="2" t="inlineStr"/>
    </row>
    <row r="5791" ht="15" customHeight="1">
      <c r="A5791" t="inlineStr">
        <is>
          <t>A 61653-2022</t>
        </is>
      </c>
      <c r="B5791" s="1" t="n">
        <v>44916</v>
      </c>
      <c r="C5791" s="1" t="n">
        <v>45182</v>
      </c>
      <c r="D5791" t="inlineStr">
        <is>
          <t>JÄMTLANDS LÄN</t>
        </is>
      </c>
      <c r="E5791" t="inlineStr">
        <is>
          <t>ÖSTERSUND</t>
        </is>
      </c>
      <c r="G5791" t="n">
        <v>7.6</v>
      </c>
      <c r="H5791" t="n">
        <v>0</v>
      </c>
      <c r="I5791" t="n">
        <v>0</v>
      </c>
      <c r="J5791" t="n">
        <v>0</v>
      </c>
      <c r="K5791" t="n">
        <v>0</v>
      </c>
      <c r="L5791" t="n">
        <v>0</v>
      </c>
      <c r="M5791" t="n">
        <v>0</v>
      </c>
      <c r="N5791" t="n">
        <v>0</v>
      </c>
      <c r="O5791" t="n">
        <v>0</v>
      </c>
      <c r="P5791" t="n">
        <v>0</v>
      </c>
      <c r="Q5791" t="n">
        <v>0</v>
      </c>
      <c r="R5791" s="2" t="inlineStr"/>
    </row>
    <row r="5792" ht="15" customHeight="1">
      <c r="A5792" t="inlineStr">
        <is>
          <t>A 62229-2022</t>
        </is>
      </c>
      <c r="B5792" s="1" t="n">
        <v>44916</v>
      </c>
      <c r="C5792" s="1" t="n">
        <v>45182</v>
      </c>
      <c r="D5792" t="inlineStr">
        <is>
          <t>JÄMTLANDS LÄN</t>
        </is>
      </c>
      <c r="E5792" t="inlineStr">
        <is>
          <t>STRÖMSUND</t>
        </is>
      </c>
      <c r="G5792" t="n">
        <v>0.9</v>
      </c>
      <c r="H5792" t="n">
        <v>0</v>
      </c>
      <c r="I5792" t="n">
        <v>0</v>
      </c>
      <c r="J5792" t="n">
        <v>0</v>
      </c>
      <c r="K5792" t="n">
        <v>0</v>
      </c>
      <c r="L5792" t="n">
        <v>0</v>
      </c>
      <c r="M5792" t="n">
        <v>0</v>
      </c>
      <c r="N5792" t="n">
        <v>0</v>
      </c>
      <c r="O5792" t="n">
        <v>0</v>
      </c>
      <c r="P5792" t="n">
        <v>0</v>
      </c>
      <c r="Q5792" t="n">
        <v>0</v>
      </c>
      <c r="R5792" s="2" t="inlineStr"/>
    </row>
    <row r="5793" ht="15" customHeight="1">
      <c r="A5793" t="inlineStr">
        <is>
          <t>A 61924-2022</t>
        </is>
      </c>
      <c r="B5793" s="1" t="n">
        <v>44917</v>
      </c>
      <c r="C5793" s="1" t="n">
        <v>45182</v>
      </c>
      <c r="D5793" t="inlineStr">
        <is>
          <t>JÄMTLANDS LÄN</t>
        </is>
      </c>
      <c r="E5793" t="inlineStr">
        <is>
          <t>ÅRE</t>
        </is>
      </c>
      <c r="G5793" t="n">
        <v>39.8</v>
      </c>
      <c r="H5793" t="n">
        <v>0</v>
      </c>
      <c r="I5793" t="n">
        <v>0</v>
      </c>
      <c r="J5793" t="n">
        <v>0</v>
      </c>
      <c r="K5793" t="n">
        <v>0</v>
      </c>
      <c r="L5793" t="n">
        <v>0</v>
      </c>
      <c r="M5793" t="n">
        <v>0</v>
      </c>
      <c r="N5793" t="n">
        <v>0</v>
      </c>
      <c r="O5793" t="n">
        <v>0</v>
      </c>
      <c r="P5793" t="n">
        <v>0</v>
      </c>
      <c r="Q5793" t="n">
        <v>0</v>
      </c>
      <c r="R5793" s="2" t="inlineStr"/>
    </row>
    <row r="5794" ht="15" customHeight="1">
      <c r="A5794" t="inlineStr">
        <is>
          <t>A 62659-2022</t>
        </is>
      </c>
      <c r="B5794" s="1" t="n">
        <v>44917</v>
      </c>
      <c r="C5794" s="1" t="n">
        <v>45182</v>
      </c>
      <c r="D5794" t="inlineStr">
        <is>
          <t>JÄMTLANDS LÄN</t>
        </is>
      </c>
      <c r="E5794" t="inlineStr">
        <is>
          <t>BERG</t>
        </is>
      </c>
      <c r="G5794" t="n">
        <v>10.3</v>
      </c>
      <c r="H5794" t="n">
        <v>0</v>
      </c>
      <c r="I5794" t="n">
        <v>0</v>
      </c>
      <c r="J5794" t="n">
        <v>0</v>
      </c>
      <c r="K5794" t="n">
        <v>0</v>
      </c>
      <c r="L5794" t="n">
        <v>0</v>
      </c>
      <c r="M5794" t="n">
        <v>0</v>
      </c>
      <c r="N5794" t="n">
        <v>0</v>
      </c>
      <c r="O5794" t="n">
        <v>0</v>
      </c>
      <c r="P5794" t="n">
        <v>0</v>
      </c>
      <c r="Q5794" t="n">
        <v>0</v>
      </c>
      <c r="R5794" s="2" t="inlineStr"/>
    </row>
    <row r="5795" ht="15" customHeight="1">
      <c r="A5795" t="inlineStr">
        <is>
          <t>A 61925-2022</t>
        </is>
      </c>
      <c r="B5795" s="1" t="n">
        <v>44917</v>
      </c>
      <c r="C5795" s="1" t="n">
        <v>45182</v>
      </c>
      <c r="D5795" t="inlineStr">
        <is>
          <t>JÄMTLANDS LÄN</t>
        </is>
      </c>
      <c r="E5795" t="inlineStr">
        <is>
          <t>ÅRE</t>
        </is>
      </c>
      <c r="G5795" t="n">
        <v>3.3</v>
      </c>
      <c r="H5795" t="n">
        <v>0</v>
      </c>
      <c r="I5795" t="n">
        <v>0</v>
      </c>
      <c r="J5795" t="n">
        <v>0</v>
      </c>
      <c r="K5795" t="n">
        <v>0</v>
      </c>
      <c r="L5795" t="n">
        <v>0</v>
      </c>
      <c r="M5795" t="n">
        <v>0</v>
      </c>
      <c r="N5795" t="n">
        <v>0</v>
      </c>
      <c r="O5795" t="n">
        <v>0</v>
      </c>
      <c r="P5795" t="n">
        <v>0</v>
      </c>
      <c r="Q5795" t="n">
        <v>0</v>
      </c>
      <c r="R5795" s="2" t="inlineStr"/>
    </row>
    <row r="5796" ht="15" customHeight="1">
      <c r="A5796" t="inlineStr">
        <is>
          <t>A 61931-2022</t>
        </is>
      </c>
      <c r="B5796" s="1" t="n">
        <v>44917</v>
      </c>
      <c r="C5796" s="1" t="n">
        <v>45182</v>
      </c>
      <c r="D5796" t="inlineStr">
        <is>
          <t>JÄMTLANDS LÄN</t>
        </is>
      </c>
      <c r="E5796" t="inlineStr">
        <is>
          <t>ÅRE</t>
        </is>
      </c>
      <c r="G5796" t="n">
        <v>1.9</v>
      </c>
      <c r="H5796" t="n">
        <v>0</v>
      </c>
      <c r="I5796" t="n">
        <v>0</v>
      </c>
      <c r="J5796" t="n">
        <v>0</v>
      </c>
      <c r="K5796" t="n">
        <v>0</v>
      </c>
      <c r="L5796" t="n">
        <v>0</v>
      </c>
      <c r="M5796" t="n">
        <v>0</v>
      </c>
      <c r="N5796" t="n">
        <v>0</v>
      </c>
      <c r="O5796" t="n">
        <v>0</v>
      </c>
      <c r="P5796" t="n">
        <v>0</v>
      </c>
      <c r="Q5796" t="n">
        <v>0</v>
      </c>
      <c r="R5796" s="2" t="inlineStr"/>
    </row>
    <row r="5797" ht="15" customHeight="1">
      <c r="A5797" t="inlineStr">
        <is>
          <t>A 61921-2022</t>
        </is>
      </c>
      <c r="B5797" s="1" t="n">
        <v>44917</v>
      </c>
      <c r="C5797" s="1" t="n">
        <v>45182</v>
      </c>
      <c r="D5797" t="inlineStr">
        <is>
          <t>JÄMTLANDS LÄN</t>
        </is>
      </c>
      <c r="E5797" t="inlineStr">
        <is>
          <t>STRÖMSUND</t>
        </is>
      </c>
      <c r="G5797" t="n">
        <v>2.8</v>
      </c>
      <c r="H5797" t="n">
        <v>0</v>
      </c>
      <c r="I5797" t="n">
        <v>0</v>
      </c>
      <c r="J5797" t="n">
        <v>0</v>
      </c>
      <c r="K5797" t="n">
        <v>0</v>
      </c>
      <c r="L5797" t="n">
        <v>0</v>
      </c>
      <c r="M5797" t="n">
        <v>0</v>
      </c>
      <c r="N5797" t="n">
        <v>0</v>
      </c>
      <c r="O5797" t="n">
        <v>0</v>
      </c>
      <c r="P5797" t="n">
        <v>0</v>
      </c>
      <c r="Q5797" t="n">
        <v>0</v>
      </c>
      <c r="R5797" s="2" t="inlineStr"/>
    </row>
    <row r="5798" ht="15" customHeight="1">
      <c r="A5798" t="inlineStr">
        <is>
          <t>A 61926-2022</t>
        </is>
      </c>
      <c r="B5798" s="1" t="n">
        <v>44917</v>
      </c>
      <c r="C5798" s="1" t="n">
        <v>45182</v>
      </c>
      <c r="D5798" t="inlineStr">
        <is>
          <t>JÄMTLANDS LÄN</t>
        </is>
      </c>
      <c r="E5798" t="inlineStr">
        <is>
          <t>ÅRE</t>
        </is>
      </c>
      <c r="G5798" t="n">
        <v>18</v>
      </c>
      <c r="H5798" t="n">
        <v>0</v>
      </c>
      <c r="I5798" t="n">
        <v>0</v>
      </c>
      <c r="J5798" t="n">
        <v>0</v>
      </c>
      <c r="K5798" t="n">
        <v>0</v>
      </c>
      <c r="L5798" t="n">
        <v>0</v>
      </c>
      <c r="M5798" t="n">
        <v>0</v>
      </c>
      <c r="N5798" t="n">
        <v>0</v>
      </c>
      <c r="O5798" t="n">
        <v>0</v>
      </c>
      <c r="P5798" t="n">
        <v>0</v>
      </c>
      <c r="Q5798" t="n">
        <v>0</v>
      </c>
      <c r="R5798" s="2" t="inlineStr"/>
    </row>
    <row r="5799" ht="15" customHeight="1">
      <c r="A5799" t="inlineStr">
        <is>
          <t>A 61934-2022</t>
        </is>
      </c>
      <c r="B5799" s="1" t="n">
        <v>44917</v>
      </c>
      <c r="C5799" s="1" t="n">
        <v>45182</v>
      </c>
      <c r="D5799" t="inlineStr">
        <is>
          <t>JÄMTLANDS LÄN</t>
        </is>
      </c>
      <c r="E5799" t="inlineStr">
        <is>
          <t>RAGUNDA</t>
        </is>
      </c>
      <c r="F5799" t="inlineStr">
        <is>
          <t>SCA</t>
        </is>
      </c>
      <c r="G5799" t="n">
        <v>2.5</v>
      </c>
      <c r="H5799" t="n">
        <v>0</v>
      </c>
      <c r="I5799" t="n">
        <v>0</v>
      </c>
      <c r="J5799" t="n">
        <v>0</v>
      </c>
      <c r="K5799" t="n">
        <v>0</v>
      </c>
      <c r="L5799" t="n">
        <v>0</v>
      </c>
      <c r="M5799" t="n">
        <v>0</v>
      </c>
      <c r="N5799" t="n">
        <v>0</v>
      </c>
      <c r="O5799" t="n">
        <v>0</v>
      </c>
      <c r="P5799" t="n">
        <v>0</v>
      </c>
      <c r="Q5799" t="n">
        <v>0</v>
      </c>
      <c r="R5799" s="2" t="inlineStr"/>
    </row>
    <row r="5800" ht="15" customHeight="1">
      <c r="A5800" t="inlineStr">
        <is>
          <t>A 62541-2022</t>
        </is>
      </c>
      <c r="B5800" s="1" t="n">
        <v>44917</v>
      </c>
      <c r="C5800" s="1" t="n">
        <v>45182</v>
      </c>
      <c r="D5800" t="inlineStr">
        <is>
          <t>JÄMTLANDS LÄN</t>
        </is>
      </c>
      <c r="E5800" t="inlineStr">
        <is>
          <t>RAGUNDA</t>
        </is>
      </c>
      <c r="G5800" t="n">
        <v>2.6</v>
      </c>
      <c r="H5800" t="n">
        <v>0</v>
      </c>
      <c r="I5800" t="n">
        <v>0</v>
      </c>
      <c r="J5800" t="n">
        <v>0</v>
      </c>
      <c r="K5800" t="n">
        <v>0</v>
      </c>
      <c r="L5800" t="n">
        <v>0</v>
      </c>
      <c r="M5800" t="n">
        <v>0</v>
      </c>
      <c r="N5800" t="n">
        <v>0</v>
      </c>
      <c r="O5800" t="n">
        <v>0</v>
      </c>
      <c r="P5800" t="n">
        <v>0</v>
      </c>
      <c r="Q5800" t="n">
        <v>0</v>
      </c>
      <c r="R5800" s="2" t="inlineStr"/>
    </row>
    <row r="5801" ht="15" customHeight="1">
      <c r="A5801" t="inlineStr">
        <is>
          <t>A 31-2023</t>
        </is>
      </c>
      <c r="B5801" s="1" t="n">
        <v>44918</v>
      </c>
      <c r="C5801" s="1" t="n">
        <v>45182</v>
      </c>
      <c r="D5801" t="inlineStr">
        <is>
          <t>JÄMTLANDS LÄN</t>
        </is>
      </c>
      <c r="E5801" t="inlineStr">
        <is>
          <t>STRÖMSUND</t>
        </is>
      </c>
      <c r="G5801" t="n">
        <v>7.5</v>
      </c>
      <c r="H5801" t="n">
        <v>0</v>
      </c>
      <c r="I5801" t="n">
        <v>0</v>
      </c>
      <c r="J5801" t="n">
        <v>0</v>
      </c>
      <c r="K5801" t="n">
        <v>0</v>
      </c>
      <c r="L5801" t="n">
        <v>0</v>
      </c>
      <c r="M5801" t="n">
        <v>0</v>
      </c>
      <c r="N5801" t="n">
        <v>0</v>
      </c>
      <c r="O5801" t="n">
        <v>0</v>
      </c>
      <c r="P5801" t="n">
        <v>0</v>
      </c>
      <c r="Q5801" t="n">
        <v>0</v>
      </c>
      <c r="R5801" s="2" t="inlineStr"/>
    </row>
    <row r="5802" ht="15" customHeight="1">
      <c r="A5802" t="inlineStr">
        <is>
          <t>A 62081-2022</t>
        </is>
      </c>
      <c r="B5802" s="1" t="n">
        <v>44918</v>
      </c>
      <c r="C5802" s="1" t="n">
        <v>45182</v>
      </c>
      <c r="D5802" t="inlineStr">
        <is>
          <t>JÄMTLANDS LÄN</t>
        </is>
      </c>
      <c r="E5802" t="inlineStr">
        <is>
          <t>RAGUNDA</t>
        </is>
      </c>
      <c r="F5802" t="inlineStr">
        <is>
          <t>SCA</t>
        </is>
      </c>
      <c r="G5802" t="n">
        <v>2.9</v>
      </c>
      <c r="H5802" t="n">
        <v>0</v>
      </c>
      <c r="I5802" t="n">
        <v>0</v>
      </c>
      <c r="J5802" t="n">
        <v>0</v>
      </c>
      <c r="K5802" t="n">
        <v>0</v>
      </c>
      <c r="L5802" t="n">
        <v>0</v>
      </c>
      <c r="M5802" t="n">
        <v>0</v>
      </c>
      <c r="N5802" t="n">
        <v>0</v>
      </c>
      <c r="O5802" t="n">
        <v>0</v>
      </c>
      <c r="P5802" t="n">
        <v>0</v>
      </c>
      <c r="Q5802" t="n">
        <v>0</v>
      </c>
      <c r="R5802" s="2" t="inlineStr"/>
    </row>
    <row r="5803" ht="15" customHeight="1">
      <c r="A5803" t="inlineStr">
        <is>
          <t>A 62222-2022</t>
        </is>
      </c>
      <c r="B5803" s="1" t="n">
        <v>44922</v>
      </c>
      <c r="C5803" s="1" t="n">
        <v>45182</v>
      </c>
      <c r="D5803" t="inlineStr">
        <is>
          <t>JÄMTLANDS LÄN</t>
        </is>
      </c>
      <c r="E5803" t="inlineStr">
        <is>
          <t>ÖSTERSUND</t>
        </is>
      </c>
      <c r="G5803" t="n">
        <v>4.1</v>
      </c>
      <c r="H5803" t="n">
        <v>0</v>
      </c>
      <c r="I5803" t="n">
        <v>0</v>
      </c>
      <c r="J5803" t="n">
        <v>0</v>
      </c>
      <c r="K5803" t="n">
        <v>0</v>
      </c>
      <c r="L5803" t="n">
        <v>0</v>
      </c>
      <c r="M5803" t="n">
        <v>0</v>
      </c>
      <c r="N5803" t="n">
        <v>0</v>
      </c>
      <c r="O5803" t="n">
        <v>0</v>
      </c>
      <c r="P5803" t="n">
        <v>0</v>
      </c>
      <c r="Q5803" t="n">
        <v>0</v>
      </c>
      <c r="R5803" s="2" t="inlineStr"/>
    </row>
    <row r="5804" ht="15" customHeight="1">
      <c r="A5804" t="inlineStr">
        <is>
          <t>A 62142-2022</t>
        </is>
      </c>
      <c r="B5804" s="1" t="n">
        <v>44922</v>
      </c>
      <c r="C5804" s="1" t="n">
        <v>45182</v>
      </c>
      <c r="D5804" t="inlineStr">
        <is>
          <t>JÄMTLANDS LÄN</t>
        </is>
      </c>
      <c r="E5804" t="inlineStr">
        <is>
          <t>KROKOM</t>
        </is>
      </c>
      <c r="F5804" t="inlineStr">
        <is>
          <t>Övriga Aktiebolag</t>
        </is>
      </c>
      <c r="G5804" t="n">
        <v>11.7</v>
      </c>
      <c r="H5804" t="n">
        <v>0</v>
      </c>
      <c r="I5804" t="n">
        <v>0</v>
      </c>
      <c r="J5804" t="n">
        <v>0</v>
      </c>
      <c r="K5804" t="n">
        <v>0</v>
      </c>
      <c r="L5804" t="n">
        <v>0</v>
      </c>
      <c r="M5804" t="n">
        <v>0</v>
      </c>
      <c r="N5804" t="n">
        <v>0</v>
      </c>
      <c r="O5804" t="n">
        <v>0</v>
      </c>
      <c r="P5804" t="n">
        <v>0</v>
      </c>
      <c r="Q5804" t="n">
        <v>0</v>
      </c>
      <c r="R5804" s="2" t="inlineStr"/>
    </row>
    <row r="5805" ht="15" customHeight="1">
      <c r="A5805" t="inlineStr">
        <is>
          <t>A 62227-2022</t>
        </is>
      </c>
      <c r="B5805" s="1" t="n">
        <v>44922</v>
      </c>
      <c r="C5805" s="1" t="n">
        <v>45182</v>
      </c>
      <c r="D5805" t="inlineStr">
        <is>
          <t>JÄMTLANDS LÄN</t>
        </is>
      </c>
      <c r="E5805" t="inlineStr">
        <is>
          <t>ÖSTERSUND</t>
        </is>
      </c>
      <c r="G5805" t="n">
        <v>2.2</v>
      </c>
      <c r="H5805" t="n">
        <v>0</v>
      </c>
      <c r="I5805" t="n">
        <v>0</v>
      </c>
      <c r="J5805" t="n">
        <v>0</v>
      </c>
      <c r="K5805" t="n">
        <v>0</v>
      </c>
      <c r="L5805" t="n">
        <v>0</v>
      </c>
      <c r="M5805" t="n">
        <v>0</v>
      </c>
      <c r="N5805" t="n">
        <v>0</v>
      </c>
      <c r="O5805" t="n">
        <v>0</v>
      </c>
      <c r="P5805" t="n">
        <v>0</v>
      </c>
      <c r="Q5805" t="n">
        <v>0</v>
      </c>
      <c r="R5805" s="2" t="inlineStr"/>
    </row>
    <row r="5806" ht="15" customHeight="1">
      <c r="A5806" t="inlineStr">
        <is>
          <t>A 182-2023</t>
        </is>
      </c>
      <c r="B5806" s="1" t="n">
        <v>44922</v>
      </c>
      <c r="C5806" s="1" t="n">
        <v>45182</v>
      </c>
      <c r="D5806" t="inlineStr">
        <is>
          <t>JÄMTLANDS LÄN</t>
        </is>
      </c>
      <c r="E5806" t="inlineStr">
        <is>
          <t>RAGUNDA</t>
        </is>
      </c>
      <c r="G5806" t="n">
        <v>1.4</v>
      </c>
      <c r="H5806" t="n">
        <v>0</v>
      </c>
      <c r="I5806" t="n">
        <v>0</v>
      </c>
      <c r="J5806" t="n">
        <v>0</v>
      </c>
      <c r="K5806" t="n">
        <v>0</v>
      </c>
      <c r="L5806" t="n">
        <v>0</v>
      </c>
      <c r="M5806" t="n">
        <v>0</v>
      </c>
      <c r="N5806" t="n">
        <v>0</v>
      </c>
      <c r="O5806" t="n">
        <v>0</v>
      </c>
      <c r="P5806" t="n">
        <v>0</v>
      </c>
      <c r="Q5806" t="n">
        <v>0</v>
      </c>
      <c r="R5806" s="2" t="inlineStr"/>
    </row>
    <row r="5807" ht="15" customHeight="1">
      <c r="A5807" t="inlineStr">
        <is>
          <t>A 62225-2022</t>
        </is>
      </c>
      <c r="B5807" s="1" t="n">
        <v>44922</v>
      </c>
      <c r="C5807" s="1" t="n">
        <v>45182</v>
      </c>
      <c r="D5807" t="inlineStr">
        <is>
          <t>JÄMTLANDS LÄN</t>
        </is>
      </c>
      <c r="E5807" t="inlineStr">
        <is>
          <t>ÖSTERSUND</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233-2023</t>
        </is>
      </c>
      <c r="B5808" s="1" t="n">
        <v>44922</v>
      </c>
      <c r="C5808" s="1" t="n">
        <v>45182</v>
      </c>
      <c r="D5808" t="inlineStr">
        <is>
          <t>JÄMTLANDS LÄN</t>
        </is>
      </c>
      <c r="E5808" t="inlineStr">
        <is>
          <t>KROKOM</t>
        </is>
      </c>
      <c r="G5808" t="n">
        <v>0.6</v>
      </c>
      <c r="H5808" t="n">
        <v>0</v>
      </c>
      <c r="I5808" t="n">
        <v>0</v>
      </c>
      <c r="J5808" t="n">
        <v>0</v>
      </c>
      <c r="K5808" t="n">
        <v>0</v>
      </c>
      <c r="L5808" t="n">
        <v>0</v>
      </c>
      <c r="M5808" t="n">
        <v>0</v>
      </c>
      <c r="N5808" t="n">
        <v>0</v>
      </c>
      <c r="O5808" t="n">
        <v>0</v>
      </c>
      <c r="P5808" t="n">
        <v>0</v>
      </c>
      <c r="Q5808" t="n">
        <v>0</v>
      </c>
      <c r="R5808" s="2" t="inlineStr"/>
    </row>
    <row r="5809" ht="15" customHeight="1">
      <c r="A5809" t="inlineStr">
        <is>
          <t>A 296-2023</t>
        </is>
      </c>
      <c r="B5809" s="1" t="n">
        <v>44922</v>
      </c>
      <c r="C5809" s="1" t="n">
        <v>45182</v>
      </c>
      <c r="D5809" t="inlineStr">
        <is>
          <t>JÄMTLANDS LÄN</t>
        </is>
      </c>
      <c r="E5809" t="inlineStr">
        <is>
          <t>ÖSTERSUND</t>
        </is>
      </c>
      <c r="G5809" t="n">
        <v>0.8</v>
      </c>
      <c r="H5809" t="n">
        <v>0</v>
      </c>
      <c r="I5809" t="n">
        <v>0</v>
      </c>
      <c r="J5809" t="n">
        <v>0</v>
      </c>
      <c r="K5809" t="n">
        <v>0</v>
      </c>
      <c r="L5809" t="n">
        <v>0</v>
      </c>
      <c r="M5809" t="n">
        <v>0</v>
      </c>
      <c r="N5809" t="n">
        <v>0</v>
      </c>
      <c r="O5809" t="n">
        <v>0</v>
      </c>
      <c r="P5809" t="n">
        <v>0</v>
      </c>
      <c r="Q5809" t="n">
        <v>0</v>
      </c>
      <c r="R5809" s="2" t="inlineStr"/>
    </row>
    <row r="5810" ht="15" customHeight="1">
      <c r="A5810" t="inlineStr">
        <is>
          <t>A 433-2023</t>
        </is>
      </c>
      <c r="B5810" s="1" t="n">
        <v>44923</v>
      </c>
      <c r="C5810" s="1" t="n">
        <v>45182</v>
      </c>
      <c r="D5810" t="inlineStr">
        <is>
          <t>JÄMTLANDS LÄN</t>
        </is>
      </c>
      <c r="E5810" t="inlineStr">
        <is>
          <t>BERG</t>
        </is>
      </c>
      <c r="G5810" t="n">
        <v>1.5</v>
      </c>
      <c r="H5810" t="n">
        <v>0</v>
      </c>
      <c r="I5810" t="n">
        <v>0</v>
      </c>
      <c r="J5810" t="n">
        <v>0</v>
      </c>
      <c r="K5810" t="n">
        <v>0</v>
      </c>
      <c r="L5810" t="n">
        <v>0</v>
      </c>
      <c r="M5810" t="n">
        <v>0</v>
      </c>
      <c r="N5810" t="n">
        <v>0</v>
      </c>
      <c r="O5810" t="n">
        <v>0</v>
      </c>
      <c r="P5810" t="n">
        <v>0</v>
      </c>
      <c r="Q5810" t="n">
        <v>0</v>
      </c>
      <c r="R5810" s="2" t="inlineStr"/>
    </row>
    <row r="5811" ht="15" customHeight="1">
      <c r="A5811" t="inlineStr">
        <is>
          <t>A 441-2023</t>
        </is>
      </c>
      <c r="B5811" s="1" t="n">
        <v>44923</v>
      </c>
      <c r="C5811" s="1" t="n">
        <v>45182</v>
      </c>
      <c r="D5811" t="inlineStr">
        <is>
          <t>JÄMTLANDS LÄN</t>
        </is>
      </c>
      <c r="E5811" t="inlineStr">
        <is>
          <t>BERG</t>
        </is>
      </c>
      <c r="G5811" t="n">
        <v>0.7</v>
      </c>
      <c r="H5811" t="n">
        <v>0</v>
      </c>
      <c r="I5811" t="n">
        <v>0</v>
      </c>
      <c r="J5811" t="n">
        <v>0</v>
      </c>
      <c r="K5811" t="n">
        <v>0</v>
      </c>
      <c r="L5811" t="n">
        <v>0</v>
      </c>
      <c r="M5811" t="n">
        <v>0</v>
      </c>
      <c r="N5811" t="n">
        <v>0</v>
      </c>
      <c r="O5811" t="n">
        <v>0</v>
      </c>
      <c r="P5811" t="n">
        <v>0</v>
      </c>
      <c r="Q5811" t="n">
        <v>0</v>
      </c>
      <c r="R5811" s="2" t="inlineStr"/>
    </row>
    <row r="5812" ht="15" customHeight="1">
      <c r="A5812" t="inlineStr">
        <is>
          <t>A 442-2023</t>
        </is>
      </c>
      <c r="B5812" s="1" t="n">
        <v>44923</v>
      </c>
      <c r="C5812" s="1" t="n">
        <v>45182</v>
      </c>
      <c r="D5812" t="inlineStr">
        <is>
          <t>JÄMTLANDS LÄN</t>
        </is>
      </c>
      <c r="E5812" t="inlineStr">
        <is>
          <t>BERG</t>
        </is>
      </c>
      <c r="G5812" t="n">
        <v>1.7</v>
      </c>
      <c r="H5812" t="n">
        <v>0</v>
      </c>
      <c r="I5812" t="n">
        <v>0</v>
      </c>
      <c r="J5812" t="n">
        <v>0</v>
      </c>
      <c r="K5812" t="n">
        <v>0</v>
      </c>
      <c r="L5812" t="n">
        <v>0</v>
      </c>
      <c r="M5812" t="n">
        <v>0</v>
      </c>
      <c r="N5812" t="n">
        <v>0</v>
      </c>
      <c r="O5812" t="n">
        <v>0</v>
      </c>
      <c r="P5812" t="n">
        <v>0</v>
      </c>
      <c r="Q5812" t="n">
        <v>0</v>
      </c>
      <c r="R5812" s="2" t="inlineStr"/>
    </row>
    <row r="5813" ht="15" customHeight="1">
      <c r="A5813" t="inlineStr">
        <is>
          <t>A 525-2023</t>
        </is>
      </c>
      <c r="B5813" s="1" t="n">
        <v>44924</v>
      </c>
      <c r="C5813" s="1" t="n">
        <v>45182</v>
      </c>
      <c r="D5813" t="inlineStr">
        <is>
          <t>JÄMTLANDS LÄN</t>
        </is>
      </c>
      <c r="E5813" t="inlineStr">
        <is>
          <t>BERG</t>
        </is>
      </c>
      <c r="G5813" t="n">
        <v>4</v>
      </c>
      <c r="H5813" t="n">
        <v>0</v>
      </c>
      <c r="I5813" t="n">
        <v>0</v>
      </c>
      <c r="J5813" t="n">
        <v>0</v>
      </c>
      <c r="K5813" t="n">
        <v>0</v>
      </c>
      <c r="L5813" t="n">
        <v>0</v>
      </c>
      <c r="M5813" t="n">
        <v>0</v>
      </c>
      <c r="N5813" t="n">
        <v>0</v>
      </c>
      <c r="O5813" t="n">
        <v>0</v>
      </c>
      <c r="P5813" t="n">
        <v>0</v>
      </c>
      <c r="Q5813" t="n">
        <v>0</v>
      </c>
      <c r="R5813" s="2" t="inlineStr"/>
    </row>
    <row r="5814" ht="15" customHeight="1">
      <c r="A5814" t="inlineStr">
        <is>
          <t>A 613-2023</t>
        </is>
      </c>
      <c r="B5814" s="1" t="n">
        <v>44924</v>
      </c>
      <c r="C5814" s="1" t="n">
        <v>45182</v>
      </c>
      <c r="D5814" t="inlineStr">
        <is>
          <t>JÄMTLANDS LÄN</t>
        </is>
      </c>
      <c r="E5814" t="inlineStr">
        <is>
          <t>BERG</t>
        </is>
      </c>
      <c r="G5814" t="n">
        <v>3.1</v>
      </c>
      <c r="H5814" t="n">
        <v>0</v>
      </c>
      <c r="I5814" t="n">
        <v>0</v>
      </c>
      <c r="J5814" t="n">
        <v>0</v>
      </c>
      <c r="K5814" t="n">
        <v>0</v>
      </c>
      <c r="L5814" t="n">
        <v>0</v>
      </c>
      <c r="M5814" t="n">
        <v>0</v>
      </c>
      <c r="N5814" t="n">
        <v>0</v>
      </c>
      <c r="O5814" t="n">
        <v>0</v>
      </c>
      <c r="P5814" t="n">
        <v>0</v>
      </c>
      <c r="Q5814" t="n">
        <v>0</v>
      </c>
      <c r="R5814" s="2" t="inlineStr"/>
    </row>
    <row r="5815" ht="15" customHeight="1">
      <c r="A5815" t="inlineStr">
        <is>
          <t>A 62539-2022</t>
        </is>
      </c>
      <c r="B5815" s="1" t="n">
        <v>44924</v>
      </c>
      <c r="C5815" s="1" t="n">
        <v>45182</v>
      </c>
      <c r="D5815" t="inlineStr">
        <is>
          <t>JÄMTLANDS LÄN</t>
        </is>
      </c>
      <c r="E5815" t="inlineStr">
        <is>
          <t>ÅRE</t>
        </is>
      </c>
      <c r="G5815" t="n">
        <v>4.8</v>
      </c>
      <c r="H5815" t="n">
        <v>0</v>
      </c>
      <c r="I5815" t="n">
        <v>0</v>
      </c>
      <c r="J5815" t="n">
        <v>0</v>
      </c>
      <c r="K5815" t="n">
        <v>0</v>
      </c>
      <c r="L5815" t="n">
        <v>0</v>
      </c>
      <c r="M5815" t="n">
        <v>0</v>
      </c>
      <c r="N5815" t="n">
        <v>0</v>
      </c>
      <c r="O5815" t="n">
        <v>0</v>
      </c>
      <c r="P5815" t="n">
        <v>0</v>
      </c>
      <c r="Q5815" t="n">
        <v>0</v>
      </c>
      <c r="R5815" s="2" t="inlineStr"/>
    </row>
    <row r="5816" ht="15" customHeight="1">
      <c r="A5816" t="inlineStr">
        <is>
          <t>A 62582-2022</t>
        </is>
      </c>
      <c r="B5816" s="1" t="n">
        <v>44924</v>
      </c>
      <c r="C5816" s="1" t="n">
        <v>45182</v>
      </c>
      <c r="D5816" t="inlineStr">
        <is>
          <t>JÄMTLANDS LÄN</t>
        </is>
      </c>
      <c r="E5816" t="inlineStr">
        <is>
          <t>ÅRE</t>
        </is>
      </c>
      <c r="F5816" t="inlineStr">
        <is>
          <t>Övriga Aktiebolag</t>
        </is>
      </c>
      <c r="G5816" t="n">
        <v>6.9</v>
      </c>
      <c r="H5816" t="n">
        <v>0</v>
      </c>
      <c r="I5816" t="n">
        <v>0</v>
      </c>
      <c r="J5816" t="n">
        <v>0</v>
      </c>
      <c r="K5816" t="n">
        <v>0</v>
      </c>
      <c r="L5816" t="n">
        <v>0</v>
      </c>
      <c r="M5816" t="n">
        <v>0</v>
      </c>
      <c r="N5816" t="n">
        <v>0</v>
      </c>
      <c r="O5816" t="n">
        <v>0</v>
      </c>
      <c r="P5816" t="n">
        <v>0</v>
      </c>
      <c r="Q5816" t="n">
        <v>0</v>
      </c>
      <c r="R5816" s="2" t="inlineStr"/>
    </row>
    <row r="5817" ht="15" customHeight="1">
      <c r="A5817" t="inlineStr">
        <is>
          <t>A 62520-2022</t>
        </is>
      </c>
      <c r="B5817" s="1" t="n">
        <v>44924</v>
      </c>
      <c r="C5817" s="1" t="n">
        <v>45182</v>
      </c>
      <c r="D5817" t="inlineStr">
        <is>
          <t>JÄMTLANDS LÄN</t>
        </is>
      </c>
      <c r="E5817" t="inlineStr">
        <is>
          <t>ÅRE</t>
        </is>
      </c>
      <c r="G5817" t="n">
        <v>0.7</v>
      </c>
      <c r="H5817" t="n">
        <v>0</v>
      </c>
      <c r="I5817" t="n">
        <v>0</v>
      </c>
      <c r="J5817" t="n">
        <v>0</v>
      </c>
      <c r="K5817" t="n">
        <v>0</v>
      </c>
      <c r="L5817" t="n">
        <v>0</v>
      </c>
      <c r="M5817" t="n">
        <v>0</v>
      </c>
      <c r="N5817" t="n">
        <v>0</v>
      </c>
      <c r="O5817" t="n">
        <v>0</v>
      </c>
      <c r="P5817" t="n">
        <v>0</v>
      </c>
      <c r="Q5817" t="n">
        <v>0</v>
      </c>
      <c r="R5817" s="2" t="inlineStr"/>
    </row>
    <row r="5818" ht="15" customHeight="1">
      <c r="A5818" t="inlineStr">
        <is>
          <t>A 62591-2022</t>
        </is>
      </c>
      <c r="B5818" s="1" t="n">
        <v>44925</v>
      </c>
      <c r="C5818" s="1" t="n">
        <v>45182</v>
      </c>
      <c r="D5818" t="inlineStr">
        <is>
          <t>JÄMTLANDS LÄN</t>
        </is>
      </c>
      <c r="E5818" t="inlineStr">
        <is>
          <t>HÄRJEDALEN</t>
        </is>
      </c>
      <c r="G5818" t="n">
        <v>32.7</v>
      </c>
      <c r="H5818" t="n">
        <v>0</v>
      </c>
      <c r="I5818" t="n">
        <v>0</v>
      </c>
      <c r="J5818" t="n">
        <v>0</v>
      </c>
      <c r="K5818" t="n">
        <v>0</v>
      </c>
      <c r="L5818" t="n">
        <v>0</v>
      </c>
      <c r="M5818" t="n">
        <v>0</v>
      </c>
      <c r="N5818" t="n">
        <v>0</v>
      </c>
      <c r="O5818" t="n">
        <v>0</v>
      </c>
      <c r="P5818" t="n">
        <v>0</v>
      </c>
      <c r="Q5818" t="n">
        <v>0</v>
      </c>
      <c r="R5818" s="2" t="inlineStr"/>
    </row>
    <row r="5819" ht="15" customHeight="1">
      <c r="A5819" t="inlineStr">
        <is>
          <t>A 62639-2022</t>
        </is>
      </c>
      <c r="B5819" s="1" t="n">
        <v>44925</v>
      </c>
      <c r="C5819" s="1" t="n">
        <v>45182</v>
      </c>
      <c r="D5819" t="inlineStr">
        <is>
          <t>JÄMTLANDS LÄN</t>
        </is>
      </c>
      <c r="E5819" t="inlineStr">
        <is>
          <t>HÄRJEDALEN</t>
        </is>
      </c>
      <c r="G5819" t="n">
        <v>4.3</v>
      </c>
      <c r="H5819" t="n">
        <v>0</v>
      </c>
      <c r="I5819" t="n">
        <v>0</v>
      </c>
      <c r="J5819" t="n">
        <v>0</v>
      </c>
      <c r="K5819" t="n">
        <v>0</v>
      </c>
      <c r="L5819" t="n">
        <v>0</v>
      </c>
      <c r="M5819" t="n">
        <v>0</v>
      </c>
      <c r="N5819" t="n">
        <v>0</v>
      </c>
      <c r="O5819" t="n">
        <v>0</v>
      </c>
      <c r="P5819" t="n">
        <v>0</v>
      </c>
      <c r="Q5819" t="n">
        <v>0</v>
      </c>
      <c r="R5819" s="2" t="inlineStr"/>
    </row>
    <row r="5820" ht="15" customHeight="1">
      <c r="A5820" t="inlineStr">
        <is>
          <t>A 62690-2022</t>
        </is>
      </c>
      <c r="B5820" s="1" t="n">
        <v>44925</v>
      </c>
      <c r="C5820" s="1" t="n">
        <v>45182</v>
      </c>
      <c r="D5820" t="inlineStr">
        <is>
          <t>JÄMTLANDS LÄN</t>
        </is>
      </c>
      <c r="E5820" t="inlineStr">
        <is>
          <t>HÄRJEDALEN</t>
        </is>
      </c>
      <c r="F5820" t="inlineStr">
        <is>
          <t>Holmen skog AB</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62719-2022</t>
        </is>
      </c>
      <c r="B5821" s="1" t="n">
        <v>44925</v>
      </c>
      <c r="C5821" s="1" t="n">
        <v>45182</v>
      </c>
      <c r="D5821" t="inlineStr">
        <is>
          <t>JÄMTLANDS LÄN</t>
        </is>
      </c>
      <c r="E5821" t="inlineStr">
        <is>
          <t>HÄRJEDALEN</t>
        </is>
      </c>
      <c r="F5821" t="inlineStr">
        <is>
          <t>Holmen skog AB</t>
        </is>
      </c>
      <c r="G5821" t="n">
        <v>3.1</v>
      </c>
      <c r="H5821" t="n">
        <v>0</v>
      </c>
      <c r="I5821" t="n">
        <v>0</v>
      </c>
      <c r="J5821" t="n">
        <v>0</v>
      </c>
      <c r="K5821" t="n">
        <v>0</v>
      </c>
      <c r="L5821" t="n">
        <v>0</v>
      </c>
      <c r="M5821" t="n">
        <v>0</v>
      </c>
      <c r="N5821" t="n">
        <v>0</v>
      </c>
      <c r="O5821" t="n">
        <v>0</v>
      </c>
      <c r="P5821" t="n">
        <v>0</v>
      </c>
      <c r="Q5821" t="n">
        <v>0</v>
      </c>
      <c r="R5821" s="2" t="inlineStr"/>
    </row>
    <row r="5822" ht="15" customHeight="1">
      <c r="A5822" t="inlineStr">
        <is>
          <t>A 62641-2022</t>
        </is>
      </c>
      <c r="B5822" s="1" t="n">
        <v>44925</v>
      </c>
      <c r="C5822" s="1" t="n">
        <v>45182</v>
      </c>
      <c r="D5822" t="inlineStr">
        <is>
          <t>JÄMTLANDS LÄN</t>
        </is>
      </c>
      <c r="E5822" t="inlineStr">
        <is>
          <t>HÄRJEDALEN</t>
        </is>
      </c>
      <c r="G5822" t="n">
        <v>2.7</v>
      </c>
      <c r="H5822" t="n">
        <v>0</v>
      </c>
      <c r="I5822" t="n">
        <v>0</v>
      </c>
      <c r="J5822" t="n">
        <v>0</v>
      </c>
      <c r="K5822" t="n">
        <v>0</v>
      </c>
      <c r="L5822" t="n">
        <v>0</v>
      </c>
      <c r="M5822" t="n">
        <v>0</v>
      </c>
      <c r="N5822" t="n">
        <v>0</v>
      </c>
      <c r="O5822" t="n">
        <v>0</v>
      </c>
      <c r="P5822" t="n">
        <v>0</v>
      </c>
      <c r="Q5822" t="n">
        <v>0</v>
      </c>
      <c r="R5822" s="2" t="inlineStr"/>
    </row>
    <row r="5823" ht="15" customHeight="1">
      <c r="A5823" t="inlineStr">
        <is>
          <t>A 62684-2022</t>
        </is>
      </c>
      <c r="B5823" s="1" t="n">
        <v>44925</v>
      </c>
      <c r="C5823" s="1" t="n">
        <v>45182</v>
      </c>
      <c r="D5823" t="inlineStr">
        <is>
          <t>JÄMTLANDS LÄN</t>
        </is>
      </c>
      <c r="E5823" t="inlineStr">
        <is>
          <t>HÄRJEDALEN</t>
        </is>
      </c>
      <c r="F5823" t="inlineStr">
        <is>
          <t>Holmen skog AB</t>
        </is>
      </c>
      <c r="G5823" t="n">
        <v>4.4</v>
      </c>
      <c r="H5823" t="n">
        <v>0</v>
      </c>
      <c r="I5823" t="n">
        <v>0</v>
      </c>
      <c r="J5823" t="n">
        <v>0</v>
      </c>
      <c r="K5823" t="n">
        <v>0</v>
      </c>
      <c r="L5823" t="n">
        <v>0</v>
      </c>
      <c r="M5823" t="n">
        <v>0</v>
      </c>
      <c r="N5823" t="n">
        <v>0</v>
      </c>
      <c r="O5823" t="n">
        <v>0</v>
      </c>
      <c r="P5823" t="n">
        <v>0</v>
      </c>
      <c r="Q5823" t="n">
        <v>0</v>
      </c>
      <c r="R5823" s="2" t="inlineStr"/>
    </row>
    <row r="5824" ht="15" customHeight="1">
      <c r="A5824" t="inlineStr">
        <is>
          <t>A 62653-2022</t>
        </is>
      </c>
      <c r="B5824" s="1" t="n">
        <v>44925</v>
      </c>
      <c r="C5824" s="1" t="n">
        <v>45182</v>
      </c>
      <c r="D5824" t="inlineStr">
        <is>
          <t>JÄMTLANDS LÄN</t>
        </is>
      </c>
      <c r="E5824" t="inlineStr">
        <is>
          <t>HÄRJEDALEN</t>
        </is>
      </c>
      <c r="G5824" t="n">
        <v>3.8</v>
      </c>
      <c r="H5824" t="n">
        <v>0</v>
      </c>
      <c r="I5824" t="n">
        <v>0</v>
      </c>
      <c r="J5824" t="n">
        <v>0</v>
      </c>
      <c r="K5824" t="n">
        <v>0</v>
      </c>
      <c r="L5824" t="n">
        <v>0</v>
      </c>
      <c r="M5824" t="n">
        <v>0</v>
      </c>
      <c r="N5824" t="n">
        <v>0</v>
      </c>
      <c r="O5824" t="n">
        <v>0</v>
      </c>
      <c r="P5824" t="n">
        <v>0</v>
      </c>
      <c r="Q5824" t="n">
        <v>0</v>
      </c>
      <c r="R5824" s="2" t="inlineStr"/>
    </row>
    <row r="5825" ht="15" customHeight="1">
      <c r="A5825" t="inlineStr">
        <is>
          <t>A 62687-2022</t>
        </is>
      </c>
      <c r="B5825" s="1" t="n">
        <v>44925</v>
      </c>
      <c r="C5825" s="1" t="n">
        <v>45182</v>
      </c>
      <c r="D5825" t="inlineStr">
        <is>
          <t>JÄMTLANDS LÄN</t>
        </is>
      </c>
      <c r="E5825" t="inlineStr">
        <is>
          <t>HÄRJEDALEN</t>
        </is>
      </c>
      <c r="F5825" t="inlineStr">
        <is>
          <t>Holmen skog AB</t>
        </is>
      </c>
      <c r="G5825" t="n">
        <v>5.7</v>
      </c>
      <c r="H5825" t="n">
        <v>0</v>
      </c>
      <c r="I5825" t="n">
        <v>0</v>
      </c>
      <c r="J5825" t="n">
        <v>0</v>
      </c>
      <c r="K5825" t="n">
        <v>0</v>
      </c>
      <c r="L5825" t="n">
        <v>0</v>
      </c>
      <c r="M5825" t="n">
        <v>0</v>
      </c>
      <c r="N5825" t="n">
        <v>0</v>
      </c>
      <c r="O5825" t="n">
        <v>0</v>
      </c>
      <c r="P5825" t="n">
        <v>0</v>
      </c>
      <c r="Q5825" t="n">
        <v>0</v>
      </c>
      <c r="R5825" s="2" t="inlineStr"/>
    </row>
    <row r="5826" ht="15" customHeight="1">
      <c r="A5826" t="inlineStr">
        <is>
          <t>A 17-2023</t>
        </is>
      </c>
      <c r="B5826" s="1" t="n">
        <v>44927</v>
      </c>
      <c r="C5826" s="1" t="n">
        <v>45182</v>
      </c>
      <c r="D5826" t="inlineStr">
        <is>
          <t>JÄMTLANDS LÄN</t>
        </is>
      </c>
      <c r="E5826" t="inlineStr">
        <is>
          <t>RAGUNDA</t>
        </is>
      </c>
      <c r="F5826" t="inlineStr">
        <is>
          <t>SCA</t>
        </is>
      </c>
      <c r="G5826" t="n">
        <v>49.6</v>
      </c>
      <c r="H5826" t="n">
        <v>0</v>
      </c>
      <c r="I5826" t="n">
        <v>0</v>
      </c>
      <c r="J5826" t="n">
        <v>0</v>
      </c>
      <c r="K5826" t="n">
        <v>0</v>
      </c>
      <c r="L5826" t="n">
        <v>0</v>
      </c>
      <c r="M5826" t="n">
        <v>0</v>
      </c>
      <c r="N5826" t="n">
        <v>0</v>
      </c>
      <c r="O5826" t="n">
        <v>0</v>
      </c>
      <c r="P5826" t="n">
        <v>0</v>
      </c>
      <c r="Q5826" t="n">
        <v>0</v>
      </c>
      <c r="R5826" s="2" t="inlineStr"/>
    </row>
    <row r="5827" ht="15" customHeight="1">
      <c r="A5827" t="inlineStr">
        <is>
          <t>A 29-2023</t>
        </is>
      </c>
      <c r="B5827" s="1" t="n">
        <v>44928</v>
      </c>
      <c r="C5827" s="1" t="n">
        <v>45182</v>
      </c>
      <c r="D5827" t="inlineStr">
        <is>
          <t>JÄMTLANDS LÄN</t>
        </is>
      </c>
      <c r="E5827" t="inlineStr">
        <is>
          <t>HÄRJEDALEN</t>
        </is>
      </c>
      <c r="F5827" t="inlineStr">
        <is>
          <t>Holmen skog AB</t>
        </is>
      </c>
      <c r="G5827" t="n">
        <v>18</v>
      </c>
      <c r="H5827" t="n">
        <v>0</v>
      </c>
      <c r="I5827" t="n">
        <v>0</v>
      </c>
      <c r="J5827" t="n">
        <v>0</v>
      </c>
      <c r="K5827" t="n">
        <v>0</v>
      </c>
      <c r="L5827" t="n">
        <v>0</v>
      </c>
      <c r="M5827" t="n">
        <v>0</v>
      </c>
      <c r="N5827" t="n">
        <v>0</v>
      </c>
      <c r="O5827" t="n">
        <v>0</v>
      </c>
      <c r="P5827" t="n">
        <v>0</v>
      </c>
      <c r="Q5827" t="n">
        <v>0</v>
      </c>
      <c r="R5827" s="2" t="inlineStr"/>
    </row>
    <row r="5828" ht="15" customHeight="1">
      <c r="A5828" t="inlineStr">
        <is>
          <t>A 47-2023</t>
        </is>
      </c>
      <c r="B5828" s="1" t="n">
        <v>44928</v>
      </c>
      <c r="C5828" s="1" t="n">
        <v>45182</v>
      </c>
      <c r="D5828" t="inlineStr">
        <is>
          <t>JÄMTLANDS LÄN</t>
        </is>
      </c>
      <c r="E5828" t="inlineStr">
        <is>
          <t>BERG</t>
        </is>
      </c>
      <c r="F5828" t="inlineStr">
        <is>
          <t>Naturvårdsverket</t>
        </is>
      </c>
      <c r="G5828" t="n">
        <v>1.5</v>
      </c>
      <c r="H5828" t="n">
        <v>0</v>
      </c>
      <c r="I5828" t="n">
        <v>0</v>
      </c>
      <c r="J5828" t="n">
        <v>0</v>
      </c>
      <c r="K5828" t="n">
        <v>0</v>
      </c>
      <c r="L5828" t="n">
        <v>0</v>
      </c>
      <c r="M5828" t="n">
        <v>0</v>
      </c>
      <c r="N5828" t="n">
        <v>0</v>
      </c>
      <c r="O5828" t="n">
        <v>0</v>
      </c>
      <c r="P5828" t="n">
        <v>0</v>
      </c>
      <c r="Q5828" t="n">
        <v>0</v>
      </c>
      <c r="R5828" s="2" t="inlineStr"/>
    </row>
    <row r="5829" ht="15" customHeight="1">
      <c r="A5829" t="inlineStr">
        <is>
          <t>A 55-2023</t>
        </is>
      </c>
      <c r="B5829" s="1" t="n">
        <v>44928</v>
      </c>
      <c r="C5829" s="1" t="n">
        <v>45182</v>
      </c>
      <c r="D5829" t="inlineStr">
        <is>
          <t>JÄMTLANDS LÄN</t>
        </is>
      </c>
      <c r="E5829" t="inlineStr">
        <is>
          <t>ÖSTERSUND</t>
        </is>
      </c>
      <c r="G5829" t="n">
        <v>4</v>
      </c>
      <c r="H5829" t="n">
        <v>0</v>
      </c>
      <c r="I5829" t="n">
        <v>0</v>
      </c>
      <c r="J5829" t="n">
        <v>0</v>
      </c>
      <c r="K5829" t="n">
        <v>0</v>
      </c>
      <c r="L5829" t="n">
        <v>0</v>
      </c>
      <c r="M5829" t="n">
        <v>0</v>
      </c>
      <c r="N5829" t="n">
        <v>0</v>
      </c>
      <c r="O5829" t="n">
        <v>0</v>
      </c>
      <c r="P5829" t="n">
        <v>0</v>
      </c>
      <c r="Q5829" t="n">
        <v>0</v>
      </c>
      <c r="R5829" s="2" t="inlineStr"/>
    </row>
    <row r="5830" ht="15" customHeight="1">
      <c r="A5830" t="inlineStr">
        <is>
          <t>A 78-2023</t>
        </is>
      </c>
      <c r="B5830" s="1" t="n">
        <v>44928</v>
      </c>
      <c r="C5830" s="1" t="n">
        <v>45182</v>
      </c>
      <c r="D5830" t="inlineStr">
        <is>
          <t>JÄMTLANDS LÄN</t>
        </is>
      </c>
      <c r="E5830" t="inlineStr">
        <is>
          <t>HÄRJEDALEN</t>
        </is>
      </c>
      <c r="F5830" t="inlineStr">
        <is>
          <t>Holmen skog AB</t>
        </is>
      </c>
      <c r="G5830" t="n">
        <v>3.1</v>
      </c>
      <c r="H5830" t="n">
        <v>0</v>
      </c>
      <c r="I5830" t="n">
        <v>0</v>
      </c>
      <c r="J5830" t="n">
        <v>0</v>
      </c>
      <c r="K5830" t="n">
        <v>0</v>
      </c>
      <c r="L5830" t="n">
        <v>0</v>
      </c>
      <c r="M5830" t="n">
        <v>0</v>
      </c>
      <c r="N5830" t="n">
        <v>0</v>
      </c>
      <c r="O5830" t="n">
        <v>0</v>
      </c>
      <c r="P5830" t="n">
        <v>0</v>
      </c>
      <c r="Q5830" t="n">
        <v>0</v>
      </c>
      <c r="R5830" s="2" t="inlineStr"/>
    </row>
    <row r="5831" ht="15" customHeight="1">
      <c r="A5831" t="inlineStr">
        <is>
          <t>A 103-2023</t>
        </is>
      </c>
      <c r="B5831" s="1" t="n">
        <v>44928</v>
      </c>
      <c r="C5831" s="1" t="n">
        <v>45182</v>
      </c>
      <c r="D5831" t="inlineStr">
        <is>
          <t>JÄMTLANDS LÄN</t>
        </is>
      </c>
      <c r="E5831" t="inlineStr">
        <is>
          <t>HÄRJEDALEN</t>
        </is>
      </c>
      <c r="F5831" t="inlineStr">
        <is>
          <t>Holmen skog AB</t>
        </is>
      </c>
      <c r="G5831" t="n">
        <v>6.9</v>
      </c>
      <c r="H5831" t="n">
        <v>0</v>
      </c>
      <c r="I5831" t="n">
        <v>0</v>
      </c>
      <c r="J5831" t="n">
        <v>0</v>
      </c>
      <c r="K5831" t="n">
        <v>0</v>
      </c>
      <c r="L5831" t="n">
        <v>0</v>
      </c>
      <c r="M5831" t="n">
        <v>0</v>
      </c>
      <c r="N5831" t="n">
        <v>0</v>
      </c>
      <c r="O5831" t="n">
        <v>0</v>
      </c>
      <c r="P5831" t="n">
        <v>0</v>
      </c>
      <c r="Q5831" t="n">
        <v>0</v>
      </c>
      <c r="R5831" s="2" t="inlineStr"/>
    </row>
    <row r="5832" ht="15" customHeight="1">
      <c r="A5832" t="inlineStr">
        <is>
          <t>A 166-2023</t>
        </is>
      </c>
      <c r="B5832" s="1" t="n">
        <v>44928</v>
      </c>
      <c r="C5832" s="1" t="n">
        <v>45182</v>
      </c>
      <c r="D5832" t="inlineStr">
        <is>
          <t>JÄMTLANDS LÄN</t>
        </is>
      </c>
      <c r="E5832" t="inlineStr">
        <is>
          <t>HÄRJEDALEN</t>
        </is>
      </c>
      <c r="F5832" t="inlineStr">
        <is>
          <t>Holmen skog AB</t>
        </is>
      </c>
      <c r="G5832" t="n">
        <v>13.5</v>
      </c>
      <c r="H5832" t="n">
        <v>0</v>
      </c>
      <c r="I5832" t="n">
        <v>0</v>
      </c>
      <c r="J5832" t="n">
        <v>0</v>
      </c>
      <c r="K5832" t="n">
        <v>0</v>
      </c>
      <c r="L5832" t="n">
        <v>0</v>
      </c>
      <c r="M5832" t="n">
        <v>0</v>
      </c>
      <c r="N5832" t="n">
        <v>0</v>
      </c>
      <c r="O5832" t="n">
        <v>0</v>
      </c>
      <c r="P5832" t="n">
        <v>0</v>
      </c>
      <c r="Q5832" t="n">
        <v>0</v>
      </c>
      <c r="R5832" s="2" t="inlineStr"/>
    </row>
    <row r="5833" ht="15" customHeight="1">
      <c r="A5833" t="inlineStr">
        <is>
          <t>A 278-2023</t>
        </is>
      </c>
      <c r="B5833" s="1" t="n">
        <v>44928</v>
      </c>
      <c r="C5833" s="1" t="n">
        <v>45182</v>
      </c>
      <c r="D5833" t="inlineStr">
        <is>
          <t>JÄMTLANDS LÄN</t>
        </is>
      </c>
      <c r="E5833" t="inlineStr">
        <is>
          <t>ÅRE</t>
        </is>
      </c>
      <c r="G5833" t="n">
        <v>2.4</v>
      </c>
      <c r="H5833" t="n">
        <v>0</v>
      </c>
      <c r="I5833" t="n">
        <v>0</v>
      </c>
      <c r="J5833" t="n">
        <v>0</v>
      </c>
      <c r="K5833" t="n">
        <v>0</v>
      </c>
      <c r="L5833" t="n">
        <v>0</v>
      </c>
      <c r="M5833" t="n">
        <v>0</v>
      </c>
      <c r="N5833" t="n">
        <v>0</v>
      </c>
      <c r="O5833" t="n">
        <v>0</v>
      </c>
      <c r="P5833" t="n">
        <v>0</v>
      </c>
      <c r="Q5833" t="n">
        <v>0</v>
      </c>
      <c r="R5833" s="2" t="inlineStr"/>
    </row>
    <row r="5834" ht="15" customHeight="1">
      <c r="A5834" t="inlineStr">
        <is>
          <t>A 467-2023</t>
        </is>
      </c>
      <c r="B5834" s="1" t="n">
        <v>44929</v>
      </c>
      <c r="C5834" s="1" t="n">
        <v>45182</v>
      </c>
      <c r="D5834" t="inlineStr">
        <is>
          <t>JÄMTLANDS LÄN</t>
        </is>
      </c>
      <c r="E5834" t="inlineStr">
        <is>
          <t>RAGUNDA</t>
        </is>
      </c>
      <c r="G5834" t="n">
        <v>2</v>
      </c>
      <c r="H5834" t="n">
        <v>0</v>
      </c>
      <c r="I5834" t="n">
        <v>0</v>
      </c>
      <c r="J5834" t="n">
        <v>0</v>
      </c>
      <c r="K5834" t="n">
        <v>0</v>
      </c>
      <c r="L5834" t="n">
        <v>0</v>
      </c>
      <c r="M5834" t="n">
        <v>0</v>
      </c>
      <c r="N5834" t="n">
        <v>0</v>
      </c>
      <c r="O5834" t="n">
        <v>0</v>
      </c>
      <c r="P5834" t="n">
        <v>0</v>
      </c>
      <c r="Q5834" t="n">
        <v>0</v>
      </c>
      <c r="R5834" s="2" t="inlineStr"/>
    </row>
    <row r="5835" ht="15" customHeight="1">
      <c r="A5835" t="inlineStr">
        <is>
          <t>A 462-2023</t>
        </is>
      </c>
      <c r="B5835" s="1" t="n">
        <v>44929</v>
      </c>
      <c r="C5835" s="1" t="n">
        <v>45182</v>
      </c>
      <c r="D5835" t="inlineStr">
        <is>
          <t>JÄMTLANDS LÄN</t>
        </is>
      </c>
      <c r="E5835" t="inlineStr">
        <is>
          <t>RAGUNDA</t>
        </is>
      </c>
      <c r="G5835" t="n">
        <v>4.5</v>
      </c>
      <c r="H5835" t="n">
        <v>0</v>
      </c>
      <c r="I5835" t="n">
        <v>0</v>
      </c>
      <c r="J5835" t="n">
        <v>0</v>
      </c>
      <c r="K5835" t="n">
        <v>0</v>
      </c>
      <c r="L5835" t="n">
        <v>0</v>
      </c>
      <c r="M5835" t="n">
        <v>0</v>
      </c>
      <c r="N5835" t="n">
        <v>0</v>
      </c>
      <c r="O5835" t="n">
        <v>0</v>
      </c>
      <c r="P5835" t="n">
        <v>0</v>
      </c>
      <c r="Q5835" t="n">
        <v>0</v>
      </c>
      <c r="R5835" s="2" t="inlineStr"/>
    </row>
    <row r="5836" ht="15" customHeight="1">
      <c r="A5836" t="inlineStr">
        <is>
          <t>A 465-2023</t>
        </is>
      </c>
      <c r="B5836" s="1" t="n">
        <v>44929</v>
      </c>
      <c r="C5836" s="1" t="n">
        <v>45182</v>
      </c>
      <c r="D5836" t="inlineStr">
        <is>
          <t>JÄMTLANDS LÄN</t>
        </is>
      </c>
      <c r="E5836" t="inlineStr">
        <is>
          <t>RAGUNDA</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461-2023</t>
        </is>
      </c>
      <c r="B5837" s="1" t="n">
        <v>44929</v>
      </c>
      <c r="C5837" s="1" t="n">
        <v>45182</v>
      </c>
      <c r="D5837" t="inlineStr">
        <is>
          <t>JÄMTLANDS LÄN</t>
        </is>
      </c>
      <c r="E5837" t="inlineStr">
        <is>
          <t>BERG</t>
        </is>
      </c>
      <c r="G5837" t="n">
        <v>5.8</v>
      </c>
      <c r="H5837" t="n">
        <v>0</v>
      </c>
      <c r="I5837" t="n">
        <v>0</v>
      </c>
      <c r="J5837" t="n">
        <v>0</v>
      </c>
      <c r="K5837" t="n">
        <v>0</v>
      </c>
      <c r="L5837" t="n">
        <v>0</v>
      </c>
      <c r="M5837" t="n">
        <v>0</v>
      </c>
      <c r="N5837" t="n">
        <v>0</v>
      </c>
      <c r="O5837" t="n">
        <v>0</v>
      </c>
      <c r="P5837" t="n">
        <v>0</v>
      </c>
      <c r="Q5837" t="n">
        <v>0</v>
      </c>
      <c r="R5837" s="2" t="inlineStr"/>
    </row>
    <row r="5838" ht="15" customHeight="1">
      <c r="A5838" t="inlineStr">
        <is>
          <t>A 1070-2023</t>
        </is>
      </c>
      <c r="B5838" s="1" t="n">
        <v>44929</v>
      </c>
      <c r="C5838" s="1" t="n">
        <v>45182</v>
      </c>
      <c r="D5838" t="inlineStr">
        <is>
          <t>JÄMTLANDS LÄN</t>
        </is>
      </c>
      <c r="E5838" t="inlineStr">
        <is>
          <t>BRÄCKE</t>
        </is>
      </c>
      <c r="G5838" t="n">
        <v>4.9</v>
      </c>
      <c r="H5838" t="n">
        <v>0</v>
      </c>
      <c r="I5838" t="n">
        <v>0</v>
      </c>
      <c r="J5838" t="n">
        <v>0</v>
      </c>
      <c r="K5838" t="n">
        <v>0</v>
      </c>
      <c r="L5838" t="n">
        <v>0</v>
      </c>
      <c r="M5838" t="n">
        <v>0</v>
      </c>
      <c r="N5838" t="n">
        <v>0</v>
      </c>
      <c r="O5838" t="n">
        <v>0</v>
      </c>
      <c r="P5838" t="n">
        <v>0</v>
      </c>
      <c r="Q5838" t="n">
        <v>0</v>
      </c>
      <c r="R5838" s="2" t="inlineStr"/>
    </row>
    <row r="5839" ht="15" customHeight="1">
      <c r="A5839" t="inlineStr">
        <is>
          <t>A 1204-2023</t>
        </is>
      </c>
      <c r="B5839" s="1" t="n">
        <v>44930</v>
      </c>
      <c r="C5839" s="1" t="n">
        <v>45182</v>
      </c>
      <c r="D5839" t="inlineStr">
        <is>
          <t>JÄMTLANDS LÄN</t>
        </is>
      </c>
      <c r="E5839" t="inlineStr">
        <is>
          <t>BRÄCKE</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536-2023</t>
        </is>
      </c>
      <c r="B5840" s="1" t="n">
        <v>44930</v>
      </c>
      <c r="C5840" s="1" t="n">
        <v>45182</v>
      </c>
      <c r="D5840" t="inlineStr">
        <is>
          <t>JÄMTLANDS LÄN</t>
        </is>
      </c>
      <c r="E5840" t="inlineStr">
        <is>
          <t>STRÖMSUND</t>
        </is>
      </c>
      <c r="G5840" t="n">
        <v>35.4</v>
      </c>
      <c r="H5840" t="n">
        <v>0</v>
      </c>
      <c r="I5840" t="n">
        <v>0</v>
      </c>
      <c r="J5840" t="n">
        <v>0</v>
      </c>
      <c r="K5840" t="n">
        <v>0</v>
      </c>
      <c r="L5840" t="n">
        <v>0</v>
      </c>
      <c r="M5840" t="n">
        <v>0</v>
      </c>
      <c r="N5840" t="n">
        <v>0</v>
      </c>
      <c r="O5840" t="n">
        <v>0</v>
      </c>
      <c r="P5840" t="n">
        <v>0</v>
      </c>
      <c r="Q5840" t="n">
        <v>0</v>
      </c>
      <c r="R5840" s="2" t="inlineStr"/>
    </row>
    <row r="5841" ht="15" customHeight="1">
      <c r="A5841" t="inlineStr">
        <is>
          <t>A 1175-2023</t>
        </is>
      </c>
      <c r="B5841" s="1" t="n">
        <v>44930</v>
      </c>
      <c r="C5841" s="1" t="n">
        <v>45182</v>
      </c>
      <c r="D5841" t="inlineStr">
        <is>
          <t>JÄMTLANDS LÄN</t>
        </is>
      </c>
      <c r="E5841" t="inlineStr">
        <is>
          <t>BRÄCKE</t>
        </is>
      </c>
      <c r="G5841" t="n">
        <v>7.2</v>
      </c>
      <c r="H5841" t="n">
        <v>0</v>
      </c>
      <c r="I5841" t="n">
        <v>0</v>
      </c>
      <c r="J5841" t="n">
        <v>0</v>
      </c>
      <c r="K5841" t="n">
        <v>0</v>
      </c>
      <c r="L5841" t="n">
        <v>0</v>
      </c>
      <c r="M5841" t="n">
        <v>0</v>
      </c>
      <c r="N5841" t="n">
        <v>0</v>
      </c>
      <c r="O5841" t="n">
        <v>0</v>
      </c>
      <c r="P5841" t="n">
        <v>0</v>
      </c>
      <c r="Q5841" t="n">
        <v>0</v>
      </c>
      <c r="R5841" s="2" t="inlineStr"/>
    </row>
    <row r="5842" ht="15" customHeight="1">
      <c r="A5842" t="inlineStr">
        <is>
          <t>A 727-2023</t>
        </is>
      </c>
      <c r="B5842" s="1" t="n">
        <v>44930</v>
      </c>
      <c r="C5842" s="1" t="n">
        <v>45182</v>
      </c>
      <c r="D5842" t="inlineStr">
        <is>
          <t>JÄMTLANDS LÄN</t>
        </is>
      </c>
      <c r="E5842" t="inlineStr">
        <is>
          <t>BRÄCKE</t>
        </is>
      </c>
      <c r="F5842" t="inlineStr">
        <is>
          <t>SCA</t>
        </is>
      </c>
      <c r="G5842" t="n">
        <v>2.1</v>
      </c>
      <c r="H5842" t="n">
        <v>0</v>
      </c>
      <c r="I5842" t="n">
        <v>0</v>
      </c>
      <c r="J5842" t="n">
        <v>0</v>
      </c>
      <c r="K5842" t="n">
        <v>0</v>
      </c>
      <c r="L5842" t="n">
        <v>0</v>
      </c>
      <c r="M5842" t="n">
        <v>0</v>
      </c>
      <c r="N5842" t="n">
        <v>0</v>
      </c>
      <c r="O5842" t="n">
        <v>0</v>
      </c>
      <c r="P5842" t="n">
        <v>0</v>
      </c>
      <c r="Q5842" t="n">
        <v>0</v>
      </c>
      <c r="R5842" s="2" t="inlineStr"/>
    </row>
    <row r="5843" ht="15" customHeight="1">
      <c r="A5843" t="inlineStr">
        <is>
          <t>A 556-2023</t>
        </is>
      </c>
      <c r="B5843" s="1" t="n">
        <v>44930</v>
      </c>
      <c r="C5843" s="1" t="n">
        <v>45182</v>
      </c>
      <c r="D5843" t="inlineStr">
        <is>
          <t>JÄMTLANDS LÄN</t>
        </is>
      </c>
      <c r="E5843" t="inlineStr">
        <is>
          <t>ÅRE</t>
        </is>
      </c>
      <c r="G5843" t="n">
        <v>14.9</v>
      </c>
      <c r="H5843" t="n">
        <v>0</v>
      </c>
      <c r="I5843" t="n">
        <v>0</v>
      </c>
      <c r="J5843" t="n">
        <v>0</v>
      </c>
      <c r="K5843" t="n">
        <v>0</v>
      </c>
      <c r="L5843" t="n">
        <v>0</v>
      </c>
      <c r="M5843" t="n">
        <v>0</v>
      </c>
      <c r="N5843" t="n">
        <v>0</v>
      </c>
      <c r="O5843" t="n">
        <v>0</v>
      </c>
      <c r="P5843" t="n">
        <v>0</v>
      </c>
      <c r="Q5843" t="n">
        <v>0</v>
      </c>
      <c r="R5843" s="2" t="inlineStr"/>
    </row>
    <row r="5844" ht="15" customHeight="1">
      <c r="A5844" t="inlineStr">
        <is>
          <t>A 1178-2023</t>
        </is>
      </c>
      <c r="B5844" s="1" t="n">
        <v>44930</v>
      </c>
      <c r="C5844" s="1" t="n">
        <v>45182</v>
      </c>
      <c r="D5844" t="inlineStr">
        <is>
          <t>JÄMTLANDS LÄN</t>
        </is>
      </c>
      <c r="E5844" t="inlineStr">
        <is>
          <t>BRÄCKE</t>
        </is>
      </c>
      <c r="G5844" t="n">
        <v>1.2</v>
      </c>
      <c r="H5844" t="n">
        <v>0</v>
      </c>
      <c r="I5844" t="n">
        <v>0</v>
      </c>
      <c r="J5844" t="n">
        <v>0</v>
      </c>
      <c r="K5844" t="n">
        <v>0</v>
      </c>
      <c r="L5844" t="n">
        <v>0</v>
      </c>
      <c r="M5844" t="n">
        <v>0</v>
      </c>
      <c r="N5844" t="n">
        <v>0</v>
      </c>
      <c r="O5844" t="n">
        <v>0</v>
      </c>
      <c r="P5844" t="n">
        <v>0</v>
      </c>
      <c r="Q5844" t="n">
        <v>0</v>
      </c>
      <c r="R5844" s="2" t="inlineStr"/>
    </row>
    <row r="5845" ht="15" customHeight="1">
      <c r="A5845" t="inlineStr">
        <is>
          <t>A 1187-2023</t>
        </is>
      </c>
      <c r="B5845" s="1" t="n">
        <v>44930</v>
      </c>
      <c r="C5845" s="1" t="n">
        <v>45182</v>
      </c>
      <c r="D5845" t="inlineStr">
        <is>
          <t>JÄMTLANDS LÄN</t>
        </is>
      </c>
      <c r="E5845" t="inlineStr">
        <is>
          <t>STRÖMSUND</t>
        </is>
      </c>
      <c r="G5845" t="n">
        <v>11.5</v>
      </c>
      <c r="H5845" t="n">
        <v>0</v>
      </c>
      <c r="I5845" t="n">
        <v>0</v>
      </c>
      <c r="J5845" t="n">
        <v>0</v>
      </c>
      <c r="K5845" t="n">
        <v>0</v>
      </c>
      <c r="L5845" t="n">
        <v>0</v>
      </c>
      <c r="M5845" t="n">
        <v>0</v>
      </c>
      <c r="N5845" t="n">
        <v>0</v>
      </c>
      <c r="O5845" t="n">
        <v>0</v>
      </c>
      <c r="P5845" t="n">
        <v>0</v>
      </c>
      <c r="Q5845" t="n">
        <v>0</v>
      </c>
      <c r="R5845" s="2" t="inlineStr"/>
    </row>
    <row r="5846" ht="15" customHeight="1">
      <c r="A5846" t="inlineStr">
        <is>
          <t>A 897-2023</t>
        </is>
      </c>
      <c r="B5846" s="1" t="n">
        <v>44931</v>
      </c>
      <c r="C5846" s="1" t="n">
        <v>45182</v>
      </c>
      <c r="D5846" t="inlineStr">
        <is>
          <t>JÄMTLANDS LÄN</t>
        </is>
      </c>
      <c r="E5846" t="inlineStr">
        <is>
          <t>STRÖMSUND</t>
        </is>
      </c>
      <c r="G5846" t="n">
        <v>11.2</v>
      </c>
      <c r="H5846" t="n">
        <v>0</v>
      </c>
      <c r="I5846" t="n">
        <v>0</v>
      </c>
      <c r="J5846" t="n">
        <v>0</v>
      </c>
      <c r="K5846" t="n">
        <v>0</v>
      </c>
      <c r="L5846" t="n">
        <v>0</v>
      </c>
      <c r="M5846" t="n">
        <v>0</v>
      </c>
      <c r="N5846" t="n">
        <v>0</v>
      </c>
      <c r="O5846" t="n">
        <v>0</v>
      </c>
      <c r="P5846" t="n">
        <v>0</v>
      </c>
      <c r="Q5846" t="n">
        <v>0</v>
      </c>
      <c r="R5846" s="2" t="inlineStr"/>
    </row>
    <row r="5847" ht="15" customHeight="1">
      <c r="A5847" t="inlineStr">
        <is>
          <t>A 1295-2023</t>
        </is>
      </c>
      <c r="B5847" s="1" t="n">
        <v>44931</v>
      </c>
      <c r="C5847" s="1" t="n">
        <v>45182</v>
      </c>
      <c r="D5847" t="inlineStr">
        <is>
          <t>JÄMTLANDS LÄN</t>
        </is>
      </c>
      <c r="E5847" t="inlineStr">
        <is>
          <t>KROKOM</t>
        </is>
      </c>
      <c r="G5847" t="n">
        <v>1.2</v>
      </c>
      <c r="H5847" t="n">
        <v>0</v>
      </c>
      <c r="I5847" t="n">
        <v>0</v>
      </c>
      <c r="J5847" t="n">
        <v>0</v>
      </c>
      <c r="K5847" t="n">
        <v>0</v>
      </c>
      <c r="L5847" t="n">
        <v>0</v>
      </c>
      <c r="M5847" t="n">
        <v>0</v>
      </c>
      <c r="N5847" t="n">
        <v>0</v>
      </c>
      <c r="O5847" t="n">
        <v>0</v>
      </c>
      <c r="P5847" t="n">
        <v>0</v>
      </c>
      <c r="Q5847" t="n">
        <v>0</v>
      </c>
      <c r="R5847" s="2" t="inlineStr"/>
    </row>
    <row r="5848" ht="15" customHeight="1">
      <c r="A5848" t="inlineStr">
        <is>
          <t>A 837-2023</t>
        </is>
      </c>
      <c r="B5848" s="1" t="n">
        <v>44931</v>
      </c>
      <c r="C5848" s="1" t="n">
        <v>45182</v>
      </c>
      <c r="D5848" t="inlineStr">
        <is>
          <t>JÄMTLANDS LÄN</t>
        </is>
      </c>
      <c r="E5848" t="inlineStr">
        <is>
          <t>ÅRE</t>
        </is>
      </c>
      <c r="F5848" t="inlineStr">
        <is>
          <t>Övriga Aktiebolag</t>
        </is>
      </c>
      <c r="G5848" t="n">
        <v>5.2</v>
      </c>
      <c r="H5848" t="n">
        <v>0</v>
      </c>
      <c r="I5848" t="n">
        <v>0</v>
      </c>
      <c r="J5848" t="n">
        <v>0</v>
      </c>
      <c r="K5848" t="n">
        <v>0</v>
      </c>
      <c r="L5848" t="n">
        <v>0</v>
      </c>
      <c r="M5848" t="n">
        <v>0</v>
      </c>
      <c r="N5848" t="n">
        <v>0</v>
      </c>
      <c r="O5848" t="n">
        <v>0</v>
      </c>
      <c r="P5848" t="n">
        <v>0</v>
      </c>
      <c r="Q5848" t="n">
        <v>0</v>
      </c>
      <c r="R5848" s="2" t="inlineStr"/>
    </row>
    <row r="5849" ht="15" customHeight="1">
      <c r="A5849" t="inlineStr">
        <is>
          <t>A 1297-2023</t>
        </is>
      </c>
      <c r="B5849" s="1" t="n">
        <v>44931</v>
      </c>
      <c r="C5849" s="1" t="n">
        <v>45182</v>
      </c>
      <c r="D5849" t="inlineStr">
        <is>
          <t>JÄMTLANDS LÄN</t>
        </is>
      </c>
      <c r="E5849" t="inlineStr">
        <is>
          <t>KROKOM</t>
        </is>
      </c>
      <c r="G5849" t="n">
        <v>8.800000000000001</v>
      </c>
      <c r="H5849" t="n">
        <v>0</v>
      </c>
      <c r="I5849" t="n">
        <v>0</v>
      </c>
      <c r="J5849" t="n">
        <v>0</v>
      </c>
      <c r="K5849" t="n">
        <v>0</v>
      </c>
      <c r="L5849" t="n">
        <v>0</v>
      </c>
      <c r="M5849" t="n">
        <v>0</v>
      </c>
      <c r="N5849" t="n">
        <v>0</v>
      </c>
      <c r="O5849" t="n">
        <v>0</v>
      </c>
      <c r="P5849" t="n">
        <v>0</v>
      </c>
      <c r="Q5849" t="n">
        <v>0</v>
      </c>
      <c r="R5849" s="2" t="inlineStr"/>
    </row>
    <row r="5850" ht="15" customHeight="1">
      <c r="A5850" t="inlineStr">
        <is>
          <t>A 1288-2023</t>
        </is>
      </c>
      <c r="B5850" s="1" t="n">
        <v>44931</v>
      </c>
      <c r="C5850" s="1" t="n">
        <v>45182</v>
      </c>
      <c r="D5850" t="inlineStr">
        <is>
          <t>JÄMTLANDS LÄN</t>
        </is>
      </c>
      <c r="E5850" t="inlineStr">
        <is>
          <t>STRÖMSUND</t>
        </is>
      </c>
      <c r="G5850" t="n">
        <v>1.9</v>
      </c>
      <c r="H5850" t="n">
        <v>0</v>
      </c>
      <c r="I5850" t="n">
        <v>0</v>
      </c>
      <c r="J5850" t="n">
        <v>0</v>
      </c>
      <c r="K5850" t="n">
        <v>0</v>
      </c>
      <c r="L5850" t="n">
        <v>0</v>
      </c>
      <c r="M5850" t="n">
        <v>0</v>
      </c>
      <c r="N5850" t="n">
        <v>0</v>
      </c>
      <c r="O5850" t="n">
        <v>0</v>
      </c>
      <c r="P5850" t="n">
        <v>0</v>
      </c>
      <c r="Q5850" t="n">
        <v>0</v>
      </c>
      <c r="R5850" s="2" t="inlineStr"/>
    </row>
    <row r="5851" ht="15" customHeight="1">
      <c r="A5851" t="inlineStr">
        <is>
          <t>A 1517-2023</t>
        </is>
      </c>
      <c r="B5851" s="1" t="n">
        <v>44935</v>
      </c>
      <c r="C5851" s="1" t="n">
        <v>45182</v>
      </c>
      <c r="D5851" t="inlineStr">
        <is>
          <t>JÄMTLANDS LÄN</t>
        </is>
      </c>
      <c r="E5851" t="inlineStr">
        <is>
          <t>KROKOM</t>
        </is>
      </c>
      <c r="G5851" t="n">
        <v>11.1</v>
      </c>
      <c r="H5851" t="n">
        <v>0</v>
      </c>
      <c r="I5851" t="n">
        <v>0</v>
      </c>
      <c r="J5851" t="n">
        <v>0</v>
      </c>
      <c r="K5851" t="n">
        <v>0</v>
      </c>
      <c r="L5851" t="n">
        <v>0</v>
      </c>
      <c r="M5851" t="n">
        <v>0</v>
      </c>
      <c r="N5851" t="n">
        <v>0</v>
      </c>
      <c r="O5851" t="n">
        <v>0</v>
      </c>
      <c r="P5851" t="n">
        <v>0</v>
      </c>
      <c r="Q5851" t="n">
        <v>0</v>
      </c>
      <c r="R5851" s="2" t="inlineStr"/>
    </row>
    <row r="5852" ht="15" customHeight="1">
      <c r="A5852" t="inlineStr">
        <is>
          <t>A 1224-2023</t>
        </is>
      </c>
      <c r="B5852" s="1" t="n">
        <v>44935</v>
      </c>
      <c r="C5852" s="1" t="n">
        <v>45182</v>
      </c>
      <c r="D5852" t="inlineStr">
        <is>
          <t>JÄMTLANDS LÄN</t>
        </is>
      </c>
      <c r="E5852" t="inlineStr">
        <is>
          <t>STRÖMSUND</t>
        </is>
      </c>
      <c r="F5852" t="inlineStr">
        <is>
          <t>SCA</t>
        </is>
      </c>
      <c r="G5852" t="n">
        <v>3.9</v>
      </c>
      <c r="H5852" t="n">
        <v>0</v>
      </c>
      <c r="I5852" t="n">
        <v>0</v>
      </c>
      <c r="J5852" t="n">
        <v>0</v>
      </c>
      <c r="K5852" t="n">
        <v>0</v>
      </c>
      <c r="L5852" t="n">
        <v>0</v>
      </c>
      <c r="M5852" t="n">
        <v>0</v>
      </c>
      <c r="N5852" t="n">
        <v>0</v>
      </c>
      <c r="O5852" t="n">
        <v>0</v>
      </c>
      <c r="P5852" t="n">
        <v>0</v>
      </c>
      <c r="Q5852" t="n">
        <v>0</v>
      </c>
      <c r="R5852" s="2" t="inlineStr"/>
    </row>
    <row r="5853" ht="15" customHeight="1">
      <c r="A5853" t="inlineStr">
        <is>
          <t>A 1401-2023</t>
        </is>
      </c>
      <c r="B5853" s="1" t="n">
        <v>44936</v>
      </c>
      <c r="C5853" s="1" t="n">
        <v>45182</v>
      </c>
      <c r="D5853" t="inlineStr">
        <is>
          <t>JÄMTLANDS LÄN</t>
        </is>
      </c>
      <c r="E5853" t="inlineStr">
        <is>
          <t>BERG</t>
        </is>
      </c>
      <c r="F5853" t="inlineStr">
        <is>
          <t>Kyrkan</t>
        </is>
      </c>
      <c r="G5853" t="n">
        <v>4.8</v>
      </c>
      <c r="H5853" t="n">
        <v>0</v>
      </c>
      <c r="I5853" t="n">
        <v>0</v>
      </c>
      <c r="J5853" t="n">
        <v>0</v>
      </c>
      <c r="K5853" t="n">
        <v>0</v>
      </c>
      <c r="L5853" t="n">
        <v>0</v>
      </c>
      <c r="M5853" t="n">
        <v>0</v>
      </c>
      <c r="N5853" t="n">
        <v>0</v>
      </c>
      <c r="O5853" t="n">
        <v>0</v>
      </c>
      <c r="P5853" t="n">
        <v>0</v>
      </c>
      <c r="Q5853" t="n">
        <v>0</v>
      </c>
      <c r="R5853" s="2" t="inlineStr"/>
    </row>
    <row r="5854" ht="15" customHeight="1">
      <c r="A5854" t="inlineStr">
        <is>
          <t>A 1414-2023</t>
        </is>
      </c>
      <c r="B5854" s="1" t="n">
        <v>44936</v>
      </c>
      <c r="C5854" s="1" t="n">
        <v>45182</v>
      </c>
      <c r="D5854" t="inlineStr">
        <is>
          <t>JÄMTLANDS LÄN</t>
        </is>
      </c>
      <c r="E5854" t="inlineStr">
        <is>
          <t>ÅRE</t>
        </is>
      </c>
      <c r="G5854" t="n">
        <v>1.7</v>
      </c>
      <c r="H5854" t="n">
        <v>0</v>
      </c>
      <c r="I5854" t="n">
        <v>0</v>
      </c>
      <c r="J5854" t="n">
        <v>0</v>
      </c>
      <c r="K5854" t="n">
        <v>0</v>
      </c>
      <c r="L5854" t="n">
        <v>0</v>
      </c>
      <c r="M5854" t="n">
        <v>0</v>
      </c>
      <c r="N5854" t="n">
        <v>0</v>
      </c>
      <c r="O5854" t="n">
        <v>0</v>
      </c>
      <c r="P5854" t="n">
        <v>0</v>
      </c>
      <c r="Q5854" t="n">
        <v>0</v>
      </c>
      <c r="R5854" s="2" t="inlineStr"/>
    </row>
    <row r="5855" ht="15" customHeight="1">
      <c r="A5855" t="inlineStr">
        <is>
          <t>A 1744-2023</t>
        </is>
      </c>
      <c r="B5855" s="1" t="n">
        <v>44936</v>
      </c>
      <c r="C5855" s="1" t="n">
        <v>45182</v>
      </c>
      <c r="D5855" t="inlineStr">
        <is>
          <t>JÄMTLANDS LÄN</t>
        </is>
      </c>
      <c r="E5855" t="inlineStr">
        <is>
          <t>STRÖMSUND</t>
        </is>
      </c>
      <c r="G5855" t="n">
        <v>7.3</v>
      </c>
      <c r="H5855" t="n">
        <v>0</v>
      </c>
      <c r="I5855" t="n">
        <v>0</v>
      </c>
      <c r="J5855" t="n">
        <v>0</v>
      </c>
      <c r="K5855" t="n">
        <v>0</v>
      </c>
      <c r="L5855" t="n">
        <v>0</v>
      </c>
      <c r="M5855" t="n">
        <v>0</v>
      </c>
      <c r="N5855" t="n">
        <v>0</v>
      </c>
      <c r="O5855" t="n">
        <v>0</v>
      </c>
      <c r="P5855" t="n">
        <v>0</v>
      </c>
      <c r="Q5855" t="n">
        <v>0</v>
      </c>
      <c r="R5855" s="2" t="inlineStr"/>
    </row>
    <row r="5856" ht="15" customHeight="1">
      <c r="A5856" t="inlineStr">
        <is>
          <t>A 1747-2023</t>
        </is>
      </c>
      <c r="B5856" s="1" t="n">
        <v>44936</v>
      </c>
      <c r="C5856" s="1" t="n">
        <v>45182</v>
      </c>
      <c r="D5856" t="inlineStr">
        <is>
          <t>JÄMTLANDS LÄN</t>
        </is>
      </c>
      <c r="E5856" t="inlineStr">
        <is>
          <t>STRÖMSUND</t>
        </is>
      </c>
      <c r="G5856" t="n">
        <v>13.1</v>
      </c>
      <c r="H5856" t="n">
        <v>0</v>
      </c>
      <c r="I5856" t="n">
        <v>0</v>
      </c>
      <c r="J5856" t="n">
        <v>0</v>
      </c>
      <c r="K5856" t="n">
        <v>0</v>
      </c>
      <c r="L5856" t="n">
        <v>0</v>
      </c>
      <c r="M5856" t="n">
        <v>0</v>
      </c>
      <c r="N5856" t="n">
        <v>0</v>
      </c>
      <c r="O5856" t="n">
        <v>0</v>
      </c>
      <c r="P5856" t="n">
        <v>0</v>
      </c>
      <c r="Q5856" t="n">
        <v>0</v>
      </c>
      <c r="R5856" s="2" t="inlineStr"/>
    </row>
    <row r="5857" ht="15" customHeight="1">
      <c r="A5857" t="inlineStr">
        <is>
          <t>A 1893-2023</t>
        </is>
      </c>
      <c r="B5857" s="1" t="n">
        <v>44937</v>
      </c>
      <c r="C5857" s="1" t="n">
        <v>45182</v>
      </c>
      <c r="D5857" t="inlineStr">
        <is>
          <t>JÄMTLANDS LÄN</t>
        </is>
      </c>
      <c r="E5857" t="inlineStr">
        <is>
          <t>ÖSTERSUND</t>
        </is>
      </c>
      <c r="G5857" t="n">
        <v>11</v>
      </c>
      <c r="H5857" t="n">
        <v>0</v>
      </c>
      <c r="I5857" t="n">
        <v>0</v>
      </c>
      <c r="J5857" t="n">
        <v>0</v>
      </c>
      <c r="K5857" t="n">
        <v>0</v>
      </c>
      <c r="L5857" t="n">
        <v>0</v>
      </c>
      <c r="M5857" t="n">
        <v>0</v>
      </c>
      <c r="N5857" t="n">
        <v>0</v>
      </c>
      <c r="O5857" t="n">
        <v>0</v>
      </c>
      <c r="P5857" t="n">
        <v>0</v>
      </c>
      <c r="Q5857" t="n">
        <v>0</v>
      </c>
      <c r="R5857" s="2" t="inlineStr"/>
    </row>
    <row r="5858" ht="15" customHeight="1">
      <c r="A5858" t="inlineStr">
        <is>
          <t>A 1870-2023</t>
        </is>
      </c>
      <c r="B5858" s="1" t="n">
        <v>44938</v>
      </c>
      <c r="C5858" s="1" t="n">
        <v>45182</v>
      </c>
      <c r="D5858" t="inlineStr">
        <is>
          <t>JÄMTLANDS LÄN</t>
        </is>
      </c>
      <c r="E5858" t="inlineStr">
        <is>
          <t>RAGUNDA</t>
        </is>
      </c>
      <c r="F5858" t="inlineStr">
        <is>
          <t>SCA</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1952-2023</t>
        </is>
      </c>
      <c r="B5859" s="1" t="n">
        <v>44938</v>
      </c>
      <c r="C5859" s="1" t="n">
        <v>45182</v>
      </c>
      <c r="D5859" t="inlineStr">
        <is>
          <t>JÄMTLANDS LÄN</t>
        </is>
      </c>
      <c r="E5859" t="inlineStr">
        <is>
          <t>STRÖMSUND</t>
        </is>
      </c>
      <c r="G5859" t="n">
        <v>16</v>
      </c>
      <c r="H5859" t="n">
        <v>0</v>
      </c>
      <c r="I5859" t="n">
        <v>0</v>
      </c>
      <c r="J5859" t="n">
        <v>0</v>
      </c>
      <c r="K5859" t="n">
        <v>0</v>
      </c>
      <c r="L5859" t="n">
        <v>0</v>
      </c>
      <c r="M5859" t="n">
        <v>0</v>
      </c>
      <c r="N5859" t="n">
        <v>0</v>
      </c>
      <c r="O5859" t="n">
        <v>0</v>
      </c>
      <c r="P5859" t="n">
        <v>0</v>
      </c>
      <c r="Q5859" t="n">
        <v>0</v>
      </c>
      <c r="R5859" s="2" t="inlineStr"/>
    </row>
    <row r="5860" ht="15" customHeight="1">
      <c r="A5860" t="inlineStr">
        <is>
          <t>A 1875-2023</t>
        </is>
      </c>
      <c r="B5860" s="1" t="n">
        <v>44938</v>
      </c>
      <c r="C5860" s="1" t="n">
        <v>45182</v>
      </c>
      <c r="D5860" t="inlineStr">
        <is>
          <t>JÄMTLANDS LÄN</t>
        </is>
      </c>
      <c r="E5860" t="inlineStr">
        <is>
          <t>RAGUNDA</t>
        </is>
      </c>
      <c r="F5860" t="inlineStr">
        <is>
          <t>SCA</t>
        </is>
      </c>
      <c r="G5860" t="n">
        <v>4</v>
      </c>
      <c r="H5860" t="n">
        <v>0</v>
      </c>
      <c r="I5860" t="n">
        <v>0</v>
      </c>
      <c r="J5860" t="n">
        <v>0</v>
      </c>
      <c r="K5860" t="n">
        <v>0</v>
      </c>
      <c r="L5860" t="n">
        <v>0</v>
      </c>
      <c r="M5860" t="n">
        <v>0</v>
      </c>
      <c r="N5860" t="n">
        <v>0</v>
      </c>
      <c r="O5860" t="n">
        <v>0</v>
      </c>
      <c r="P5860" t="n">
        <v>0</v>
      </c>
      <c r="Q5860" t="n">
        <v>0</v>
      </c>
      <c r="R5860" s="2" t="inlineStr"/>
    </row>
    <row r="5861" ht="15" customHeight="1">
      <c r="A5861" t="inlineStr">
        <is>
          <t>A 1806-2023</t>
        </is>
      </c>
      <c r="B5861" s="1" t="n">
        <v>44938</v>
      </c>
      <c r="C5861" s="1" t="n">
        <v>45182</v>
      </c>
      <c r="D5861" t="inlineStr">
        <is>
          <t>JÄMTLANDS LÄN</t>
        </is>
      </c>
      <c r="E5861" t="inlineStr">
        <is>
          <t>ÅRE</t>
        </is>
      </c>
      <c r="G5861" t="n">
        <v>1.3</v>
      </c>
      <c r="H5861" t="n">
        <v>0</v>
      </c>
      <c r="I5861" t="n">
        <v>0</v>
      </c>
      <c r="J5861" t="n">
        <v>0</v>
      </c>
      <c r="K5861" t="n">
        <v>0</v>
      </c>
      <c r="L5861" t="n">
        <v>0</v>
      </c>
      <c r="M5861" t="n">
        <v>0</v>
      </c>
      <c r="N5861" t="n">
        <v>0</v>
      </c>
      <c r="O5861" t="n">
        <v>0</v>
      </c>
      <c r="P5861" t="n">
        <v>0</v>
      </c>
      <c r="Q5861" t="n">
        <v>0</v>
      </c>
      <c r="R5861" s="2" t="inlineStr"/>
    </row>
    <row r="5862" ht="15" customHeight="1">
      <c r="A5862" t="inlineStr">
        <is>
          <t>A 2609-2023</t>
        </is>
      </c>
      <c r="B5862" s="1" t="n">
        <v>44939</v>
      </c>
      <c r="C5862" s="1" t="n">
        <v>45182</v>
      </c>
      <c r="D5862" t="inlineStr">
        <is>
          <t>JÄMTLANDS LÄN</t>
        </is>
      </c>
      <c r="E5862" t="inlineStr">
        <is>
          <t>KROKOM</t>
        </is>
      </c>
      <c r="G5862" t="n">
        <v>16.9</v>
      </c>
      <c r="H5862" t="n">
        <v>0</v>
      </c>
      <c r="I5862" t="n">
        <v>0</v>
      </c>
      <c r="J5862" t="n">
        <v>0</v>
      </c>
      <c r="K5862" t="n">
        <v>0</v>
      </c>
      <c r="L5862" t="n">
        <v>0</v>
      </c>
      <c r="M5862" t="n">
        <v>0</v>
      </c>
      <c r="N5862" t="n">
        <v>0</v>
      </c>
      <c r="O5862" t="n">
        <v>0</v>
      </c>
      <c r="P5862" t="n">
        <v>0</v>
      </c>
      <c r="Q5862" t="n">
        <v>0</v>
      </c>
      <c r="R5862" s="2" t="inlineStr"/>
    </row>
    <row r="5863" ht="15" customHeight="1">
      <c r="A5863" t="inlineStr">
        <is>
          <t>A 2117-2023</t>
        </is>
      </c>
      <c r="B5863" s="1" t="n">
        <v>44939</v>
      </c>
      <c r="C5863" s="1" t="n">
        <v>45182</v>
      </c>
      <c r="D5863" t="inlineStr">
        <is>
          <t>JÄMTLANDS LÄN</t>
        </is>
      </c>
      <c r="E5863" t="inlineStr">
        <is>
          <t>RAGUNDA</t>
        </is>
      </c>
      <c r="F5863" t="inlineStr">
        <is>
          <t>SCA</t>
        </is>
      </c>
      <c r="G5863" t="n">
        <v>7.3</v>
      </c>
      <c r="H5863" t="n">
        <v>0</v>
      </c>
      <c r="I5863" t="n">
        <v>0</v>
      </c>
      <c r="J5863" t="n">
        <v>0</v>
      </c>
      <c r="K5863" t="n">
        <v>0</v>
      </c>
      <c r="L5863" t="n">
        <v>0</v>
      </c>
      <c r="M5863" t="n">
        <v>0</v>
      </c>
      <c r="N5863" t="n">
        <v>0</v>
      </c>
      <c r="O5863" t="n">
        <v>0</v>
      </c>
      <c r="P5863" t="n">
        <v>0</v>
      </c>
      <c r="Q5863" t="n">
        <v>0</v>
      </c>
      <c r="R5863" s="2" t="inlineStr"/>
    </row>
    <row r="5864" ht="15" customHeight="1">
      <c r="A5864" t="inlineStr">
        <is>
          <t>A 2223-2023</t>
        </is>
      </c>
      <c r="B5864" s="1" t="n">
        <v>44939</v>
      </c>
      <c r="C5864" s="1" t="n">
        <v>45182</v>
      </c>
      <c r="D5864" t="inlineStr">
        <is>
          <t>JÄMTLANDS LÄN</t>
        </is>
      </c>
      <c r="E5864" t="inlineStr">
        <is>
          <t>BERG</t>
        </is>
      </c>
      <c r="G5864" t="n">
        <v>7.2</v>
      </c>
      <c r="H5864" t="n">
        <v>0</v>
      </c>
      <c r="I5864" t="n">
        <v>0</v>
      </c>
      <c r="J5864" t="n">
        <v>0</v>
      </c>
      <c r="K5864" t="n">
        <v>0</v>
      </c>
      <c r="L5864" t="n">
        <v>0</v>
      </c>
      <c r="M5864" t="n">
        <v>0</v>
      </c>
      <c r="N5864" t="n">
        <v>0</v>
      </c>
      <c r="O5864" t="n">
        <v>0</v>
      </c>
      <c r="P5864" t="n">
        <v>0</v>
      </c>
      <c r="Q5864" t="n">
        <v>0</v>
      </c>
      <c r="R5864" s="2" t="inlineStr"/>
    </row>
    <row r="5865" ht="15" customHeight="1">
      <c r="A5865" t="inlineStr">
        <is>
          <t>A 2254-2023</t>
        </is>
      </c>
      <c r="B5865" s="1" t="n">
        <v>44939</v>
      </c>
      <c r="C5865" s="1" t="n">
        <v>45182</v>
      </c>
      <c r="D5865" t="inlineStr">
        <is>
          <t>JÄMTLANDS LÄN</t>
        </is>
      </c>
      <c r="E5865" t="inlineStr">
        <is>
          <t>BRÄCKE</t>
        </is>
      </c>
      <c r="G5865" t="n">
        <v>2</v>
      </c>
      <c r="H5865" t="n">
        <v>0</v>
      </c>
      <c r="I5865" t="n">
        <v>0</v>
      </c>
      <c r="J5865" t="n">
        <v>0</v>
      </c>
      <c r="K5865" t="n">
        <v>0</v>
      </c>
      <c r="L5865" t="n">
        <v>0</v>
      </c>
      <c r="M5865" t="n">
        <v>0</v>
      </c>
      <c r="N5865" t="n">
        <v>0</v>
      </c>
      <c r="O5865" t="n">
        <v>0</v>
      </c>
      <c r="P5865" t="n">
        <v>0</v>
      </c>
      <c r="Q5865" t="n">
        <v>0</v>
      </c>
      <c r="R5865" s="2" t="inlineStr"/>
    </row>
    <row r="5866" ht="15" customHeight="1">
      <c r="A5866" t="inlineStr">
        <is>
          <t>A 2246-2023</t>
        </is>
      </c>
      <c r="B5866" s="1" t="n">
        <v>44939</v>
      </c>
      <c r="C5866" s="1" t="n">
        <v>45182</v>
      </c>
      <c r="D5866" t="inlineStr">
        <is>
          <t>JÄMTLANDS LÄN</t>
        </is>
      </c>
      <c r="E5866" t="inlineStr">
        <is>
          <t>STRÖMSUND</t>
        </is>
      </c>
      <c r="G5866" t="n">
        <v>5.9</v>
      </c>
      <c r="H5866" t="n">
        <v>0</v>
      </c>
      <c r="I5866" t="n">
        <v>0</v>
      </c>
      <c r="J5866" t="n">
        <v>0</v>
      </c>
      <c r="K5866" t="n">
        <v>0</v>
      </c>
      <c r="L5866" t="n">
        <v>0</v>
      </c>
      <c r="M5866" t="n">
        <v>0</v>
      </c>
      <c r="N5866" t="n">
        <v>0</v>
      </c>
      <c r="O5866" t="n">
        <v>0</v>
      </c>
      <c r="P5866" t="n">
        <v>0</v>
      </c>
      <c r="Q5866" t="n">
        <v>0</v>
      </c>
      <c r="R5866" s="2" t="inlineStr"/>
    </row>
    <row r="5867" ht="15" customHeight="1">
      <c r="A5867" t="inlineStr">
        <is>
          <t>A 2050-2023</t>
        </is>
      </c>
      <c r="B5867" s="1" t="n">
        <v>44939</v>
      </c>
      <c r="C5867" s="1" t="n">
        <v>45182</v>
      </c>
      <c r="D5867" t="inlineStr">
        <is>
          <t>JÄMTLANDS LÄN</t>
        </is>
      </c>
      <c r="E5867" t="inlineStr">
        <is>
          <t>STRÖMSUND</t>
        </is>
      </c>
      <c r="G5867" t="n">
        <v>5.4</v>
      </c>
      <c r="H5867" t="n">
        <v>0</v>
      </c>
      <c r="I5867" t="n">
        <v>0</v>
      </c>
      <c r="J5867" t="n">
        <v>0</v>
      </c>
      <c r="K5867" t="n">
        <v>0</v>
      </c>
      <c r="L5867" t="n">
        <v>0</v>
      </c>
      <c r="M5867" t="n">
        <v>0</v>
      </c>
      <c r="N5867" t="n">
        <v>0</v>
      </c>
      <c r="O5867" t="n">
        <v>0</v>
      </c>
      <c r="P5867" t="n">
        <v>0</v>
      </c>
      <c r="Q5867" t="n">
        <v>0</v>
      </c>
      <c r="R5867" s="2" t="inlineStr"/>
    </row>
    <row r="5868" ht="15" customHeight="1">
      <c r="A5868" t="inlineStr">
        <is>
          <t>A 2133-2023</t>
        </is>
      </c>
      <c r="B5868" s="1" t="n">
        <v>44939</v>
      </c>
      <c r="C5868" s="1" t="n">
        <v>45182</v>
      </c>
      <c r="D5868" t="inlineStr">
        <is>
          <t>JÄMTLANDS LÄN</t>
        </is>
      </c>
      <c r="E5868" t="inlineStr">
        <is>
          <t>RAGUNDA</t>
        </is>
      </c>
      <c r="F5868" t="inlineStr">
        <is>
          <t>SCA</t>
        </is>
      </c>
      <c r="G5868" t="n">
        <v>3.6</v>
      </c>
      <c r="H5868" t="n">
        <v>0</v>
      </c>
      <c r="I5868" t="n">
        <v>0</v>
      </c>
      <c r="J5868" t="n">
        <v>0</v>
      </c>
      <c r="K5868" t="n">
        <v>0</v>
      </c>
      <c r="L5868" t="n">
        <v>0</v>
      </c>
      <c r="M5868" t="n">
        <v>0</v>
      </c>
      <c r="N5868" t="n">
        <v>0</v>
      </c>
      <c r="O5868" t="n">
        <v>0</v>
      </c>
      <c r="P5868" t="n">
        <v>0</v>
      </c>
      <c r="Q5868" t="n">
        <v>0</v>
      </c>
      <c r="R5868" s="2" t="inlineStr"/>
    </row>
    <row r="5869" ht="15" customHeight="1">
      <c r="A5869" t="inlineStr">
        <is>
          <t>A 2267-2023</t>
        </is>
      </c>
      <c r="B5869" s="1" t="n">
        <v>44942</v>
      </c>
      <c r="C5869" s="1" t="n">
        <v>45182</v>
      </c>
      <c r="D5869" t="inlineStr">
        <is>
          <t>JÄMTLANDS LÄN</t>
        </is>
      </c>
      <c r="E5869" t="inlineStr">
        <is>
          <t>BERG</t>
        </is>
      </c>
      <c r="G5869" t="n">
        <v>4.6</v>
      </c>
      <c r="H5869" t="n">
        <v>0</v>
      </c>
      <c r="I5869" t="n">
        <v>0</v>
      </c>
      <c r="J5869" t="n">
        <v>0</v>
      </c>
      <c r="K5869" t="n">
        <v>0</v>
      </c>
      <c r="L5869" t="n">
        <v>0</v>
      </c>
      <c r="M5869" t="n">
        <v>0</v>
      </c>
      <c r="N5869" t="n">
        <v>0</v>
      </c>
      <c r="O5869" t="n">
        <v>0</v>
      </c>
      <c r="P5869" t="n">
        <v>0</v>
      </c>
      <c r="Q5869" t="n">
        <v>0</v>
      </c>
      <c r="R5869" s="2" t="inlineStr"/>
    </row>
    <row r="5870" ht="15" customHeight="1">
      <c r="A5870" t="inlineStr">
        <is>
          <t>A 3189-2023</t>
        </is>
      </c>
      <c r="B5870" s="1" t="n">
        <v>44942</v>
      </c>
      <c r="C5870" s="1" t="n">
        <v>45182</v>
      </c>
      <c r="D5870" t="inlineStr">
        <is>
          <t>JÄMTLANDS LÄN</t>
        </is>
      </c>
      <c r="E5870" t="inlineStr">
        <is>
          <t>STRÖMSUND</t>
        </is>
      </c>
      <c r="G5870" t="n">
        <v>4.5</v>
      </c>
      <c r="H5870" t="n">
        <v>0</v>
      </c>
      <c r="I5870" t="n">
        <v>0</v>
      </c>
      <c r="J5870" t="n">
        <v>0</v>
      </c>
      <c r="K5870" t="n">
        <v>0</v>
      </c>
      <c r="L5870" t="n">
        <v>0</v>
      </c>
      <c r="M5870" t="n">
        <v>0</v>
      </c>
      <c r="N5870" t="n">
        <v>0</v>
      </c>
      <c r="O5870" t="n">
        <v>0</v>
      </c>
      <c r="P5870" t="n">
        <v>0</v>
      </c>
      <c r="Q5870" t="n">
        <v>0</v>
      </c>
      <c r="R5870" s="2" t="inlineStr"/>
    </row>
    <row r="5871" ht="15" customHeight="1">
      <c r="A5871" t="inlineStr">
        <is>
          <t>A 2376-2023</t>
        </is>
      </c>
      <c r="B5871" s="1" t="n">
        <v>44942</v>
      </c>
      <c r="C5871" s="1" t="n">
        <v>45182</v>
      </c>
      <c r="D5871" t="inlineStr">
        <is>
          <t>JÄMTLANDS LÄN</t>
        </is>
      </c>
      <c r="E5871" t="inlineStr">
        <is>
          <t>ÅRE</t>
        </is>
      </c>
      <c r="G5871" t="n">
        <v>0.1</v>
      </c>
      <c r="H5871" t="n">
        <v>0</v>
      </c>
      <c r="I5871" t="n">
        <v>0</v>
      </c>
      <c r="J5871" t="n">
        <v>0</v>
      </c>
      <c r="K5871" t="n">
        <v>0</v>
      </c>
      <c r="L5871" t="n">
        <v>0</v>
      </c>
      <c r="M5871" t="n">
        <v>0</v>
      </c>
      <c r="N5871" t="n">
        <v>0</v>
      </c>
      <c r="O5871" t="n">
        <v>0</v>
      </c>
      <c r="P5871" t="n">
        <v>0</v>
      </c>
      <c r="Q5871" t="n">
        <v>0</v>
      </c>
      <c r="R5871" s="2" t="inlineStr"/>
    </row>
    <row r="5872" ht="15" customHeight="1">
      <c r="A5872" t="inlineStr">
        <is>
          <t>A 2401-2023</t>
        </is>
      </c>
      <c r="B5872" s="1" t="n">
        <v>44942</v>
      </c>
      <c r="C5872" s="1" t="n">
        <v>45182</v>
      </c>
      <c r="D5872" t="inlineStr">
        <is>
          <t>JÄMTLANDS LÄN</t>
        </is>
      </c>
      <c r="E5872" t="inlineStr">
        <is>
          <t>RAGUNDA</t>
        </is>
      </c>
      <c r="G5872" t="n">
        <v>6.3</v>
      </c>
      <c r="H5872" t="n">
        <v>0</v>
      </c>
      <c r="I5872" t="n">
        <v>0</v>
      </c>
      <c r="J5872" t="n">
        <v>0</v>
      </c>
      <c r="K5872" t="n">
        <v>0</v>
      </c>
      <c r="L5872" t="n">
        <v>0</v>
      </c>
      <c r="M5872" t="n">
        <v>0</v>
      </c>
      <c r="N5872" t="n">
        <v>0</v>
      </c>
      <c r="O5872" t="n">
        <v>0</v>
      </c>
      <c r="P5872" t="n">
        <v>0</v>
      </c>
      <c r="Q5872" t="n">
        <v>0</v>
      </c>
      <c r="R5872" s="2" t="inlineStr"/>
    </row>
    <row r="5873" ht="15" customHeight="1">
      <c r="A5873" t="inlineStr">
        <is>
          <t>A 2411-2023</t>
        </is>
      </c>
      <c r="B5873" s="1" t="n">
        <v>44942</v>
      </c>
      <c r="C5873" s="1" t="n">
        <v>45182</v>
      </c>
      <c r="D5873" t="inlineStr">
        <is>
          <t>JÄMTLANDS LÄN</t>
        </is>
      </c>
      <c r="E5873" t="inlineStr">
        <is>
          <t>RAGUNDA</t>
        </is>
      </c>
      <c r="F5873" t="inlineStr">
        <is>
          <t>SCA</t>
        </is>
      </c>
      <c r="G5873" t="n">
        <v>1.3</v>
      </c>
      <c r="H5873" t="n">
        <v>0</v>
      </c>
      <c r="I5873" t="n">
        <v>0</v>
      </c>
      <c r="J5873" t="n">
        <v>0</v>
      </c>
      <c r="K5873" t="n">
        <v>0</v>
      </c>
      <c r="L5873" t="n">
        <v>0</v>
      </c>
      <c r="M5873" t="n">
        <v>0</v>
      </c>
      <c r="N5873" t="n">
        <v>0</v>
      </c>
      <c r="O5873" t="n">
        <v>0</v>
      </c>
      <c r="P5873" t="n">
        <v>0</v>
      </c>
      <c r="Q5873" t="n">
        <v>0</v>
      </c>
      <c r="R5873" s="2" t="inlineStr"/>
    </row>
    <row r="5874" ht="15" customHeight="1">
      <c r="A5874" t="inlineStr">
        <is>
          <t>A 2675-2023</t>
        </is>
      </c>
      <c r="B5874" s="1" t="n">
        <v>44942</v>
      </c>
      <c r="C5874" s="1" t="n">
        <v>45182</v>
      </c>
      <c r="D5874" t="inlineStr">
        <is>
          <t>JÄMTLANDS LÄN</t>
        </is>
      </c>
      <c r="E5874" t="inlineStr">
        <is>
          <t>STRÖMSUND</t>
        </is>
      </c>
      <c r="G5874" t="n">
        <v>10.4</v>
      </c>
      <c r="H5874" t="n">
        <v>0</v>
      </c>
      <c r="I5874" t="n">
        <v>0</v>
      </c>
      <c r="J5874" t="n">
        <v>0</v>
      </c>
      <c r="K5874" t="n">
        <v>0</v>
      </c>
      <c r="L5874" t="n">
        <v>0</v>
      </c>
      <c r="M5874" t="n">
        <v>0</v>
      </c>
      <c r="N5874" t="n">
        <v>0</v>
      </c>
      <c r="O5874" t="n">
        <v>0</v>
      </c>
      <c r="P5874" t="n">
        <v>0</v>
      </c>
      <c r="Q5874" t="n">
        <v>0</v>
      </c>
      <c r="R5874" s="2" t="inlineStr"/>
    </row>
    <row r="5875" ht="15" customHeight="1">
      <c r="A5875" t="inlineStr">
        <is>
          <t>A 2296-2023</t>
        </is>
      </c>
      <c r="B5875" s="1" t="n">
        <v>44942</v>
      </c>
      <c r="C5875" s="1" t="n">
        <v>45182</v>
      </c>
      <c r="D5875" t="inlineStr">
        <is>
          <t>JÄMTLANDS LÄN</t>
        </is>
      </c>
      <c r="E5875" t="inlineStr">
        <is>
          <t>STRÖMSUND</t>
        </is>
      </c>
      <c r="G5875" t="n">
        <v>1</v>
      </c>
      <c r="H5875" t="n">
        <v>0</v>
      </c>
      <c r="I5875" t="n">
        <v>0</v>
      </c>
      <c r="J5875" t="n">
        <v>0</v>
      </c>
      <c r="K5875" t="n">
        <v>0</v>
      </c>
      <c r="L5875" t="n">
        <v>0</v>
      </c>
      <c r="M5875" t="n">
        <v>0</v>
      </c>
      <c r="N5875" t="n">
        <v>0</v>
      </c>
      <c r="O5875" t="n">
        <v>0</v>
      </c>
      <c r="P5875" t="n">
        <v>0</v>
      </c>
      <c r="Q5875" t="n">
        <v>0</v>
      </c>
      <c r="R5875" s="2" t="inlineStr"/>
    </row>
    <row r="5876" ht="15" customHeight="1">
      <c r="A5876" t="inlineStr">
        <is>
          <t>A 2402-2023</t>
        </is>
      </c>
      <c r="B5876" s="1" t="n">
        <v>44942</v>
      </c>
      <c r="C5876" s="1" t="n">
        <v>45182</v>
      </c>
      <c r="D5876" t="inlineStr">
        <is>
          <t>JÄMTLANDS LÄN</t>
        </is>
      </c>
      <c r="E5876" t="inlineStr">
        <is>
          <t>RAGUNDA</t>
        </is>
      </c>
      <c r="G5876" t="n">
        <v>7.8</v>
      </c>
      <c r="H5876" t="n">
        <v>0</v>
      </c>
      <c r="I5876" t="n">
        <v>0</v>
      </c>
      <c r="J5876" t="n">
        <v>0</v>
      </c>
      <c r="K5876" t="n">
        <v>0</v>
      </c>
      <c r="L5876" t="n">
        <v>0</v>
      </c>
      <c r="M5876" t="n">
        <v>0</v>
      </c>
      <c r="N5876" t="n">
        <v>0</v>
      </c>
      <c r="O5876" t="n">
        <v>0</v>
      </c>
      <c r="P5876" t="n">
        <v>0</v>
      </c>
      <c r="Q5876" t="n">
        <v>0</v>
      </c>
      <c r="R5876" s="2" t="inlineStr"/>
    </row>
    <row r="5877" ht="15" customHeight="1">
      <c r="A5877" t="inlineStr">
        <is>
          <t>A 2414-2023</t>
        </is>
      </c>
      <c r="B5877" s="1" t="n">
        <v>44942</v>
      </c>
      <c r="C5877" s="1" t="n">
        <v>45182</v>
      </c>
      <c r="D5877" t="inlineStr">
        <is>
          <t>JÄMTLANDS LÄN</t>
        </is>
      </c>
      <c r="E5877" t="inlineStr">
        <is>
          <t>RAGUNDA</t>
        </is>
      </c>
      <c r="F5877" t="inlineStr">
        <is>
          <t>SCA</t>
        </is>
      </c>
      <c r="G5877" t="n">
        <v>28.4</v>
      </c>
      <c r="H5877" t="n">
        <v>0</v>
      </c>
      <c r="I5877" t="n">
        <v>0</v>
      </c>
      <c r="J5877" t="n">
        <v>0</v>
      </c>
      <c r="K5877" t="n">
        <v>0</v>
      </c>
      <c r="L5877" t="n">
        <v>0</v>
      </c>
      <c r="M5877" t="n">
        <v>0</v>
      </c>
      <c r="N5877" t="n">
        <v>0</v>
      </c>
      <c r="O5877" t="n">
        <v>0</v>
      </c>
      <c r="P5877" t="n">
        <v>0</v>
      </c>
      <c r="Q5877" t="n">
        <v>0</v>
      </c>
      <c r="R5877" s="2" t="inlineStr"/>
    </row>
    <row r="5878" ht="15" customHeight="1">
      <c r="A5878" t="inlineStr">
        <is>
          <t>A 3182-2023</t>
        </is>
      </c>
      <c r="B5878" s="1" t="n">
        <v>44942</v>
      </c>
      <c r="C5878" s="1" t="n">
        <v>45182</v>
      </c>
      <c r="D5878" t="inlineStr">
        <is>
          <t>JÄMTLANDS LÄN</t>
        </is>
      </c>
      <c r="E5878" t="inlineStr">
        <is>
          <t>STRÖMSUND</t>
        </is>
      </c>
      <c r="G5878" t="n">
        <v>1.4</v>
      </c>
      <c r="H5878" t="n">
        <v>0</v>
      </c>
      <c r="I5878" t="n">
        <v>0</v>
      </c>
      <c r="J5878" t="n">
        <v>0</v>
      </c>
      <c r="K5878" t="n">
        <v>0</v>
      </c>
      <c r="L5878" t="n">
        <v>0</v>
      </c>
      <c r="M5878" t="n">
        <v>0</v>
      </c>
      <c r="N5878" t="n">
        <v>0</v>
      </c>
      <c r="O5878" t="n">
        <v>0</v>
      </c>
      <c r="P5878" t="n">
        <v>0</v>
      </c>
      <c r="Q5878" t="n">
        <v>0</v>
      </c>
      <c r="R5878" s="2" t="inlineStr"/>
    </row>
    <row r="5879" ht="15" customHeight="1">
      <c r="A5879" t="inlineStr">
        <is>
          <t>A 2420-2023</t>
        </is>
      </c>
      <c r="B5879" s="1" t="n">
        <v>44943</v>
      </c>
      <c r="C5879" s="1" t="n">
        <v>45182</v>
      </c>
      <c r="D5879" t="inlineStr">
        <is>
          <t>JÄMTLANDS LÄN</t>
        </is>
      </c>
      <c r="E5879" t="inlineStr">
        <is>
          <t>ÖSTERSUND</t>
        </is>
      </c>
      <c r="G5879" t="n">
        <v>0.9</v>
      </c>
      <c r="H5879" t="n">
        <v>0</v>
      </c>
      <c r="I5879" t="n">
        <v>0</v>
      </c>
      <c r="J5879" t="n">
        <v>0</v>
      </c>
      <c r="K5879" t="n">
        <v>0</v>
      </c>
      <c r="L5879" t="n">
        <v>0</v>
      </c>
      <c r="M5879" t="n">
        <v>0</v>
      </c>
      <c r="N5879" t="n">
        <v>0</v>
      </c>
      <c r="O5879" t="n">
        <v>0</v>
      </c>
      <c r="P5879" t="n">
        <v>0</v>
      </c>
      <c r="Q5879" t="n">
        <v>0</v>
      </c>
      <c r="R5879" s="2" t="inlineStr"/>
    </row>
    <row r="5880" ht="15" customHeight="1">
      <c r="A5880" t="inlineStr">
        <is>
          <t>A 2819-2023</t>
        </is>
      </c>
      <c r="B5880" s="1" t="n">
        <v>44944</v>
      </c>
      <c r="C5880" s="1" t="n">
        <v>45182</v>
      </c>
      <c r="D5880" t="inlineStr">
        <is>
          <t>JÄMTLANDS LÄN</t>
        </is>
      </c>
      <c r="E5880" t="inlineStr">
        <is>
          <t>RAGUNDA</t>
        </is>
      </c>
      <c r="G5880" t="n">
        <v>8.800000000000001</v>
      </c>
      <c r="H5880" t="n">
        <v>0</v>
      </c>
      <c r="I5880" t="n">
        <v>0</v>
      </c>
      <c r="J5880" t="n">
        <v>0</v>
      </c>
      <c r="K5880" t="n">
        <v>0</v>
      </c>
      <c r="L5880" t="n">
        <v>0</v>
      </c>
      <c r="M5880" t="n">
        <v>0</v>
      </c>
      <c r="N5880" t="n">
        <v>0</v>
      </c>
      <c r="O5880" t="n">
        <v>0</v>
      </c>
      <c r="P5880" t="n">
        <v>0</v>
      </c>
      <c r="Q5880" t="n">
        <v>0</v>
      </c>
      <c r="R5880" s="2" t="inlineStr"/>
    </row>
    <row r="5881" ht="15" customHeight="1">
      <c r="A5881" t="inlineStr">
        <is>
          <t>A 3027-2023</t>
        </is>
      </c>
      <c r="B5881" s="1" t="n">
        <v>44945</v>
      </c>
      <c r="C5881" s="1" t="n">
        <v>45182</v>
      </c>
      <c r="D5881" t="inlineStr">
        <is>
          <t>JÄMTLANDS LÄN</t>
        </is>
      </c>
      <c r="E5881" t="inlineStr">
        <is>
          <t>STRÖMSUND</t>
        </is>
      </c>
      <c r="F5881" t="inlineStr">
        <is>
          <t>SCA</t>
        </is>
      </c>
      <c r="G5881" t="n">
        <v>1.2</v>
      </c>
      <c r="H5881" t="n">
        <v>0</v>
      </c>
      <c r="I5881" t="n">
        <v>0</v>
      </c>
      <c r="J5881" t="n">
        <v>0</v>
      </c>
      <c r="K5881" t="n">
        <v>0</v>
      </c>
      <c r="L5881" t="n">
        <v>0</v>
      </c>
      <c r="M5881" t="n">
        <v>0</v>
      </c>
      <c r="N5881" t="n">
        <v>0</v>
      </c>
      <c r="O5881" t="n">
        <v>0</v>
      </c>
      <c r="P5881" t="n">
        <v>0</v>
      </c>
      <c r="Q5881" t="n">
        <v>0</v>
      </c>
      <c r="R5881" s="2" t="inlineStr"/>
    </row>
    <row r="5882" ht="15" customHeight="1">
      <c r="A5882" t="inlineStr">
        <is>
          <t>A 3033-2023</t>
        </is>
      </c>
      <c r="B5882" s="1" t="n">
        <v>44945</v>
      </c>
      <c r="C5882" s="1" t="n">
        <v>45182</v>
      </c>
      <c r="D5882" t="inlineStr">
        <is>
          <t>JÄMTLANDS LÄN</t>
        </is>
      </c>
      <c r="E5882" t="inlineStr">
        <is>
          <t>BRÄCKE</t>
        </is>
      </c>
      <c r="F5882" t="inlineStr">
        <is>
          <t>SCA</t>
        </is>
      </c>
      <c r="G5882" t="n">
        <v>3.7</v>
      </c>
      <c r="H5882" t="n">
        <v>0</v>
      </c>
      <c r="I5882" t="n">
        <v>0</v>
      </c>
      <c r="J5882" t="n">
        <v>0</v>
      </c>
      <c r="K5882" t="n">
        <v>0</v>
      </c>
      <c r="L5882" t="n">
        <v>0</v>
      </c>
      <c r="M5882" t="n">
        <v>0</v>
      </c>
      <c r="N5882" t="n">
        <v>0</v>
      </c>
      <c r="O5882" t="n">
        <v>0</v>
      </c>
      <c r="P5882" t="n">
        <v>0</v>
      </c>
      <c r="Q5882" t="n">
        <v>0</v>
      </c>
      <c r="R5882" s="2" t="inlineStr"/>
    </row>
    <row r="5883" ht="15" customHeight="1">
      <c r="A5883" t="inlineStr">
        <is>
          <t>A 2936-2023</t>
        </is>
      </c>
      <c r="B5883" s="1" t="n">
        <v>44945</v>
      </c>
      <c r="C5883" s="1" t="n">
        <v>45182</v>
      </c>
      <c r="D5883" t="inlineStr">
        <is>
          <t>JÄMTLANDS LÄN</t>
        </is>
      </c>
      <c r="E5883" t="inlineStr">
        <is>
          <t>BERG</t>
        </is>
      </c>
      <c r="G5883" t="n">
        <v>5.9</v>
      </c>
      <c r="H5883" t="n">
        <v>0</v>
      </c>
      <c r="I5883" t="n">
        <v>0</v>
      </c>
      <c r="J5883" t="n">
        <v>0</v>
      </c>
      <c r="K5883" t="n">
        <v>0</v>
      </c>
      <c r="L5883" t="n">
        <v>0</v>
      </c>
      <c r="M5883" t="n">
        <v>0</v>
      </c>
      <c r="N5883" t="n">
        <v>0</v>
      </c>
      <c r="O5883" t="n">
        <v>0</v>
      </c>
      <c r="P5883" t="n">
        <v>0</v>
      </c>
      <c r="Q5883" t="n">
        <v>0</v>
      </c>
      <c r="R5883" s="2" t="inlineStr"/>
    </row>
    <row r="5884" ht="15" customHeight="1">
      <c r="A5884" t="inlineStr">
        <is>
          <t>A 3031-2023</t>
        </is>
      </c>
      <c r="B5884" s="1" t="n">
        <v>44945</v>
      </c>
      <c r="C5884" s="1" t="n">
        <v>45182</v>
      </c>
      <c r="D5884" t="inlineStr">
        <is>
          <t>JÄMTLANDS LÄN</t>
        </is>
      </c>
      <c r="E5884" t="inlineStr">
        <is>
          <t>BRÄCKE</t>
        </is>
      </c>
      <c r="F5884" t="inlineStr">
        <is>
          <t>SCA</t>
        </is>
      </c>
      <c r="G5884" t="n">
        <v>2</v>
      </c>
      <c r="H5884" t="n">
        <v>0</v>
      </c>
      <c r="I5884" t="n">
        <v>0</v>
      </c>
      <c r="J5884" t="n">
        <v>0</v>
      </c>
      <c r="K5884" t="n">
        <v>0</v>
      </c>
      <c r="L5884" t="n">
        <v>0</v>
      </c>
      <c r="M5884" t="n">
        <v>0</v>
      </c>
      <c r="N5884" t="n">
        <v>0</v>
      </c>
      <c r="O5884" t="n">
        <v>0</v>
      </c>
      <c r="P5884" t="n">
        <v>0</v>
      </c>
      <c r="Q5884" t="n">
        <v>0</v>
      </c>
      <c r="R5884" s="2" t="inlineStr"/>
    </row>
    <row r="5885" ht="15" customHeight="1">
      <c r="A5885" t="inlineStr">
        <is>
          <t>A 2957-2023</t>
        </is>
      </c>
      <c r="B5885" s="1" t="n">
        <v>44945</v>
      </c>
      <c r="C5885" s="1" t="n">
        <v>45182</v>
      </c>
      <c r="D5885" t="inlineStr">
        <is>
          <t>JÄMTLANDS LÄN</t>
        </is>
      </c>
      <c r="E5885" t="inlineStr">
        <is>
          <t>HÄRJEDALEN</t>
        </is>
      </c>
      <c r="G5885" t="n">
        <v>7.5</v>
      </c>
      <c r="H5885" t="n">
        <v>0</v>
      </c>
      <c r="I5885" t="n">
        <v>0</v>
      </c>
      <c r="J5885" t="n">
        <v>0</v>
      </c>
      <c r="K5885" t="n">
        <v>0</v>
      </c>
      <c r="L5885" t="n">
        <v>0</v>
      </c>
      <c r="M5885" t="n">
        <v>0</v>
      </c>
      <c r="N5885" t="n">
        <v>0</v>
      </c>
      <c r="O5885" t="n">
        <v>0</v>
      </c>
      <c r="P5885" t="n">
        <v>0</v>
      </c>
      <c r="Q5885" t="n">
        <v>0</v>
      </c>
      <c r="R5885" s="2" t="inlineStr"/>
    </row>
    <row r="5886" ht="15" customHeight="1">
      <c r="A5886" t="inlineStr">
        <is>
          <t>A 3028-2023</t>
        </is>
      </c>
      <c r="B5886" s="1" t="n">
        <v>44945</v>
      </c>
      <c r="C5886" s="1" t="n">
        <v>45182</v>
      </c>
      <c r="D5886" t="inlineStr">
        <is>
          <t>JÄMTLANDS LÄN</t>
        </is>
      </c>
      <c r="E5886" t="inlineStr">
        <is>
          <t>STRÖMSUND</t>
        </is>
      </c>
      <c r="F5886" t="inlineStr">
        <is>
          <t>SCA</t>
        </is>
      </c>
      <c r="G5886" t="n">
        <v>1.3</v>
      </c>
      <c r="H5886" t="n">
        <v>0</v>
      </c>
      <c r="I5886" t="n">
        <v>0</v>
      </c>
      <c r="J5886" t="n">
        <v>0</v>
      </c>
      <c r="K5886" t="n">
        <v>0</v>
      </c>
      <c r="L5886" t="n">
        <v>0</v>
      </c>
      <c r="M5886" t="n">
        <v>0</v>
      </c>
      <c r="N5886" t="n">
        <v>0</v>
      </c>
      <c r="O5886" t="n">
        <v>0</v>
      </c>
      <c r="P5886" t="n">
        <v>0</v>
      </c>
      <c r="Q5886" t="n">
        <v>0</v>
      </c>
      <c r="R5886" s="2" t="inlineStr"/>
    </row>
    <row r="5887" ht="15" customHeight="1">
      <c r="A5887" t="inlineStr">
        <is>
          <t>A 3204-2023</t>
        </is>
      </c>
      <c r="B5887" s="1" t="n">
        <v>44946</v>
      </c>
      <c r="C5887" s="1" t="n">
        <v>45182</v>
      </c>
      <c r="D5887" t="inlineStr">
        <is>
          <t>JÄMTLANDS LÄN</t>
        </is>
      </c>
      <c r="E5887" t="inlineStr">
        <is>
          <t>ÅRE</t>
        </is>
      </c>
      <c r="G5887" t="n">
        <v>1.9</v>
      </c>
      <c r="H5887" t="n">
        <v>0</v>
      </c>
      <c r="I5887" t="n">
        <v>0</v>
      </c>
      <c r="J5887" t="n">
        <v>0</v>
      </c>
      <c r="K5887" t="n">
        <v>0</v>
      </c>
      <c r="L5887" t="n">
        <v>0</v>
      </c>
      <c r="M5887" t="n">
        <v>0</v>
      </c>
      <c r="N5887" t="n">
        <v>0</v>
      </c>
      <c r="O5887" t="n">
        <v>0</v>
      </c>
      <c r="P5887" t="n">
        <v>0</v>
      </c>
      <c r="Q5887" t="n">
        <v>0</v>
      </c>
      <c r="R5887" s="2" t="inlineStr"/>
    </row>
    <row r="5888" ht="15" customHeight="1">
      <c r="A5888" t="inlineStr">
        <is>
          <t>A 3213-2023</t>
        </is>
      </c>
      <c r="B5888" s="1" t="n">
        <v>44946</v>
      </c>
      <c r="C5888" s="1" t="n">
        <v>45182</v>
      </c>
      <c r="D5888" t="inlineStr">
        <is>
          <t>JÄMTLANDS LÄN</t>
        </is>
      </c>
      <c r="E5888" t="inlineStr">
        <is>
          <t>KROKOM</t>
        </is>
      </c>
      <c r="G5888" t="n">
        <v>0.6</v>
      </c>
      <c r="H5888" t="n">
        <v>0</v>
      </c>
      <c r="I5888" t="n">
        <v>0</v>
      </c>
      <c r="J5888" t="n">
        <v>0</v>
      </c>
      <c r="K5888" t="n">
        <v>0</v>
      </c>
      <c r="L5888" t="n">
        <v>0</v>
      </c>
      <c r="M5888" t="n">
        <v>0</v>
      </c>
      <c r="N5888" t="n">
        <v>0</v>
      </c>
      <c r="O5888" t="n">
        <v>0</v>
      </c>
      <c r="P5888" t="n">
        <v>0</v>
      </c>
      <c r="Q5888" t="n">
        <v>0</v>
      </c>
      <c r="R5888" s="2" t="inlineStr"/>
    </row>
    <row r="5889" ht="15" customHeight="1">
      <c r="A5889" t="inlineStr">
        <is>
          <t>A 3196-2023</t>
        </is>
      </c>
      <c r="B5889" s="1" t="n">
        <v>44946</v>
      </c>
      <c r="C5889" s="1" t="n">
        <v>45182</v>
      </c>
      <c r="D5889" t="inlineStr">
        <is>
          <t>JÄMTLANDS LÄN</t>
        </is>
      </c>
      <c r="E5889" t="inlineStr">
        <is>
          <t>ÅRE</t>
        </is>
      </c>
      <c r="G5889" t="n">
        <v>5.1</v>
      </c>
      <c r="H5889" t="n">
        <v>0</v>
      </c>
      <c r="I5889" t="n">
        <v>0</v>
      </c>
      <c r="J5889" t="n">
        <v>0</v>
      </c>
      <c r="K5889" t="n">
        <v>0</v>
      </c>
      <c r="L5889" t="n">
        <v>0</v>
      </c>
      <c r="M5889" t="n">
        <v>0</v>
      </c>
      <c r="N5889" t="n">
        <v>0</v>
      </c>
      <c r="O5889" t="n">
        <v>0</v>
      </c>
      <c r="P5889" t="n">
        <v>0</v>
      </c>
      <c r="Q5889" t="n">
        <v>0</v>
      </c>
      <c r="R5889" s="2" t="inlineStr"/>
    </row>
    <row r="5890" ht="15" customHeight="1">
      <c r="A5890" t="inlineStr">
        <is>
          <t>A 3147-2023</t>
        </is>
      </c>
      <c r="B5890" s="1" t="n">
        <v>44946</v>
      </c>
      <c r="C5890" s="1" t="n">
        <v>45182</v>
      </c>
      <c r="D5890" t="inlineStr">
        <is>
          <t>JÄMTLANDS LÄN</t>
        </is>
      </c>
      <c r="E5890" t="inlineStr">
        <is>
          <t>ÅRE</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3210-2023</t>
        </is>
      </c>
      <c r="B5891" s="1" t="n">
        <v>44946</v>
      </c>
      <c r="C5891" s="1" t="n">
        <v>45182</v>
      </c>
      <c r="D5891" t="inlineStr">
        <is>
          <t>JÄMTLANDS LÄN</t>
        </is>
      </c>
      <c r="E5891" t="inlineStr">
        <is>
          <t>KROKOM</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3218-2023</t>
        </is>
      </c>
      <c r="B5892" s="1" t="n">
        <v>44946</v>
      </c>
      <c r="C5892" s="1" t="n">
        <v>45182</v>
      </c>
      <c r="D5892" t="inlineStr">
        <is>
          <t>JÄMTLANDS LÄN</t>
        </is>
      </c>
      <c r="E5892" t="inlineStr">
        <is>
          <t>KROKOM</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3066-2023</t>
        </is>
      </c>
      <c r="B5893" s="1" t="n">
        <v>44946</v>
      </c>
      <c r="C5893" s="1" t="n">
        <v>45182</v>
      </c>
      <c r="D5893" t="inlineStr">
        <is>
          <t>JÄMTLANDS LÄN</t>
        </is>
      </c>
      <c r="E5893" t="inlineStr">
        <is>
          <t>ÅRE</t>
        </is>
      </c>
      <c r="G5893" t="n">
        <v>1.3</v>
      </c>
      <c r="H5893" t="n">
        <v>0</v>
      </c>
      <c r="I5893" t="n">
        <v>0</v>
      </c>
      <c r="J5893" t="n">
        <v>0</v>
      </c>
      <c r="K5893" t="n">
        <v>0</v>
      </c>
      <c r="L5893" t="n">
        <v>0</v>
      </c>
      <c r="M5893" t="n">
        <v>0</v>
      </c>
      <c r="N5893" t="n">
        <v>0</v>
      </c>
      <c r="O5893" t="n">
        <v>0</v>
      </c>
      <c r="P5893" t="n">
        <v>0</v>
      </c>
      <c r="Q5893" t="n">
        <v>0</v>
      </c>
      <c r="R5893" s="2" t="inlineStr"/>
    </row>
    <row r="5894" ht="15" customHeight="1">
      <c r="A5894" t="inlineStr">
        <is>
          <t>A 3134-2023</t>
        </is>
      </c>
      <c r="B5894" s="1" t="n">
        <v>44946</v>
      </c>
      <c r="C5894" s="1" t="n">
        <v>45182</v>
      </c>
      <c r="D5894" t="inlineStr">
        <is>
          <t>JÄMTLANDS LÄN</t>
        </is>
      </c>
      <c r="E5894" t="inlineStr">
        <is>
          <t>HÄRJEDALEN</t>
        </is>
      </c>
      <c r="G5894" t="n">
        <v>9.300000000000001</v>
      </c>
      <c r="H5894" t="n">
        <v>0</v>
      </c>
      <c r="I5894" t="n">
        <v>0</v>
      </c>
      <c r="J5894" t="n">
        <v>0</v>
      </c>
      <c r="K5894" t="n">
        <v>0</v>
      </c>
      <c r="L5894" t="n">
        <v>0</v>
      </c>
      <c r="M5894" t="n">
        <v>0</v>
      </c>
      <c r="N5894" t="n">
        <v>0</v>
      </c>
      <c r="O5894" t="n">
        <v>0</v>
      </c>
      <c r="P5894" t="n">
        <v>0</v>
      </c>
      <c r="Q5894" t="n">
        <v>0</v>
      </c>
      <c r="R5894" s="2" t="inlineStr"/>
    </row>
    <row r="5895" ht="15" customHeight="1">
      <c r="A5895" t="inlineStr">
        <is>
          <t>A 3481-2023</t>
        </is>
      </c>
      <c r="B5895" s="1" t="n">
        <v>44949</v>
      </c>
      <c r="C5895" s="1" t="n">
        <v>45182</v>
      </c>
      <c r="D5895" t="inlineStr">
        <is>
          <t>JÄMTLANDS LÄN</t>
        </is>
      </c>
      <c r="E5895" t="inlineStr">
        <is>
          <t>STRÖMSUND</t>
        </is>
      </c>
      <c r="G5895" t="n">
        <v>21.6</v>
      </c>
      <c r="H5895" t="n">
        <v>0</v>
      </c>
      <c r="I5895" t="n">
        <v>0</v>
      </c>
      <c r="J5895" t="n">
        <v>0</v>
      </c>
      <c r="K5895" t="n">
        <v>0</v>
      </c>
      <c r="L5895" t="n">
        <v>0</v>
      </c>
      <c r="M5895" t="n">
        <v>0</v>
      </c>
      <c r="N5895" t="n">
        <v>0</v>
      </c>
      <c r="O5895" t="n">
        <v>0</v>
      </c>
      <c r="P5895" t="n">
        <v>0</v>
      </c>
      <c r="Q5895" t="n">
        <v>0</v>
      </c>
      <c r="R5895" s="2" t="inlineStr"/>
    </row>
    <row r="5896" ht="15" customHeight="1">
      <c r="A5896" t="inlineStr">
        <is>
          <t>A 3749-2023</t>
        </is>
      </c>
      <c r="B5896" s="1" t="n">
        <v>44949</v>
      </c>
      <c r="C5896" s="1" t="n">
        <v>45182</v>
      </c>
      <c r="D5896" t="inlineStr">
        <is>
          <t>JÄMTLANDS LÄN</t>
        </is>
      </c>
      <c r="E5896" t="inlineStr">
        <is>
          <t>ÖSTERSUND</t>
        </is>
      </c>
      <c r="G5896" t="n">
        <v>0.2</v>
      </c>
      <c r="H5896" t="n">
        <v>0</v>
      </c>
      <c r="I5896" t="n">
        <v>0</v>
      </c>
      <c r="J5896" t="n">
        <v>0</v>
      </c>
      <c r="K5896" t="n">
        <v>0</v>
      </c>
      <c r="L5896" t="n">
        <v>0</v>
      </c>
      <c r="M5896" t="n">
        <v>0</v>
      </c>
      <c r="N5896" t="n">
        <v>0</v>
      </c>
      <c r="O5896" t="n">
        <v>0</v>
      </c>
      <c r="P5896" t="n">
        <v>0</v>
      </c>
      <c r="Q5896" t="n">
        <v>0</v>
      </c>
      <c r="R5896" s="2" t="inlineStr"/>
    </row>
    <row r="5897" ht="15" customHeight="1">
      <c r="A5897" t="inlineStr">
        <is>
          <t>A 3693-2023</t>
        </is>
      </c>
      <c r="B5897" s="1" t="n">
        <v>44950</v>
      </c>
      <c r="C5897" s="1" t="n">
        <v>45182</v>
      </c>
      <c r="D5897" t="inlineStr">
        <is>
          <t>JÄMTLANDS LÄN</t>
        </is>
      </c>
      <c r="E5897" t="inlineStr">
        <is>
          <t>STRÖMSUND</t>
        </is>
      </c>
      <c r="F5897" t="inlineStr">
        <is>
          <t>SCA</t>
        </is>
      </c>
      <c r="G5897" t="n">
        <v>5.4</v>
      </c>
      <c r="H5897" t="n">
        <v>0</v>
      </c>
      <c r="I5897" t="n">
        <v>0</v>
      </c>
      <c r="J5897" t="n">
        <v>0</v>
      </c>
      <c r="K5897" t="n">
        <v>0</v>
      </c>
      <c r="L5897" t="n">
        <v>0</v>
      </c>
      <c r="M5897" t="n">
        <v>0</v>
      </c>
      <c r="N5897" t="n">
        <v>0</v>
      </c>
      <c r="O5897" t="n">
        <v>0</v>
      </c>
      <c r="P5897" t="n">
        <v>0</v>
      </c>
      <c r="Q5897" t="n">
        <v>0</v>
      </c>
      <c r="R5897" s="2" t="inlineStr"/>
    </row>
    <row r="5898" ht="15" customHeight="1">
      <c r="A5898" t="inlineStr">
        <is>
          <t>A 3949-2023</t>
        </is>
      </c>
      <c r="B5898" s="1" t="n">
        <v>44950</v>
      </c>
      <c r="C5898" s="1" t="n">
        <v>45182</v>
      </c>
      <c r="D5898" t="inlineStr">
        <is>
          <t>JÄMTLANDS LÄN</t>
        </is>
      </c>
      <c r="E5898" t="inlineStr">
        <is>
          <t>ÖSTERSUND</t>
        </is>
      </c>
      <c r="G5898" t="n">
        <v>9.800000000000001</v>
      </c>
      <c r="H5898" t="n">
        <v>0</v>
      </c>
      <c r="I5898" t="n">
        <v>0</v>
      </c>
      <c r="J5898" t="n">
        <v>0</v>
      </c>
      <c r="K5898" t="n">
        <v>0</v>
      </c>
      <c r="L5898" t="n">
        <v>0</v>
      </c>
      <c r="M5898" t="n">
        <v>0</v>
      </c>
      <c r="N5898" t="n">
        <v>0</v>
      </c>
      <c r="O5898" t="n">
        <v>0</v>
      </c>
      <c r="P5898" t="n">
        <v>0</v>
      </c>
      <c r="Q5898" t="n">
        <v>0</v>
      </c>
      <c r="R5898" s="2" t="inlineStr"/>
    </row>
    <row r="5899" ht="15" customHeight="1">
      <c r="A5899" t="inlineStr">
        <is>
          <t>A 3959-2023</t>
        </is>
      </c>
      <c r="B5899" s="1" t="n">
        <v>44950</v>
      </c>
      <c r="C5899" s="1" t="n">
        <v>45182</v>
      </c>
      <c r="D5899" t="inlineStr">
        <is>
          <t>JÄMTLANDS LÄN</t>
        </is>
      </c>
      <c r="E5899" t="inlineStr">
        <is>
          <t>ÖSTERSUND</t>
        </is>
      </c>
      <c r="G5899" t="n">
        <v>7</v>
      </c>
      <c r="H5899" t="n">
        <v>0</v>
      </c>
      <c r="I5899" t="n">
        <v>0</v>
      </c>
      <c r="J5899" t="n">
        <v>0</v>
      </c>
      <c r="K5899" t="n">
        <v>0</v>
      </c>
      <c r="L5899" t="n">
        <v>0</v>
      </c>
      <c r="M5899" t="n">
        <v>0</v>
      </c>
      <c r="N5899" t="n">
        <v>0</v>
      </c>
      <c r="O5899" t="n">
        <v>0</v>
      </c>
      <c r="P5899" t="n">
        <v>0</v>
      </c>
      <c r="Q5899" t="n">
        <v>0</v>
      </c>
      <c r="R5899" s="2" t="inlineStr"/>
    </row>
    <row r="5900" ht="15" customHeight="1">
      <c r="A5900" t="inlineStr">
        <is>
          <t>A 3698-2023</t>
        </is>
      </c>
      <c r="B5900" s="1" t="n">
        <v>44950</v>
      </c>
      <c r="C5900" s="1" t="n">
        <v>45182</v>
      </c>
      <c r="D5900" t="inlineStr">
        <is>
          <t>JÄMTLANDS LÄN</t>
        </is>
      </c>
      <c r="E5900" t="inlineStr">
        <is>
          <t>BRÄCKE</t>
        </is>
      </c>
      <c r="F5900" t="inlineStr">
        <is>
          <t>SCA</t>
        </is>
      </c>
      <c r="G5900" t="n">
        <v>10.5</v>
      </c>
      <c r="H5900" t="n">
        <v>0</v>
      </c>
      <c r="I5900" t="n">
        <v>0</v>
      </c>
      <c r="J5900" t="n">
        <v>0</v>
      </c>
      <c r="K5900" t="n">
        <v>0</v>
      </c>
      <c r="L5900" t="n">
        <v>0</v>
      </c>
      <c r="M5900" t="n">
        <v>0</v>
      </c>
      <c r="N5900" t="n">
        <v>0</v>
      </c>
      <c r="O5900" t="n">
        <v>0</v>
      </c>
      <c r="P5900" t="n">
        <v>0</v>
      </c>
      <c r="Q5900" t="n">
        <v>0</v>
      </c>
      <c r="R5900" s="2" t="inlineStr"/>
    </row>
    <row r="5901" ht="15" customHeight="1">
      <c r="A5901" t="inlineStr">
        <is>
          <t>A 3845-2023</t>
        </is>
      </c>
      <c r="B5901" s="1" t="n">
        <v>44950</v>
      </c>
      <c r="C5901" s="1" t="n">
        <v>45182</v>
      </c>
      <c r="D5901" t="inlineStr">
        <is>
          <t>JÄMTLANDS LÄN</t>
        </is>
      </c>
      <c r="E5901" t="inlineStr">
        <is>
          <t>BRÄCKE</t>
        </is>
      </c>
      <c r="G5901" t="n">
        <v>6.5</v>
      </c>
      <c r="H5901" t="n">
        <v>0</v>
      </c>
      <c r="I5901" t="n">
        <v>0</v>
      </c>
      <c r="J5901" t="n">
        <v>0</v>
      </c>
      <c r="K5901" t="n">
        <v>0</v>
      </c>
      <c r="L5901" t="n">
        <v>0</v>
      </c>
      <c r="M5901" t="n">
        <v>0</v>
      </c>
      <c r="N5901" t="n">
        <v>0</v>
      </c>
      <c r="O5901" t="n">
        <v>0</v>
      </c>
      <c r="P5901" t="n">
        <v>0</v>
      </c>
      <c r="Q5901" t="n">
        <v>0</v>
      </c>
      <c r="R5901" s="2" t="inlineStr"/>
    </row>
    <row r="5902" ht="15" customHeight="1">
      <c r="A5902" t="inlineStr">
        <is>
          <t>A 3842-2023</t>
        </is>
      </c>
      <c r="B5902" s="1" t="n">
        <v>44951</v>
      </c>
      <c r="C5902" s="1" t="n">
        <v>45182</v>
      </c>
      <c r="D5902" t="inlineStr">
        <is>
          <t>JÄMTLANDS LÄN</t>
        </is>
      </c>
      <c r="E5902" t="inlineStr">
        <is>
          <t>BERG</t>
        </is>
      </c>
      <c r="G5902" t="n">
        <v>0.3</v>
      </c>
      <c r="H5902" t="n">
        <v>0</v>
      </c>
      <c r="I5902" t="n">
        <v>0</v>
      </c>
      <c r="J5902" t="n">
        <v>0</v>
      </c>
      <c r="K5902" t="n">
        <v>0</v>
      </c>
      <c r="L5902" t="n">
        <v>0</v>
      </c>
      <c r="M5902" t="n">
        <v>0</v>
      </c>
      <c r="N5902" t="n">
        <v>0</v>
      </c>
      <c r="O5902" t="n">
        <v>0</v>
      </c>
      <c r="P5902" t="n">
        <v>0</v>
      </c>
      <c r="Q5902" t="n">
        <v>0</v>
      </c>
      <c r="R5902" s="2" t="inlineStr"/>
    </row>
    <row r="5903" ht="15" customHeight="1">
      <c r="A5903" t="inlineStr">
        <is>
          <t>A 3895-2023</t>
        </is>
      </c>
      <c r="B5903" s="1" t="n">
        <v>44951</v>
      </c>
      <c r="C5903" s="1" t="n">
        <v>45182</v>
      </c>
      <c r="D5903" t="inlineStr">
        <is>
          <t>JÄMTLANDS LÄN</t>
        </is>
      </c>
      <c r="E5903" t="inlineStr">
        <is>
          <t>BRÄCKE</t>
        </is>
      </c>
      <c r="F5903" t="inlineStr">
        <is>
          <t>SCA</t>
        </is>
      </c>
      <c r="G5903" t="n">
        <v>5.1</v>
      </c>
      <c r="H5903" t="n">
        <v>0</v>
      </c>
      <c r="I5903" t="n">
        <v>0</v>
      </c>
      <c r="J5903" t="n">
        <v>0</v>
      </c>
      <c r="K5903" t="n">
        <v>0</v>
      </c>
      <c r="L5903" t="n">
        <v>0</v>
      </c>
      <c r="M5903" t="n">
        <v>0</v>
      </c>
      <c r="N5903" t="n">
        <v>0</v>
      </c>
      <c r="O5903" t="n">
        <v>0</v>
      </c>
      <c r="P5903" t="n">
        <v>0</v>
      </c>
      <c r="Q5903" t="n">
        <v>0</v>
      </c>
      <c r="R5903" s="2" t="inlineStr"/>
    </row>
    <row r="5904" ht="15" customHeight="1">
      <c r="A5904" t="inlineStr">
        <is>
          <t>A 3901-2023</t>
        </is>
      </c>
      <c r="B5904" s="1" t="n">
        <v>44951</v>
      </c>
      <c r="C5904" s="1" t="n">
        <v>45182</v>
      </c>
      <c r="D5904" t="inlineStr">
        <is>
          <t>JÄMTLANDS LÄN</t>
        </is>
      </c>
      <c r="E5904" t="inlineStr">
        <is>
          <t>STRÖMSUND</t>
        </is>
      </c>
      <c r="G5904" t="n">
        <v>18.2</v>
      </c>
      <c r="H5904" t="n">
        <v>0</v>
      </c>
      <c r="I5904" t="n">
        <v>0</v>
      </c>
      <c r="J5904" t="n">
        <v>0</v>
      </c>
      <c r="K5904" t="n">
        <v>0</v>
      </c>
      <c r="L5904" t="n">
        <v>0</v>
      </c>
      <c r="M5904" t="n">
        <v>0</v>
      </c>
      <c r="N5904" t="n">
        <v>0</v>
      </c>
      <c r="O5904" t="n">
        <v>0</v>
      </c>
      <c r="P5904" t="n">
        <v>0</v>
      </c>
      <c r="Q5904" t="n">
        <v>0</v>
      </c>
      <c r="R5904" s="2" t="inlineStr"/>
    </row>
    <row r="5905" ht="15" customHeight="1">
      <c r="A5905" t="inlineStr">
        <is>
          <t>A 4136-2023</t>
        </is>
      </c>
      <c r="B5905" s="1" t="n">
        <v>44952</v>
      </c>
      <c r="C5905" s="1" t="n">
        <v>45182</v>
      </c>
      <c r="D5905" t="inlineStr">
        <is>
          <t>JÄMTLANDS LÄN</t>
        </is>
      </c>
      <c r="E5905" t="inlineStr">
        <is>
          <t>ÖSTERSUND</t>
        </is>
      </c>
      <c r="G5905" t="n">
        <v>0.7</v>
      </c>
      <c r="H5905" t="n">
        <v>0</v>
      </c>
      <c r="I5905" t="n">
        <v>0</v>
      </c>
      <c r="J5905" t="n">
        <v>0</v>
      </c>
      <c r="K5905" t="n">
        <v>0</v>
      </c>
      <c r="L5905" t="n">
        <v>0</v>
      </c>
      <c r="M5905" t="n">
        <v>0</v>
      </c>
      <c r="N5905" t="n">
        <v>0</v>
      </c>
      <c r="O5905" t="n">
        <v>0</v>
      </c>
      <c r="P5905" t="n">
        <v>0</v>
      </c>
      <c r="Q5905" t="n">
        <v>0</v>
      </c>
      <c r="R5905" s="2" t="inlineStr"/>
    </row>
    <row r="5906" ht="15" customHeight="1">
      <c r="A5906" t="inlineStr">
        <is>
          <t>A 4523-2023</t>
        </is>
      </c>
      <c r="B5906" s="1" t="n">
        <v>44952</v>
      </c>
      <c r="C5906" s="1" t="n">
        <v>45182</v>
      </c>
      <c r="D5906" t="inlineStr">
        <is>
          <t>JÄMTLANDS LÄN</t>
        </is>
      </c>
      <c r="E5906" t="inlineStr">
        <is>
          <t>STRÖMSUND</t>
        </is>
      </c>
      <c r="G5906" t="n">
        <v>3.2</v>
      </c>
      <c r="H5906" t="n">
        <v>0</v>
      </c>
      <c r="I5906" t="n">
        <v>0</v>
      </c>
      <c r="J5906" t="n">
        <v>0</v>
      </c>
      <c r="K5906" t="n">
        <v>0</v>
      </c>
      <c r="L5906" t="n">
        <v>0</v>
      </c>
      <c r="M5906" t="n">
        <v>0</v>
      </c>
      <c r="N5906" t="n">
        <v>0</v>
      </c>
      <c r="O5906" t="n">
        <v>0</v>
      </c>
      <c r="P5906" t="n">
        <v>0</v>
      </c>
      <c r="Q5906" t="n">
        <v>0</v>
      </c>
      <c r="R5906" s="2" t="inlineStr"/>
    </row>
    <row r="5907" ht="15" customHeight="1">
      <c r="A5907" t="inlineStr">
        <is>
          <t>A 4134-2023</t>
        </is>
      </c>
      <c r="B5907" s="1" t="n">
        <v>44952</v>
      </c>
      <c r="C5907" s="1" t="n">
        <v>45182</v>
      </c>
      <c r="D5907" t="inlineStr">
        <is>
          <t>JÄMTLANDS LÄN</t>
        </is>
      </c>
      <c r="E5907" t="inlineStr">
        <is>
          <t>ÖSTERSUND</t>
        </is>
      </c>
      <c r="G5907" t="n">
        <v>1.2</v>
      </c>
      <c r="H5907" t="n">
        <v>0</v>
      </c>
      <c r="I5907" t="n">
        <v>0</v>
      </c>
      <c r="J5907" t="n">
        <v>0</v>
      </c>
      <c r="K5907" t="n">
        <v>0</v>
      </c>
      <c r="L5907" t="n">
        <v>0</v>
      </c>
      <c r="M5907" t="n">
        <v>0</v>
      </c>
      <c r="N5907" t="n">
        <v>0</v>
      </c>
      <c r="O5907" t="n">
        <v>0</v>
      </c>
      <c r="P5907" t="n">
        <v>0</v>
      </c>
      <c r="Q5907" t="n">
        <v>0</v>
      </c>
      <c r="R5907" s="2" t="inlineStr"/>
    </row>
    <row r="5908" ht="15" customHeight="1">
      <c r="A5908" t="inlineStr">
        <is>
          <t>A 4537-2023</t>
        </is>
      </c>
      <c r="B5908" s="1" t="n">
        <v>44952</v>
      </c>
      <c r="C5908" s="1" t="n">
        <v>45182</v>
      </c>
      <c r="D5908" t="inlineStr">
        <is>
          <t>JÄMTLANDS LÄN</t>
        </is>
      </c>
      <c r="E5908" t="inlineStr">
        <is>
          <t>STRÖMSUND</t>
        </is>
      </c>
      <c r="G5908" t="n">
        <v>1.3</v>
      </c>
      <c r="H5908" t="n">
        <v>0</v>
      </c>
      <c r="I5908" t="n">
        <v>0</v>
      </c>
      <c r="J5908" t="n">
        <v>0</v>
      </c>
      <c r="K5908" t="n">
        <v>0</v>
      </c>
      <c r="L5908" t="n">
        <v>0</v>
      </c>
      <c r="M5908" t="n">
        <v>0</v>
      </c>
      <c r="N5908" t="n">
        <v>0</v>
      </c>
      <c r="O5908" t="n">
        <v>0</v>
      </c>
      <c r="P5908" t="n">
        <v>0</v>
      </c>
      <c r="Q5908" t="n">
        <v>0</v>
      </c>
      <c r="R5908" s="2" t="inlineStr"/>
    </row>
    <row r="5909" ht="15" customHeight="1">
      <c r="A5909" t="inlineStr">
        <is>
          <t>A 4684-2023</t>
        </is>
      </c>
      <c r="B5909" s="1" t="n">
        <v>44952</v>
      </c>
      <c r="C5909" s="1" t="n">
        <v>45182</v>
      </c>
      <c r="D5909" t="inlineStr">
        <is>
          <t>JÄMTLANDS LÄN</t>
        </is>
      </c>
      <c r="E5909" t="inlineStr">
        <is>
          <t>STRÖMSUND</t>
        </is>
      </c>
      <c r="G5909" t="n">
        <v>24.1</v>
      </c>
      <c r="H5909" t="n">
        <v>0</v>
      </c>
      <c r="I5909" t="n">
        <v>0</v>
      </c>
      <c r="J5909" t="n">
        <v>0</v>
      </c>
      <c r="K5909" t="n">
        <v>0</v>
      </c>
      <c r="L5909" t="n">
        <v>0</v>
      </c>
      <c r="M5909" t="n">
        <v>0</v>
      </c>
      <c r="N5909" t="n">
        <v>0</v>
      </c>
      <c r="O5909" t="n">
        <v>0</v>
      </c>
      <c r="P5909" t="n">
        <v>0</v>
      </c>
      <c r="Q5909" t="n">
        <v>0</v>
      </c>
      <c r="R5909" s="2" t="inlineStr"/>
    </row>
    <row r="5910" ht="15" customHeight="1">
      <c r="A5910" t="inlineStr">
        <is>
          <t>A 4135-2023</t>
        </is>
      </c>
      <c r="B5910" s="1" t="n">
        <v>44952</v>
      </c>
      <c r="C5910" s="1" t="n">
        <v>45182</v>
      </c>
      <c r="D5910" t="inlineStr">
        <is>
          <t>JÄMTLANDS LÄN</t>
        </is>
      </c>
      <c r="E5910" t="inlineStr">
        <is>
          <t>ÖSTERSUND</t>
        </is>
      </c>
      <c r="G5910" t="n">
        <v>1.3</v>
      </c>
      <c r="H5910" t="n">
        <v>0</v>
      </c>
      <c r="I5910" t="n">
        <v>0</v>
      </c>
      <c r="J5910" t="n">
        <v>0</v>
      </c>
      <c r="K5910" t="n">
        <v>0</v>
      </c>
      <c r="L5910" t="n">
        <v>0</v>
      </c>
      <c r="M5910" t="n">
        <v>0</v>
      </c>
      <c r="N5910" t="n">
        <v>0</v>
      </c>
      <c r="O5910" t="n">
        <v>0</v>
      </c>
      <c r="P5910" t="n">
        <v>0</v>
      </c>
      <c r="Q5910" t="n">
        <v>0</v>
      </c>
      <c r="R5910" s="2" t="inlineStr"/>
    </row>
    <row r="5911" ht="15" customHeight="1">
      <c r="A5911" t="inlineStr">
        <is>
          <t>A 4350-2023</t>
        </is>
      </c>
      <c r="B5911" s="1" t="n">
        <v>44953</v>
      </c>
      <c r="C5911" s="1" t="n">
        <v>45182</v>
      </c>
      <c r="D5911" t="inlineStr">
        <is>
          <t>JÄMTLANDS LÄN</t>
        </is>
      </c>
      <c r="E5911" t="inlineStr">
        <is>
          <t>RAGUNDA</t>
        </is>
      </c>
      <c r="F5911" t="inlineStr">
        <is>
          <t>Naturvårdsverket</t>
        </is>
      </c>
      <c r="G5911" t="n">
        <v>10.4</v>
      </c>
      <c r="H5911" t="n">
        <v>0</v>
      </c>
      <c r="I5911" t="n">
        <v>0</v>
      </c>
      <c r="J5911" t="n">
        <v>0</v>
      </c>
      <c r="K5911" t="n">
        <v>0</v>
      </c>
      <c r="L5911" t="n">
        <v>0</v>
      </c>
      <c r="M5911" t="n">
        <v>0</v>
      </c>
      <c r="N5911" t="n">
        <v>0</v>
      </c>
      <c r="O5911" t="n">
        <v>0</v>
      </c>
      <c r="P5911" t="n">
        <v>0</v>
      </c>
      <c r="Q5911" t="n">
        <v>0</v>
      </c>
      <c r="R5911" s="2" t="inlineStr"/>
    </row>
    <row r="5912" ht="15" customHeight="1">
      <c r="A5912" t="inlineStr">
        <is>
          <t>A 4196-2023</t>
        </is>
      </c>
      <c r="B5912" s="1" t="n">
        <v>44953</v>
      </c>
      <c r="C5912" s="1" t="n">
        <v>45182</v>
      </c>
      <c r="D5912" t="inlineStr">
        <is>
          <t>JÄMTLANDS LÄN</t>
        </is>
      </c>
      <c r="E5912" t="inlineStr">
        <is>
          <t>HÄRJEDALEN</t>
        </is>
      </c>
      <c r="G5912" t="n">
        <v>9.800000000000001</v>
      </c>
      <c r="H5912" t="n">
        <v>0</v>
      </c>
      <c r="I5912" t="n">
        <v>0</v>
      </c>
      <c r="J5912" t="n">
        <v>0</v>
      </c>
      <c r="K5912" t="n">
        <v>0</v>
      </c>
      <c r="L5912" t="n">
        <v>0</v>
      </c>
      <c r="M5912" t="n">
        <v>0</v>
      </c>
      <c r="N5912" t="n">
        <v>0</v>
      </c>
      <c r="O5912" t="n">
        <v>0</v>
      </c>
      <c r="P5912" t="n">
        <v>0</v>
      </c>
      <c r="Q5912" t="n">
        <v>0</v>
      </c>
      <c r="R5912" s="2" t="inlineStr"/>
    </row>
    <row r="5913" ht="15" customHeight="1">
      <c r="A5913" t="inlineStr">
        <is>
          <t>A 5197-2023</t>
        </is>
      </c>
      <c r="B5913" s="1" t="n">
        <v>44953</v>
      </c>
      <c r="C5913" s="1" t="n">
        <v>45182</v>
      </c>
      <c r="D5913" t="inlineStr">
        <is>
          <t>JÄMTLANDS LÄN</t>
        </is>
      </c>
      <c r="E5913" t="inlineStr">
        <is>
          <t>ÖSTERSUND</t>
        </is>
      </c>
      <c r="G5913" t="n">
        <v>1.5</v>
      </c>
      <c r="H5913" t="n">
        <v>0</v>
      </c>
      <c r="I5913" t="n">
        <v>0</v>
      </c>
      <c r="J5913" t="n">
        <v>0</v>
      </c>
      <c r="K5913" t="n">
        <v>0</v>
      </c>
      <c r="L5913" t="n">
        <v>0</v>
      </c>
      <c r="M5913" t="n">
        <v>0</v>
      </c>
      <c r="N5913" t="n">
        <v>0</v>
      </c>
      <c r="O5913" t="n">
        <v>0</v>
      </c>
      <c r="P5913" t="n">
        <v>0</v>
      </c>
      <c r="Q5913" t="n">
        <v>0</v>
      </c>
      <c r="R5913" s="2" t="inlineStr"/>
    </row>
    <row r="5914" ht="15" customHeight="1">
      <c r="A5914" t="inlineStr">
        <is>
          <t>A 4348-2023</t>
        </is>
      </c>
      <c r="B5914" s="1" t="n">
        <v>44953</v>
      </c>
      <c r="C5914" s="1" t="n">
        <v>45182</v>
      </c>
      <c r="D5914" t="inlineStr">
        <is>
          <t>JÄMTLANDS LÄN</t>
        </is>
      </c>
      <c r="E5914" t="inlineStr">
        <is>
          <t>RAGUNDA</t>
        </is>
      </c>
      <c r="F5914" t="inlineStr">
        <is>
          <t>SCA</t>
        </is>
      </c>
      <c r="G5914" t="n">
        <v>1.4</v>
      </c>
      <c r="H5914" t="n">
        <v>0</v>
      </c>
      <c r="I5914" t="n">
        <v>0</v>
      </c>
      <c r="J5914" t="n">
        <v>0</v>
      </c>
      <c r="K5914" t="n">
        <v>0</v>
      </c>
      <c r="L5914" t="n">
        <v>0</v>
      </c>
      <c r="M5914" t="n">
        <v>0</v>
      </c>
      <c r="N5914" t="n">
        <v>0</v>
      </c>
      <c r="O5914" t="n">
        <v>0</v>
      </c>
      <c r="P5914" t="n">
        <v>0</v>
      </c>
      <c r="Q5914" t="n">
        <v>0</v>
      </c>
      <c r="R5914" s="2" t="inlineStr"/>
    </row>
    <row r="5915" ht="15" customHeight="1">
      <c r="A5915" t="inlineStr">
        <is>
          <t>A 4365-2023</t>
        </is>
      </c>
      <c r="B5915" s="1" t="n">
        <v>44954</v>
      </c>
      <c r="C5915" s="1" t="n">
        <v>45182</v>
      </c>
      <c r="D5915" t="inlineStr">
        <is>
          <t>JÄMTLANDS LÄN</t>
        </is>
      </c>
      <c r="E5915" t="inlineStr">
        <is>
          <t>BRÄCKE</t>
        </is>
      </c>
      <c r="F5915" t="inlineStr">
        <is>
          <t>SCA</t>
        </is>
      </c>
      <c r="G5915" t="n">
        <v>4.3</v>
      </c>
      <c r="H5915" t="n">
        <v>0</v>
      </c>
      <c r="I5915" t="n">
        <v>0</v>
      </c>
      <c r="J5915" t="n">
        <v>0</v>
      </c>
      <c r="K5915" t="n">
        <v>0</v>
      </c>
      <c r="L5915" t="n">
        <v>0</v>
      </c>
      <c r="M5915" t="n">
        <v>0</v>
      </c>
      <c r="N5915" t="n">
        <v>0</v>
      </c>
      <c r="O5915" t="n">
        <v>0</v>
      </c>
      <c r="P5915" t="n">
        <v>0</v>
      </c>
      <c r="Q5915" t="n">
        <v>0</v>
      </c>
      <c r="R5915" s="2" t="inlineStr"/>
    </row>
    <row r="5916" ht="15" customHeight="1">
      <c r="A5916" t="inlineStr">
        <is>
          <t>A 4381-2023</t>
        </is>
      </c>
      <c r="B5916" s="1" t="n">
        <v>44955</v>
      </c>
      <c r="C5916" s="1" t="n">
        <v>45182</v>
      </c>
      <c r="D5916" t="inlineStr">
        <is>
          <t>JÄMTLANDS LÄN</t>
        </is>
      </c>
      <c r="E5916" t="inlineStr">
        <is>
          <t>BRÄCKE</t>
        </is>
      </c>
      <c r="G5916" t="n">
        <v>2.1</v>
      </c>
      <c r="H5916" t="n">
        <v>0</v>
      </c>
      <c r="I5916" t="n">
        <v>0</v>
      </c>
      <c r="J5916" t="n">
        <v>0</v>
      </c>
      <c r="K5916" t="n">
        <v>0</v>
      </c>
      <c r="L5916" t="n">
        <v>0</v>
      </c>
      <c r="M5916" t="n">
        <v>0</v>
      </c>
      <c r="N5916" t="n">
        <v>0</v>
      </c>
      <c r="O5916" t="n">
        <v>0</v>
      </c>
      <c r="P5916" t="n">
        <v>0</v>
      </c>
      <c r="Q5916" t="n">
        <v>0</v>
      </c>
      <c r="R5916" s="2" t="inlineStr"/>
    </row>
    <row r="5917" ht="15" customHeight="1">
      <c r="A5917" t="inlineStr">
        <is>
          <t>A 4988-2023</t>
        </is>
      </c>
      <c r="B5917" s="1" t="n">
        <v>44956</v>
      </c>
      <c r="C5917" s="1" t="n">
        <v>45182</v>
      </c>
      <c r="D5917" t="inlineStr">
        <is>
          <t>JÄMTLANDS LÄN</t>
        </is>
      </c>
      <c r="E5917" t="inlineStr">
        <is>
          <t>STRÖMSUND</t>
        </is>
      </c>
      <c r="G5917" t="n">
        <v>4.7</v>
      </c>
      <c r="H5917" t="n">
        <v>0</v>
      </c>
      <c r="I5917" t="n">
        <v>0</v>
      </c>
      <c r="J5917" t="n">
        <v>0</v>
      </c>
      <c r="K5917" t="n">
        <v>0</v>
      </c>
      <c r="L5917" t="n">
        <v>0</v>
      </c>
      <c r="M5917" t="n">
        <v>0</v>
      </c>
      <c r="N5917" t="n">
        <v>0</v>
      </c>
      <c r="O5917" t="n">
        <v>0</v>
      </c>
      <c r="P5917" t="n">
        <v>0</v>
      </c>
      <c r="Q5917" t="n">
        <v>0</v>
      </c>
      <c r="R5917" s="2" t="inlineStr"/>
    </row>
    <row r="5918" ht="15" customHeight="1">
      <c r="A5918" t="inlineStr">
        <is>
          <t>A 5043-2023</t>
        </is>
      </c>
      <c r="B5918" s="1" t="n">
        <v>44956</v>
      </c>
      <c r="C5918" s="1" t="n">
        <v>45182</v>
      </c>
      <c r="D5918" t="inlineStr">
        <is>
          <t>JÄMTLANDS LÄN</t>
        </is>
      </c>
      <c r="E5918" t="inlineStr">
        <is>
          <t>ÖSTERSUND</t>
        </is>
      </c>
      <c r="G5918" t="n">
        <v>0.8</v>
      </c>
      <c r="H5918" t="n">
        <v>0</v>
      </c>
      <c r="I5918" t="n">
        <v>0</v>
      </c>
      <c r="J5918" t="n">
        <v>0</v>
      </c>
      <c r="K5918" t="n">
        <v>0</v>
      </c>
      <c r="L5918" t="n">
        <v>0</v>
      </c>
      <c r="M5918" t="n">
        <v>0</v>
      </c>
      <c r="N5918" t="n">
        <v>0</v>
      </c>
      <c r="O5918" t="n">
        <v>0</v>
      </c>
      <c r="P5918" t="n">
        <v>0</v>
      </c>
      <c r="Q5918" t="n">
        <v>0</v>
      </c>
      <c r="R5918" s="2" t="inlineStr"/>
    </row>
    <row r="5919" ht="15" customHeight="1">
      <c r="A5919" t="inlineStr">
        <is>
          <t>A 4622-2023</t>
        </is>
      </c>
      <c r="B5919" s="1" t="n">
        <v>44956</v>
      </c>
      <c r="C5919" s="1" t="n">
        <v>45182</v>
      </c>
      <c r="D5919" t="inlineStr">
        <is>
          <t>JÄMTLANDS LÄN</t>
        </is>
      </c>
      <c r="E5919" t="inlineStr">
        <is>
          <t>RAGUNDA</t>
        </is>
      </c>
      <c r="F5919" t="inlineStr">
        <is>
          <t>Sveaskog</t>
        </is>
      </c>
      <c r="G5919" t="n">
        <v>8.800000000000001</v>
      </c>
      <c r="H5919" t="n">
        <v>0</v>
      </c>
      <c r="I5919" t="n">
        <v>0</v>
      </c>
      <c r="J5919" t="n">
        <v>0</v>
      </c>
      <c r="K5919" t="n">
        <v>0</v>
      </c>
      <c r="L5919" t="n">
        <v>0</v>
      </c>
      <c r="M5919" t="n">
        <v>0</v>
      </c>
      <c r="N5919" t="n">
        <v>0</v>
      </c>
      <c r="O5919" t="n">
        <v>0</v>
      </c>
      <c r="P5919" t="n">
        <v>0</v>
      </c>
      <c r="Q5919" t="n">
        <v>0</v>
      </c>
      <c r="R5919" s="2" t="inlineStr"/>
    </row>
    <row r="5920" ht="15" customHeight="1">
      <c r="A5920" t="inlineStr">
        <is>
          <t>A 4916-2023</t>
        </is>
      </c>
      <c r="B5920" s="1" t="n">
        <v>44956</v>
      </c>
      <c r="C5920" s="1" t="n">
        <v>45182</v>
      </c>
      <c r="D5920" t="inlineStr">
        <is>
          <t>JÄMTLANDS LÄN</t>
        </is>
      </c>
      <c r="E5920" t="inlineStr">
        <is>
          <t>ÖSTERSUND</t>
        </is>
      </c>
      <c r="G5920" t="n">
        <v>1.2</v>
      </c>
      <c r="H5920" t="n">
        <v>0</v>
      </c>
      <c r="I5920" t="n">
        <v>0</v>
      </c>
      <c r="J5920" t="n">
        <v>0</v>
      </c>
      <c r="K5920" t="n">
        <v>0</v>
      </c>
      <c r="L5920" t="n">
        <v>0</v>
      </c>
      <c r="M5920" t="n">
        <v>0</v>
      </c>
      <c r="N5920" t="n">
        <v>0</v>
      </c>
      <c r="O5920" t="n">
        <v>0</v>
      </c>
      <c r="P5920" t="n">
        <v>0</v>
      </c>
      <c r="Q5920" t="n">
        <v>0</v>
      </c>
      <c r="R5920" s="2" t="inlineStr"/>
    </row>
    <row r="5921" ht="15" customHeight="1">
      <c r="A5921" t="inlineStr">
        <is>
          <t>A 4981-2023</t>
        </is>
      </c>
      <c r="B5921" s="1" t="n">
        <v>44956</v>
      </c>
      <c r="C5921" s="1" t="n">
        <v>45182</v>
      </c>
      <c r="D5921" t="inlineStr">
        <is>
          <t>JÄMTLANDS LÄN</t>
        </is>
      </c>
      <c r="E5921" t="inlineStr">
        <is>
          <t>STRÖMSUND</t>
        </is>
      </c>
      <c r="G5921" t="n">
        <v>5.9</v>
      </c>
      <c r="H5921" t="n">
        <v>0</v>
      </c>
      <c r="I5921" t="n">
        <v>0</v>
      </c>
      <c r="J5921" t="n">
        <v>0</v>
      </c>
      <c r="K5921" t="n">
        <v>0</v>
      </c>
      <c r="L5921" t="n">
        <v>0</v>
      </c>
      <c r="M5921" t="n">
        <v>0</v>
      </c>
      <c r="N5921" t="n">
        <v>0</v>
      </c>
      <c r="O5921" t="n">
        <v>0</v>
      </c>
      <c r="P5921" t="n">
        <v>0</v>
      </c>
      <c r="Q5921" t="n">
        <v>0</v>
      </c>
      <c r="R5921" s="2" t="inlineStr"/>
    </row>
    <row r="5922" ht="15" customHeight="1">
      <c r="A5922" t="inlineStr">
        <is>
          <t>A 5004-2023</t>
        </is>
      </c>
      <c r="B5922" s="1" t="n">
        <v>44956</v>
      </c>
      <c r="C5922" s="1" t="n">
        <v>45182</v>
      </c>
      <c r="D5922" t="inlineStr">
        <is>
          <t>JÄMTLANDS LÄN</t>
        </is>
      </c>
      <c r="E5922" t="inlineStr">
        <is>
          <t>BRÄCKE</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4694-2023</t>
        </is>
      </c>
      <c r="B5923" s="1" t="n">
        <v>44957</v>
      </c>
      <c r="C5923" s="1" t="n">
        <v>45182</v>
      </c>
      <c r="D5923" t="inlineStr">
        <is>
          <t>JÄMTLANDS LÄN</t>
        </is>
      </c>
      <c r="E5923" t="inlineStr">
        <is>
          <t>HÄRJEDALEN</t>
        </is>
      </c>
      <c r="F5923" t="inlineStr">
        <is>
          <t>Holmen skog AB</t>
        </is>
      </c>
      <c r="G5923" t="n">
        <v>1.9</v>
      </c>
      <c r="H5923" t="n">
        <v>0</v>
      </c>
      <c r="I5923" t="n">
        <v>0</v>
      </c>
      <c r="J5923" t="n">
        <v>0</v>
      </c>
      <c r="K5923" t="n">
        <v>0</v>
      </c>
      <c r="L5923" t="n">
        <v>0</v>
      </c>
      <c r="M5923" t="n">
        <v>0</v>
      </c>
      <c r="N5923" t="n">
        <v>0</v>
      </c>
      <c r="O5923" t="n">
        <v>0</v>
      </c>
      <c r="P5923" t="n">
        <v>0</v>
      </c>
      <c r="Q5923" t="n">
        <v>0</v>
      </c>
      <c r="R5923" s="2" t="inlineStr"/>
    </row>
    <row r="5924" ht="15" customHeight="1">
      <c r="A5924" t="inlineStr">
        <is>
          <t>A 4872-2023</t>
        </is>
      </c>
      <c r="B5924" s="1" t="n">
        <v>44957</v>
      </c>
      <c r="C5924" s="1" t="n">
        <v>45182</v>
      </c>
      <c r="D5924" t="inlineStr">
        <is>
          <t>JÄMTLANDS LÄN</t>
        </is>
      </c>
      <c r="E5924" t="inlineStr">
        <is>
          <t>ÖSTERSUND</t>
        </is>
      </c>
      <c r="G5924" t="n">
        <v>10.7</v>
      </c>
      <c r="H5924" t="n">
        <v>0</v>
      </c>
      <c r="I5924" t="n">
        <v>0</v>
      </c>
      <c r="J5924" t="n">
        <v>0</v>
      </c>
      <c r="K5924" t="n">
        <v>0</v>
      </c>
      <c r="L5924" t="n">
        <v>0</v>
      </c>
      <c r="M5924" t="n">
        <v>0</v>
      </c>
      <c r="N5924" t="n">
        <v>0</v>
      </c>
      <c r="O5924" t="n">
        <v>0</v>
      </c>
      <c r="P5924" t="n">
        <v>0</v>
      </c>
      <c r="Q5924" t="n">
        <v>0</v>
      </c>
      <c r="R5924" s="2" t="inlineStr"/>
    </row>
    <row r="5925" ht="15" customHeight="1">
      <c r="A5925" t="inlineStr">
        <is>
          <t>A 4879-2023</t>
        </is>
      </c>
      <c r="B5925" s="1" t="n">
        <v>44957</v>
      </c>
      <c r="C5925" s="1" t="n">
        <v>45182</v>
      </c>
      <c r="D5925" t="inlineStr">
        <is>
          <t>JÄMTLANDS LÄN</t>
        </is>
      </c>
      <c r="E5925" t="inlineStr">
        <is>
          <t>RAGUNDA</t>
        </is>
      </c>
      <c r="F5925" t="inlineStr">
        <is>
          <t>SCA</t>
        </is>
      </c>
      <c r="G5925" t="n">
        <v>17.4</v>
      </c>
      <c r="H5925" t="n">
        <v>0</v>
      </c>
      <c r="I5925" t="n">
        <v>0</v>
      </c>
      <c r="J5925" t="n">
        <v>0</v>
      </c>
      <c r="K5925" t="n">
        <v>0</v>
      </c>
      <c r="L5925" t="n">
        <v>0</v>
      </c>
      <c r="M5925" t="n">
        <v>0</v>
      </c>
      <c r="N5925" t="n">
        <v>0</v>
      </c>
      <c r="O5925" t="n">
        <v>0</v>
      </c>
      <c r="P5925" t="n">
        <v>0</v>
      </c>
      <c r="Q5925" t="n">
        <v>0</v>
      </c>
      <c r="R5925" s="2" t="inlineStr"/>
    </row>
    <row r="5926" ht="15" customHeight="1">
      <c r="A5926" t="inlineStr">
        <is>
          <t>A 4711-2023</t>
        </is>
      </c>
      <c r="B5926" s="1" t="n">
        <v>44957</v>
      </c>
      <c r="C5926" s="1" t="n">
        <v>45182</v>
      </c>
      <c r="D5926" t="inlineStr">
        <is>
          <t>JÄMTLANDS LÄN</t>
        </is>
      </c>
      <c r="E5926" t="inlineStr">
        <is>
          <t>HÄRJEDALEN</t>
        </is>
      </c>
      <c r="F5926" t="inlineStr">
        <is>
          <t>Holmen skog AB</t>
        </is>
      </c>
      <c r="G5926" t="n">
        <v>2.3</v>
      </c>
      <c r="H5926" t="n">
        <v>0</v>
      </c>
      <c r="I5926" t="n">
        <v>0</v>
      </c>
      <c r="J5926" t="n">
        <v>0</v>
      </c>
      <c r="K5926" t="n">
        <v>0</v>
      </c>
      <c r="L5926" t="n">
        <v>0</v>
      </c>
      <c r="M5926" t="n">
        <v>0</v>
      </c>
      <c r="N5926" t="n">
        <v>0</v>
      </c>
      <c r="O5926" t="n">
        <v>0</v>
      </c>
      <c r="P5926" t="n">
        <v>0</v>
      </c>
      <c r="Q5926" t="n">
        <v>0</v>
      </c>
      <c r="R5926" s="2" t="inlineStr"/>
    </row>
    <row r="5927" ht="15" customHeight="1">
      <c r="A5927" t="inlineStr">
        <is>
          <t>A 5174-2023</t>
        </is>
      </c>
      <c r="B5927" s="1" t="n">
        <v>44958</v>
      </c>
      <c r="C5927" s="1" t="n">
        <v>45182</v>
      </c>
      <c r="D5927" t="inlineStr">
        <is>
          <t>JÄMTLANDS LÄN</t>
        </is>
      </c>
      <c r="E5927" t="inlineStr">
        <is>
          <t>STRÖMSUND</t>
        </is>
      </c>
      <c r="F5927" t="inlineStr">
        <is>
          <t>SCA</t>
        </is>
      </c>
      <c r="G5927" t="n">
        <v>64.5</v>
      </c>
      <c r="H5927" t="n">
        <v>0</v>
      </c>
      <c r="I5927" t="n">
        <v>0</v>
      </c>
      <c r="J5927" t="n">
        <v>0</v>
      </c>
      <c r="K5927" t="n">
        <v>0</v>
      </c>
      <c r="L5927" t="n">
        <v>0</v>
      </c>
      <c r="M5927" t="n">
        <v>0</v>
      </c>
      <c r="N5927" t="n">
        <v>0</v>
      </c>
      <c r="O5927" t="n">
        <v>0</v>
      </c>
      <c r="P5927" t="n">
        <v>0</v>
      </c>
      <c r="Q5927" t="n">
        <v>0</v>
      </c>
      <c r="R5927" s="2" t="inlineStr"/>
    </row>
    <row r="5928" ht="15" customHeight="1">
      <c r="A5928" t="inlineStr">
        <is>
          <t>A 5654-2023</t>
        </is>
      </c>
      <c r="B5928" s="1" t="n">
        <v>44958</v>
      </c>
      <c r="C5928" s="1" t="n">
        <v>45182</v>
      </c>
      <c r="D5928" t="inlineStr">
        <is>
          <t>JÄMTLANDS LÄN</t>
        </is>
      </c>
      <c r="E5928" t="inlineStr">
        <is>
          <t>ÅRE</t>
        </is>
      </c>
      <c r="G5928" t="n">
        <v>14.4</v>
      </c>
      <c r="H5928" t="n">
        <v>0</v>
      </c>
      <c r="I5928" t="n">
        <v>0</v>
      </c>
      <c r="J5928" t="n">
        <v>0</v>
      </c>
      <c r="K5928" t="n">
        <v>0</v>
      </c>
      <c r="L5928" t="n">
        <v>0</v>
      </c>
      <c r="M5928" t="n">
        <v>0</v>
      </c>
      <c r="N5928" t="n">
        <v>0</v>
      </c>
      <c r="O5928" t="n">
        <v>0</v>
      </c>
      <c r="P5928" t="n">
        <v>0</v>
      </c>
      <c r="Q5928" t="n">
        <v>0</v>
      </c>
      <c r="R5928" s="2" t="inlineStr"/>
    </row>
    <row r="5929" ht="15" customHeight="1">
      <c r="A5929" t="inlineStr">
        <is>
          <t>A 5815-2023</t>
        </is>
      </c>
      <c r="B5929" s="1" t="n">
        <v>44958</v>
      </c>
      <c r="C5929" s="1" t="n">
        <v>45182</v>
      </c>
      <c r="D5929" t="inlineStr">
        <is>
          <t>JÄMTLANDS LÄN</t>
        </is>
      </c>
      <c r="E5929" t="inlineStr">
        <is>
          <t>RAGUNDA</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5013-2023</t>
        </is>
      </c>
      <c r="B5930" s="1" t="n">
        <v>44958</v>
      </c>
      <c r="C5930" s="1" t="n">
        <v>45182</v>
      </c>
      <c r="D5930" t="inlineStr">
        <is>
          <t>JÄMTLANDS LÄN</t>
        </is>
      </c>
      <c r="E5930" t="inlineStr">
        <is>
          <t>HÄRJEDALEN</t>
        </is>
      </c>
      <c r="F5930" t="inlineStr">
        <is>
          <t>Bergvik skog väst AB</t>
        </is>
      </c>
      <c r="G5930" t="n">
        <v>0.2</v>
      </c>
      <c r="H5930" t="n">
        <v>0</v>
      </c>
      <c r="I5930" t="n">
        <v>0</v>
      </c>
      <c r="J5930" t="n">
        <v>0</v>
      </c>
      <c r="K5930" t="n">
        <v>0</v>
      </c>
      <c r="L5930" t="n">
        <v>0</v>
      </c>
      <c r="M5930" t="n">
        <v>0</v>
      </c>
      <c r="N5930" t="n">
        <v>0</v>
      </c>
      <c r="O5930" t="n">
        <v>0</v>
      </c>
      <c r="P5930" t="n">
        <v>0</v>
      </c>
      <c r="Q5930" t="n">
        <v>0</v>
      </c>
      <c r="R5930" s="2" t="inlineStr"/>
    </row>
    <row r="5931" ht="15" customHeight="1">
      <c r="A5931" t="inlineStr">
        <is>
          <t>A 5148-2023</t>
        </is>
      </c>
      <c r="B5931" s="1" t="n">
        <v>44958</v>
      </c>
      <c r="C5931" s="1" t="n">
        <v>45182</v>
      </c>
      <c r="D5931" t="inlineStr">
        <is>
          <t>JÄMTLANDS LÄN</t>
        </is>
      </c>
      <c r="E5931" t="inlineStr">
        <is>
          <t>RAGUNDA</t>
        </is>
      </c>
      <c r="G5931" t="n">
        <v>2.9</v>
      </c>
      <c r="H5931" t="n">
        <v>0</v>
      </c>
      <c r="I5931" t="n">
        <v>0</v>
      </c>
      <c r="J5931" t="n">
        <v>0</v>
      </c>
      <c r="K5931" t="n">
        <v>0</v>
      </c>
      <c r="L5931" t="n">
        <v>0</v>
      </c>
      <c r="M5931" t="n">
        <v>0</v>
      </c>
      <c r="N5931" t="n">
        <v>0</v>
      </c>
      <c r="O5931" t="n">
        <v>0</v>
      </c>
      <c r="P5931" t="n">
        <v>0</v>
      </c>
      <c r="Q5931" t="n">
        <v>0</v>
      </c>
      <c r="R5931" s="2" t="inlineStr"/>
    </row>
    <row r="5932" ht="15" customHeight="1">
      <c r="A5932" t="inlineStr">
        <is>
          <t>A 5611-2023</t>
        </is>
      </c>
      <c r="B5932" s="1" t="n">
        <v>44958</v>
      </c>
      <c r="C5932" s="1" t="n">
        <v>45182</v>
      </c>
      <c r="D5932" t="inlineStr">
        <is>
          <t>JÄMTLANDS LÄN</t>
        </is>
      </c>
      <c r="E5932" t="inlineStr">
        <is>
          <t>ÅRE</t>
        </is>
      </c>
      <c r="G5932" t="n">
        <v>10.5</v>
      </c>
      <c r="H5932" t="n">
        <v>0</v>
      </c>
      <c r="I5932" t="n">
        <v>0</v>
      </c>
      <c r="J5932" t="n">
        <v>0</v>
      </c>
      <c r="K5932" t="n">
        <v>0</v>
      </c>
      <c r="L5932" t="n">
        <v>0</v>
      </c>
      <c r="M5932" t="n">
        <v>0</v>
      </c>
      <c r="N5932" t="n">
        <v>0</v>
      </c>
      <c r="O5932" t="n">
        <v>0</v>
      </c>
      <c r="P5932" t="n">
        <v>0</v>
      </c>
      <c r="Q5932" t="n">
        <v>0</v>
      </c>
      <c r="R5932" s="2" t="inlineStr"/>
    </row>
    <row r="5933" ht="15" customHeight="1">
      <c r="A5933" t="inlineStr">
        <is>
          <t>A 5651-2023</t>
        </is>
      </c>
      <c r="B5933" s="1" t="n">
        <v>44958</v>
      </c>
      <c r="C5933" s="1" t="n">
        <v>45182</v>
      </c>
      <c r="D5933" t="inlineStr">
        <is>
          <t>JÄMTLANDS LÄN</t>
        </is>
      </c>
      <c r="E5933" t="inlineStr">
        <is>
          <t>ÅRE</t>
        </is>
      </c>
      <c r="G5933" t="n">
        <v>5.7</v>
      </c>
      <c r="H5933" t="n">
        <v>0</v>
      </c>
      <c r="I5933" t="n">
        <v>0</v>
      </c>
      <c r="J5933" t="n">
        <v>0</v>
      </c>
      <c r="K5933" t="n">
        <v>0</v>
      </c>
      <c r="L5933" t="n">
        <v>0</v>
      </c>
      <c r="M5933" t="n">
        <v>0</v>
      </c>
      <c r="N5933" t="n">
        <v>0</v>
      </c>
      <c r="O5933" t="n">
        <v>0</v>
      </c>
      <c r="P5933" t="n">
        <v>0</v>
      </c>
      <c r="Q5933" t="n">
        <v>0</v>
      </c>
      <c r="R5933" s="2" t="inlineStr"/>
    </row>
    <row r="5934" ht="15" customHeight="1">
      <c r="A5934" t="inlineStr">
        <is>
          <t>A 5164-2023</t>
        </is>
      </c>
      <c r="B5934" s="1" t="n">
        <v>44958</v>
      </c>
      <c r="C5934" s="1" t="n">
        <v>45182</v>
      </c>
      <c r="D5934" t="inlineStr">
        <is>
          <t>JÄMTLANDS LÄN</t>
        </is>
      </c>
      <c r="E5934" t="inlineStr">
        <is>
          <t>RAGUNDA</t>
        </is>
      </c>
      <c r="F5934" t="inlineStr">
        <is>
          <t>SCA</t>
        </is>
      </c>
      <c r="G5934" t="n">
        <v>9.5</v>
      </c>
      <c r="H5934" t="n">
        <v>0</v>
      </c>
      <c r="I5934" t="n">
        <v>0</v>
      </c>
      <c r="J5934" t="n">
        <v>0</v>
      </c>
      <c r="K5934" t="n">
        <v>0</v>
      </c>
      <c r="L5934" t="n">
        <v>0</v>
      </c>
      <c r="M5934" t="n">
        <v>0</v>
      </c>
      <c r="N5934" t="n">
        <v>0</v>
      </c>
      <c r="O5934" t="n">
        <v>0</v>
      </c>
      <c r="P5934" t="n">
        <v>0</v>
      </c>
      <c r="Q5934" t="n">
        <v>0</v>
      </c>
      <c r="R5934" s="2" t="inlineStr"/>
    </row>
    <row r="5935" ht="15" customHeight="1">
      <c r="A5935" t="inlineStr">
        <is>
          <t>A 5439-2023</t>
        </is>
      </c>
      <c r="B5935" s="1" t="n">
        <v>44959</v>
      </c>
      <c r="C5935" s="1" t="n">
        <v>45182</v>
      </c>
      <c r="D5935" t="inlineStr">
        <is>
          <t>JÄMTLANDS LÄN</t>
        </is>
      </c>
      <c r="E5935" t="inlineStr">
        <is>
          <t>RAGUNDA</t>
        </is>
      </c>
      <c r="G5935" t="n">
        <v>4.3</v>
      </c>
      <c r="H5935" t="n">
        <v>0</v>
      </c>
      <c r="I5935" t="n">
        <v>0</v>
      </c>
      <c r="J5935" t="n">
        <v>0</v>
      </c>
      <c r="K5935" t="n">
        <v>0</v>
      </c>
      <c r="L5935" t="n">
        <v>0</v>
      </c>
      <c r="M5935" t="n">
        <v>0</v>
      </c>
      <c r="N5935" t="n">
        <v>0</v>
      </c>
      <c r="O5935" t="n">
        <v>0</v>
      </c>
      <c r="P5935" t="n">
        <v>0</v>
      </c>
      <c r="Q5935" t="n">
        <v>0</v>
      </c>
      <c r="R5935" s="2" t="inlineStr"/>
    </row>
    <row r="5936" ht="15" customHeight="1">
      <c r="A5936" t="inlineStr">
        <is>
          <t>A 5277-2023</t>
        </is>
      </c>
      <c r="B5936" s="1" t="n">
        <v>44959</v>
      </c>
      <c r="C5936" s="1" t="n">
        <v>45182</v>
      </c>
      <c r="D5936" t="inlineStr">
        <is>
          <t>JÄMTLANDS LÄN</t>
        </is>
      </c>
      <c r="E5936" t="inlineStr">
        <is>
          <t>STRÖMSUND</t>
        </is>
      </c>
      <c r="G5936" t="n">
        <v>0.2</v>
      </c>
      <c r="H5936" t="n">
        <v>0</v>
      </c>
      <c r="I5936" t="n">
        <v>0</v>
      </c>
      <c r="J5936" t="n">
        <v>0</v>
      </c>
      <c r="K5936" t="n">
        <v>0</v>
      </c>
      <c r="L5936" t="n">
        <v>0</v>
      </c>
      <c r="M5936" t="n">
        <v>0</v>
      </c>
      <c r="N5936" t="n">
        <v>0</v>
      </c>
      <c r="O5936" t="n">
        <v>0</v>
      </c>
      <c r="P5936" t="n">
        <v>0</v>
      </c>
      <c r="Q5936" t="n">
        <v>0</v>
      </c>
      <c r="R5936" s="2" t="inlineStr"/>
    </row>
    <row r="5937" ht="15" customHeight="1">
      <c r="A5937" t="inlineStr">
        <is>
          <t>A 5460-2023</t>
        </is>
      </c>
      <c r="B5937" s="1" t="n">
        <v>44960</v>
      </c>
      <c r="C5937" s="1" t="n">
        <v>45182</v>
      </c>
      <c r="D5937" t="inlineStr">
        <is>
          <t>JÄMTLANDS LÄN</t>
        </is>
      </c>
      <c r="E5937" t="inlineStr">
        <is>
          <t>ÅRE</t>
        </is>
      </c>
      <c r="G5937" t="n">
        <v>9.4</v>
      </c>
      <c r="H5937" t="n">
        <v>0</v>
      </c>
      <c r="I5937" t="n">
        <v>0</v>
      </c>
      <c r="J5937" t="n">
        <v>0</v>
      </c>
      <c r="K5937" t="n">
        <v>0</v>
      </c>
      <c r="L5937" t="n">
        <v>0</v>
      </c>
      <c r="M5937" t="n">
        <v>0</v>
      </c>
      <c r="N5937" t="n">
        <v>0</v>
      </c>
      <c r="O5937" t="n">
        <v>0</v>
      </c>
      <c r="P5937" t="n">
        <v>0</v>
      </c>
      <c r="Q5937" t="n">
        <v>0</v>
      </c>
      <c r="R5937" s="2" t="inlineStr"/>
    </row>
    <row r="5938" ht="15" customHeight="1">
      <c r="A5938" t="inlineStr">
        <is>
          <t>A 6267-2023</t>
        </is>
      </c>
      <c r="B5938" s="1" t="n">
        <v>44960</v>
      </c>
      <c r="C5938" s="1" t="n">
        <v>45182</v>
      </c>
      <c r="D5938" t="inlineStr">
        <is>
          <t>JÄMTLANDS LÄN</t>
        </is>
      </c>
      <c r="E5938" t="inlineStr">
        <is>
          <t>STRÖMSUND</t>
        </is>
      </c>
      <c r="G5938" t="n">
        <v>6.8</v>
      </c>
      <c r="H5938" t="n">
        <v>0</v>
      </c>
      <c r="I5938" t="n">
        <v>0</v>
      </c>
      <c r="J5938" t="n">
        <v>0</v>
      </c>
      <c r="K5938" t="n">
        <v>0</v>
      </c>
      <c r="L5938" t="n">
        <v>0</v>
      </c>
      <c r="M5938" t="n">
        <v>0</v>
      </c>
      <c r="N5938" t="n">
        <v>0</v>
      </c>
      <c r="O5938" t="n">
        <v>0</v>
      </c>
      <c r="P5938" t="n">
        <v>0</v>
      </c>
      <c r="Q5938" t="n">
        <v>0</v>
      </c>
      <c r="R5938" s="2" t="inlineStr"/>
    </row>
    <row r="5939" ht="15" customHeight="1">
      <c r="A5939" t="inlineStr">
        <is>
          <t>A 6345-2023</t>
        </is>
      </c>
      <c r="B5939" s="1" t="n">
        <v>44960</v>
      </c>
      <c r="C5939" s="1" t="n">
        <v>45182</v>
      </c>
      <c r="D5939" t="inlineStr">
        <is>
          <t>JÄMTLANDS LÄN</t>
        </is>
      </c>
      <c r="E5939" t="inlineStr">
        <is>
          <t>BRÄCKE</t>
        </is>
      </c>
      <c r="G5939" t="n">
        <v>11.4</v>
      </c>
      <c r="H5939" t="n">
        <v>0</v>
      </c>
      <c r="I5939" t="n">
        <v>0</v>
      </c>
      <c r="J5939" t="n">
        <v>0</v>
      </c>
      <c r="K5939" t="n">
        <v>0</v>
      </c>
      <c r="L5939" t="n">
        <v>0</v>
      </c>
      <c r="M5939" t="n">
        <v>0</v>
      </c>
      <c r="N5939" t="n">
        <v>0</v>
      </c>
      <c r="O5939" t="n">
        <v>0</v>
      </c>
      <c r="P5939" t="n">
        <v>0</v>
      </c>
      <c r="Q5939" t="n">
        <v>0</v>
      </c>
      <c r="R5939" s="2" t="inlineStr"/>
    </row>
    <row r="5940" ht="15" customHeight="1">
      <c r="A5940" t="inlineStr">
        <is>
          <t>A 5722-2023</t>
        </is>
      </c>
      <c r="B5940" s="1" t="n">
        <v>44961</v>
      </c>
      <c r="C5940" s="1" t="n">
        <v>45182</v>
      </c>
      <c r="D5940" t="inlineStr">
        <is>
          <t>JÄMTLANDS LÄN</t>
        </is>
      </c>
      <c r="E5940" t="inlineStr">
        <is>
          <t>KROKOM</t>
        </is>
      </c>
      <c r="G5940" t="n">
        <v>12.3</v>
      </c>
      <c r="H5940" t="n">
        <v>0</v>
      </c>
      <c r="I5940" t="n">
        <v>0</v>
      </c>
      <c r="J5940" t="n">
        <v>0</v>
      </c>
      <c r="K5940" t="n">
        <v>0</v>
      </c>
      <c r="L5940" t="n">
        <v>0</v>
      </c>
      <c r="M5940" t="n">
        <v>0</v>
      </c>
      <c r="N5940" t="n">
        <v>0</v>
      </c>
      <c r="O5940" t="n">
        <v>0</v>
      </c>
      <c r="P5940" t="n">
        <v>0</v>
      </c>
      <c r="Q5940" t="n">
        <v>0</v>
      </c>
      <c r="R5940" s="2" t="inlineStr"/>
    </row>
    <row r="5941" ht="15" customHeight="1">
      <c r="A5941" t="inlineStr">
        <is>
          <t>A 6581-2023</t>
        </is>
      </c>
      <c r="B5941" s="1" t="n">
        <v>44963</v>
      </c>
      <c r="C5941" s="1" t="n">
        <v>45182</v>
      </c>
      <c r="D5941" t="inlineStr">
        <is>
          <t>JÄMTLANDS LÄN</t>
        </is>
      </c>
      <c r="E5941" t="inlineStr">
        <is>
          <t>STRÖMSUND</t>
        </is>
      </c>
      <c r="G5941" t="n">
        <v>2.8</v>
      </c>
      <c r="H5941" t="n">
        <v>0</v>
      </c>
      <c r="I5941" t="n">
        <v>0</v>
      </c>
      <c r="J5941" t="n">
        <v>0</v>
      </c>
      <c r="K5941" t="n">
        <v>0</v>
      </c>
      <c r="L5941" t="n">
        <v>0</v>
      </c>
      <c r="M5941" t="n">
        <v>0</v>
      </c>
      <c r="N5941" t="n">
        <v>0</v>
      </c>
      <c r="O5941" t="n">
        <v>0</v>
      </c>
      <c r="P5941" t="n">
        <v>0</v>
      </c>
      <c r="Q5941" t="n">
        <v>0</v>
      </c>
      <c r="R5941" s="2" t="inlineStr"/>
    </row>
    <row r="5942" ht="15" customHeight="1">
      <c r="A5942" t="inlineStr">
        <is>
          <t>A 6586-2023</t>
        </is>
      </c>
      <c r="B5942" s="1" t="n">
        <v>44963</v>
      </c>
      <c r="C5942" s="1" t="n">
        <v>45182</v>
      </c>
      <c r="D5942" t="inlineStr">
        <is>
          <t>JÄMTLANDS LÄN</t>
        </is>
      </c>
      <c r="E5942" t="inlineStr">
        <is>
          <t>RAGUNDA</t>
        </is>
      </c>
      <c r="G5942" t="n">
        <v>6.9</v>
      </c>
      <c r="H5942" t="n">
        <v>0</v>
      </c>
      <c r="I5942" t="n">
        <v>0</v>
      </c>
      <c r="J5942" t="n">
        <v>0</v>
      </c>
      <c r="K5942" t="n">
        <v>0</v>
      </c>
      <c r="L5942" t="n">
        <v>0</v>
      </c>
      <c r="M5942" t="n">
        <v>0</v>
      </c>
      <c r="N5942" t="n">
        <v>0</v>
      </c>
      <c r="O5942" t="n">
        <v>0</v>
      </c>
      <c r="P5942" t="n">
        <v>0</v>
      </c>
      <c r="Q5942" t="n">
        <v>0</v>
      </c>
      <c r="R5942" s="2" t="inlineStr"/>
    </row>
    <row r="5943" ht="15" customHeight="1">
      <c r="A5943" t="inlineStr">
        <is>
          <t>A 5956-2023</t>
        </is>
      </c>
      <c r="B5943" s="1" t="n">
        <v>44963</v>
      </c>
      <c r="C5943" s="1" t="n">
        <v>45182</v>
      </c>
      <c r="D5943" t="inlineStr">
        <is>
          <t>JÄMTLANDS LÄN</t>
        </is>
      </c>
      <c r="E5943" t="inlineStr">
        <is>
          <t>STRÖMSUND</t>
        </is>
      </c>
      <c r="F5943" t="inlineStr">
        <is>
          <t>SCA</t>
        </is>
      </c>
      <c r="G5943" t="n">
        <v>20.2</v>
      </c>
      <c r="H5943" t="n">
        <v>0</v>
      </c>
      <c r="I5943" t="n">
        <v>0</v>
      </c>
      <c r="J5943" t="n">
        <v>0</v>
      </c>
      <c r="K5943" t="n">
        <v>0</v>
      </c>
      <c r="L5943" t="n">
        <v>0</v>
      </c>
      <c r="M5943" t="n">
        <v>0</v>
      </c>
      <c r="N5943" t="n">
        <v>0</v>
      </c>
      <c r="O5943" t="n">
        <v>0</v>
      </c>
      <c r="P5943" t="n">
        <v>0</v>
      </c>
      <c r="Q5943" t="n">
        <v>0</v>
      </c>
      <c r="R5943" s="2" t="inlineStr"/>
    </row>
    <row r="5944" ht="15" customHeight="1">
      <c r="A5944" t="inlineStr">
        <is>
          <t>A 6583-2023</t>
        </is>
      </c>
      <c r="B5944" s="1" t="n">
        <v>44963</v>
      </c>
      <c r="C5944" s="1" t="n">
        <v>45182</v>
      </c>
      <c r="D5944" t="inlineStr">
        <is>
          <t>JÄMTLANDS LÄN</t>
        </is>
      </c>
      <c r="E5944" t="inlineStr">
        <is>
          <t>STRÖMSUND</t>
        </is>
      </c>
      <c r="G5944" t="n">
        <v>3.3</v>
      </c>
      <c r="H5944" t="n">
        <v>0</v>
      </c>
      <c r="I5944" t="n">
        <v>0</v>
      </c>
      <c r="J5944" t="n">
        <v>0</v>
      </c>
      <c r="K5944" t="n">
        <v>0</v>
      </c>
      <c r="L5944" t="n">
        <v>0</v>
      </c>
      <c r="M5944" t="n">
        <v>0</v>
      </c>
      <c r="N5944" t="n">
        <v>0</v>
      </c>
      <c r="O5944" t="n">
        <v>0</v>
      </c>
      <c r="P5944" t="n">
        <v>0</v>
      </c>
      <c r="Q5944" t="n">
        <v>0</v>
      </c>
      <c r="R5944" s="2" t="inlineStr"/>
    </row>
    <row r="5945" ht="15" customHeight="1">
      <c r="A5945" t="inlineStr">
        <is>
          <t>A 5950-2023</t>
        </is>
      </c>
      <c r="B5945" s="1" t="n">
        <v>44963</v>
      </c>
      <c r="C5945" s="1" t="n">
        <v>45182</v>
      </c>
      <c r="D5945" t="inlineStr">
        <is>
          <t>JÄMTLANDS LÄN</t>
        </is>
      </c>
      <c r="E5945" t="inlineStr">
        <is>
          <t>ÖSTERSUND</t>
        </is>
      </c>
      <c r="F5945" t="inlineStr">
        <is>
          <t>SCA</t>
        </is>
      </c>
      <c r="G5945" t="n">
        <v>3.9</v>
      </c>
      <c r="H5945" t="n">
        <v>0</v>
      </c>
      <c r="I5945" t="n">
        <v>0</v>
      </c>
      <c r="J5945" t="n">
        <v>0</v>
      </c>
      <c r="K5945" t="n">
        <v>0</v>
      </c>
      <c r="L5945" t="n">
        <v>0</v>
      </c>
      <c r="M5945" t="n">
        <v>0</v>
      </c>
      <c r="N5945" t="n">
        <v>0</v>
      </c>
      <c r="O5945" t="n">
        <v>0</v>
      </c>
      <c r="P5945" t="n">
        <v>0</v>
      </c>
      <c r="Q5945" t="n">
        <v>0</v>
      </c>
      <c r="R5945" s="2" t="inlineStr"/>
    </row>
    <row r="5946" ht="15" customHeight="1">
      <c r="A5946" t="inlineStr">
        <is>
          <t>A 5958-2023</t>
        </is>
      </c>
      <c r="B5946" s="1" t="n">
        <v>44963</v>
      </c>
      <c r="C5946" s="1" t="n">
        <v>45182</v>
      </c>
      <c r="D5946" t="inlineStr">
        <is>
          <t>JÄMTLANDS LÄN</t>
        </is>
      </c>
      <c r="E5946" t="inlineStr">
        <is>
          <t>RAGUNDA</t>
        </is>
      </c>
      <c r="F5946" t="inlineStr">
        <is>
          <t>SCA</t>
        </is>
      </c>
      <c r="G5946" t="n">
        <v>2.6</v>
      </c>
      <c r="H5946" t="n">
        <v>0</v>
      </c>
      <c r="I5946" t="n">
        <v>0</v>
      </c>
      <c r="J5946" t="n">
        <v>0</v>
      </c>
      <c r="K5946" t="n">
        <v>0</v>
      </c>
      <c r="L5946" t="n">
        <v>0</v>
      </c>
      <c r="M5946" t="n">
        <v>0</v>
      </c>
      <c r="N5946" t="n">
        <v>0</v>
      </c>
      <c r="O5946" t="n">
        <v>0</v>
      </c>
      <c r="P5946" t="n">
        <v>0</v>
      </c>
      <c r="Q5946" t="n">
        <v>0</v>
      </c>
      <c r="R5946" s="2" t="inlineStr"/>
    </row>
    <row r="5947" ht="15" customHeight="1">
      <c r="A5947" t="inlineStr">
        <is>
          <t>A 6595-2023</t>
        </is>
      </c>
      <c r="B5947" s="1" t="n">
        <v>44963</v>
      </c>
      <c r="C5947" s="1" t="n">
        <v>45182</v>
      </c>
      <c r="D5947" t="inlineStr">
        <is>
          <t>JÄMTLANDS LÄN</t>
        </is>
      </c>
      <c r="E5947" t="inlineStr">
        <is>
          <t>KROKOM</t>
        </is>
      </c>
      <c r="G5947" t="n">
        <v>6.4</v>
      </c>
      <c r="H5947" t="n">
        <v>0</v>
      </c>
      <c r="I5947" t="n">
        <v>0</v>
      </c>
      <c r="J5947" t="n">
        <v>0</v>
      </c>
      <c r="K5947" t="n">
        <v>0</v>
      </c>
      <c r="L5947" t="n">
        <v>0</v>
      </c>
      <c r="M5947" t="n">
        <v>0</v>
      </c>
      <c r="N5947" t="n">
        <v>0</v>
      </c>
      <c r="O5947" t="n">
        <v>0</v>
      </c>
      <c r="P5947" t="n">
        <v>0</v>
      </c>
      <c r="Q5947" t="n">
        <v>0</v>
      </c>
      <c r="R5947" s="2" t="inlineStr"/>
    </row>
    <row r="5948" ht="15" customHeight="1">
      <c r="A5948" t="inlineStr">
        <is>
          <t>A 6001-2023</t>
        </is>
      </c>
      <c r="B5948" s="1" t="n">
        <v>44964</v>
      </c>
      <c r="C5948" s="1" t="n">
        <v>45182</v>
      </c>
      <c r="D5948" t="inlineStr">
        <is>
          <t>JÄMTLANDS LÄN</t>
        </is>
      </c>
      <c r="E5948" t="inlineStr">
        <is>
          <t>HÄRJEDALEN</t>
        </is>
      </c>
      <c r="G5948" t="n">
        <v>1.3</v>
      </c>
      <c r="H5948" t="n">
        <v>0</v>
      </c>
      <c r="I5948" t="n">
        <v>0</v>
      </c>
      <c r="J5948" t="n">
        <v>0</v>
      </c>
      <c r="K5948" t="n">
        <v>0</v>
      </c>
      <c r="L5948" t="n">
        <v>0</v>
      </c>
      <c r="M5948" t="n">
        <v>0</v>
      </c>
      <c r="N5948" t="n">
        <v>0</v>
      </c>
      <c r="O5948" t="n">
        <v>0</v>
      </c>
      <c r="P5948" t="n">
        <v>0</v>
      </c>
      <c r="Q5948" t="n">
        <v>0</v>
      </c>
      <c r="R5948" s="2" t="inlineStr"/>
    </row>
    <row r="5949" ht="15" customHeight="1">
      <c r="A5949" t="inlineStr">
        <is>
          <t>A 6701-2023</t>
        </is>
      </c>
      <c r="B5949" s="1" t="n">
        <v>44964</v>
      </c>
      <c r="C5949" s="1" t="n">
        <v>45182</v>
      </c>
      <c r="D5949" t="inlineStr">
        <is>
          <t>JÄMTLANDS LÄN</t>
        </is>
      </c>
      <c r="E5949" t="inlineStr">
        <is>
          <t>BRÄCKE</t>
        </is>
      </c>
      <c r="G5949" t="n">
        <v>4.5</v>
      </c>
      <c r="H5949" t="n">
        <v>0</v>
      </c>
      <c r="I5949" t="n">
        <v>0</v>
      </c>
      <c r="J5949" t="n">
        <v>0</v>
      </c>
      <c r="K5949" t="n">
        <v>0</v>
      </c>
      <c r="L5949" t="n">
        <v>0</v>
      </c>
      <c r="M5949" t="n">
        <v>0</v>
      </c>
      <c r="N5949" t="n">
        <v>0</v>
      </c>
      <c r="O5949" t="n">
        <v>0</v>
      </c>
      <c r="P5949" t="n">
        <v>0</v>
      </c>
      <c r="Q5949" t="n">
        <v>0</v>
      </c>
      <c r="R5949" s="2" t="inlineStr"/>
    </row>
    <row r="5950" ht="15" customHeight="1">
      <c r="A5950" t="inlineStr">
        <is>
          <t>A 6928-2023</t>
        </is>
      </c>
      <c r="B5950" s="1" t="n">
        <v>44964</v>
      </c>
      <c r="C5950" s="1" t="n">
        <v>45182</v>
      </c>
      <c r="D5950" t="inlineStr">
        <is>
          <t>JÄMTLANDS LÄN</t>
        </is>
      </c>
      <c r="E5950" t="inlineStr">
        <is>
          <t>STRÖMSUND</t>
        </is>
      </c>
      <c r="G5950" t="n">
        <v>8.699999999999999</v>
      </c>
      <c r="H5950" t="n">
        <v>0</v>
      </c>
      <c r="I5950" t="n">
        <v>0</v>
      </c>
      <c r="J5950" t="n">
        <v>0</v>
      </c>
      <c r="K5950" t="n">
        <v>0</v>
      </c>
      <c r="L5950" t="n">
        <v>0</v>
      </c>
      <c r="M5950" t="n">
        <v>0</v>
      </c>
      <c r="N5950" t="n">
        <v>0</v>
      </c>
      <c r="O5950" t="n">
        <v>0</v>
      </c>
      <c r="P5950" t="n">
        <v>0</v>
      </c>
      <c r="Q5950" t="n">
        <v>0</v>
      </c>
      <c r="R5950" s="2" t="inlineStr"/>
    </row>
    <row r="5951" ht="15" customHeight="1">
      <c r="A5951" t="inlineStr">
        <is>
          <t>A 6124-2023</t>
        </is>
      </c>
      <c r="B5951" s="1" t="n">
        <v>44964</v>
      </c>
      <c r="C5951" s="1" t="n">
        <v>45182</v>
      </c>
      <c r="D5951" t="inlineStr">
        <is>
          <t>JÄMTLANDS LÄN</t>
        </is>
      </c>
      <c r="E5951" t="inlineStr">
        <is>
          <t>HÄRJEDALEN</t>
        </is>
      </c>
      <c r="G5951" t="n">
        <v>20</v>
      </c>
      <c r="H5951" t="n">
        <v>0</v>
      </c>
      <c r="I5951" t="n">
        <v>0</v>
      </c>
      <c r="J5951" t="n">
        <v>0</v>
      </c>
      <c r="K5951" t="n">
        <v>0</v>
      </c>
      <c r="L5951" t="n">
        <v>0</v>
      </c>
      <c r="M5951" t="n">
        <v>0</v>
      </c>
      <c r="N5951" t="n">
        <v>0</v>
      </c>
      <c r="O5951" t="n">
        <v>0</v>
      </c>
      <c r="P5951" t="n">
        <v>0</v>
      </c>
      <c r="Q5951" t="n">
        <v>0</v>
      </c>
      <c r="R5951" s="2" t="inlineStr"/>
    </row>
    <row r="5952" ht="15" customHeight="1">
      <c r="A5952" t="inlineStr">
        <is>
          <t>A 6852-2023</t>
        </is>
      </c>
      <c r="B5952" s="1" t="n">
        <v>44964</v>
      </c>
      <c r="C5952" s="1" t="n">
        <v>45182</v>
      </c>
      <c r="D5952" t="inlineStr">
        <is>
          <t>JÄMTLANDS LÄN</t>
        </is>
      </c>
      <c r="E5952" t="inlineStr">
        <is>
          <t>BRÄCKE</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6932-2023</t>
        </is>
      </c>
      <c r="B5953" s="1" t="n">
        <v>44964</v>
      </c>
      <c r="C5953" s="1" t="n">
        <v>45182</v>
      </c>
      <c r="D5953" t="inlineStr">
        <is>
          <t>JÄMTLANDS LÄN</t>
        </is>
      </c>
      <c r="E5953" t="inlineStr">
        <is>
          <t>STRÖMSUND</t>
        </is>
      </c>
      <c r="G5953" t="n">
        <v>3.4</v>
      </c>
      <c r="H5953" t="n">
        <v>0</v>
      </c>
      <c r="I5953" t="n">
        <v>0</v>
      </c>
      <c r="J5953" t="n">
        <v>0</v>
      </c>
      <c r="K5953" t="n">
        <v>0</v>
      </c>
      <c r="L5953" t="n">
        <v>0</v>
      </c>
      <c r="M5953" t="n">
        <v>0</v>
      </c>
      <c r="N5953" t="n">
        <v>0</v>
      </c>
      <c r="O5953" t="n">
        <v>0</v>
      </c>
      <c r="P5953" t="n">
        <v>0</v>
      </c>
      <c r="Q5953" t="n">
        <v>0</v>
      </c>
      <c r="R5953" s="2" t="inlineStr"/>
    </row>
    <row r="5954" ht="15" customHeight="1">
      <c r="A5954" t="inlineStr">
        <is>
          <t>A 6467-2023</t>
        </is>
      </c>
      <c r="B5954" s="1" t="n">
        <v>44965</v>
      </c>
      <c r="C5954" s="1" t="n">
        <v>45182</v>
      </c>
      <c r="D5954" t="inlineStr">
        <is>
          <t>JÄMTLANDS LÄN</t>
        </is>
      </c>
      <c r="E5954" t="inlineStr">
        <is>
          <t>RAGUNDA</t>
        </is>
      </c>
      <c r="F5954" t="inlineStr">
        <is>
          <t>SCA</t>
        </is>
      </c>
      <c r="G5954" t="n">
        <v>4</v>
      </c>
      <c r="H5954" t="n">
        <v>0</v>
      </c>
      <c r="I5954" t="n">
        <v>0</v>
      </c>
      <c r="J5954" t="n">
        <v>0</v>
      </c>
      <c r="K5954" t="n">
        <v>0</v>
      </c>
      <c r="L5954" t="n">
        <v>0</v>
      </c>
      <c r="M5954" t="n">
        <v>0</v>
      </c>
      <c r="N5954" t="n">
        <v>0</v>
      </c>
      <c r="O5954" t="n">
        <v>0</v>
      </c>
      <c r="P5954" t="n">
        <v>0</v>
      </c>
      <c r="Q5954" t="n">
        <v>0</v>
      </c>
      <c r="R5954" s="2" t="inlineStr"/>
    </row>
    <row r="5955" ht="15" customHeight="1">
      <c r="A5955" t="inlineStr">
        <is>
          <t>A 7105-2023</t>
        </is>
      </c>
      <c r="B5955" s="1" t="n">
        <v>44965</v>
      </c>
      <c r="C5955" s="1" t="n">
        <v>45182</v>
      </c>
      <c r="D5955" t="inlineStr">
        <is>
          <t>JÄMTLANDS LÄN</t>
        </is>
      </c>
      <c r="E5955" t="inlineStr">
        <is>
          <t>BERG</t>
        </is>
      </c>
      <c r="G5955" t="n">
        <v>3.2</v>
      </c>
      <c r="H5955" t="n">
        <v>0</v>
      </c>
      <c r="I5955" t="n">
        <v>0</v>
      </c>
      <c r="J5955" t="n">
        <v>0</v>
      </c>
      <c r="K5955" t="n">
        <v>0</v>
      </c>
      <c r="L5955" t="n">
        <v>0</v>
      </c>
      <c r="M5955" t="n">
        <v>0</v>
      </c>
      <c r="N5955" t="n">
        <v>0</v>
      </c>
      <c r="O5955" t="n">
        <v>0</v>
      </c>
      <c r="P5955" t="n">
        <v>0</v>
      </c>
      <c r="Q5955" t="n">
        <v>0</v>
      </c>
      <c r="R5955" s="2" t="inlineStr"/>
    </row>
    <row r="5956" ht="15" customHeight="1">
      <c r="A5956" t="inlineStr">
        <is>
          <t>A 6347-2023</t>
        </is>
      </c>
      <c r="B5956" s="1" t="n">
        <v>44965</v>
      </c>
      <c r="C5956" s="1" t="n">
        <v>45182</v>
      </c>
      <c r="D5956" t="inlineStr">
        <is>
          <t>JÄMTLANDS LÄN</t>
        </is>
      </c>
      <c r="E5956" t="inlineStr">
        <is>
          <t>KROKOM</t>
        </is>
      </c>
      <c r="F5956" t="inlineStr">
        <is>
          <t>Övriga Aktiebolag</t>
        </is>
      </c>
      <c r="G5956" t="n">
        <v>11</v>
      </c>
      <c r="H5956" t="n">
        <v>0</v>
      </c>
      <c r="I5956" t="n">
        <v>0</v>
      </c>
      <c r="J5956" t="n">
        <v>0</v>
      </c>
      <c r="K5956" t="n">
        <v>0</v>
      </c>
      <c r="L5956" t="n">
        <v>0</v>
      </c>
      <c r="M5956" t="n">
        <v>0</v>
      </c>
      <c r="N5956" t="n">
        <v>0</v>
      </c>
      <c r="O5956" t="n">
        <v>0</v>
      </c>
      <c r="P5956" t="n">
        <v>0</v>
      </c>
      <c r="Q5956" t="n">
        <v>0</v>
      </c>
      <c r="R5956" s="2" t="inlineStr"/>
    </row>
    <row r="5957" ht="15" customHeight="1">
      <c r="A5957" t="inlineStr">
        <is>
          <t>A 6455-2023</t>
        </is>
      </c>
      <c r="B5957" s="1" t="n">
        <v>44965</v>
      </c>
      <c r="C5957" s="1" t="n">
        <v>45182</v>
      </c>
      <c r="D5957" t="inlineStr">
        <is>
          <t>JÄMTLANDS LÄN</t>
        </is>
      </c>
      <c r="E5957" t="inlineStr">
        <is>
          <t>STRÖMSUND</t>
        </is>
      </c>
      <c r="F5957" t="inlineStr">
        <is>
          <t>SCA</t>
        </is>
      </c>
      <c r="G5957" t="n">
        <v>74.7</v>
      </c>
      <c r="H5957" t="n">
        <v>0</v>
      </c>
      <c r="I5957" t="n">
        <v>0</v>
      </c>
      <c r="J5957" t="n">
        <v>0</v>
      </c>
      <c r="K5957" t="n">
        <v>0</v>
      </c>
      <c r="L5957" t="n">
        <v>0</v>
      </c>
      <c r="M5957" t="n">
        <v>0</v>
      </c>
      <c r="N5957" t="n">
        <v>0</v>
      </c>
      <c r="O5957" t="n">
        <v>0</v>
      </c>
      <c r="P5957" t="n">
        <v>0</v>
      </c>
      <c r="Q5957" t="n">
        <v>0</v>
      </c>
      <c r="R5957" s="2" t="inlineStr"/>
    </row>
    <row r="5958" ht="15" customHeight="1">
      <c r="A5958" t="inlineStr">
        <is>
          <t>A 7099-2023</t>
        </is>
      </c>
      <c r="B5958" s="1" t="n">
        <v>44965</v>
      </c>
      <c r="C5958" s="1" t="n">
        <v>45182</v>
      </c>
      <c r="D5958" t="inlineStr">
        <is>
          <t>JÄMTLANDS LÄN</t>
        </is>
      </c>
      <c r="E5958" t="inlineStr">
        <is>
          <t>BERG</t>
        </is>
      </c>
      <c r="G5958" t="n">
        <v>2.6</v>
      </c>
      <c r="H5958" t="n">
        <v>0</v>
      </c>
      <c r="I5958" t="n">
        <v>0</v>
      </c>
      <c r="J5958" t="n">
        <v>0</v>
      </c>
      <c r="K5958" t="n">
        <v>0</v>
      </c>
      <c r="L5958" t="n">
        <v>0</v>
      </c>
      <c r="M5958" t="n">
        <v>0</v>
      </c>
      <c r="N5958" t="n">
        <v>0</v>
      </c>
      <c r="O5958" t="n">
        <v>0</v>
      </c>
      <c r="P5958" t="n">
        <v>0</v>
      </c>
      <c r="Q5958" t="n">
        <v>0</v>
      </c>
      <c r="R5958" s="2" t="inlineStr"/>
    </row>
    <row r="5959" ht="15" customHeight="1">
      <c r="A5959" t="inlineStr">
        <is>
          <t>A 7401-2023</t>
        </is>
      </c>
      <c r="B5959" s="1" t="n">
        <v>44966</v>
      </c>
      <c r="C5959" s="1" t="n">
        <v>45182</v>
      </c>
      <c r="D5959" t="inlineStr">
        <is>
          <t>JÄMTLANDS LÄN</t>
        </is>
      </c>
      <c r="E5959" t="inlineStr">
        <is>
          <t>ÅRE</t>
        </is>
      </c>
      <c r="G5959" t="n">
        <v>3.5</v>
      </c>
      <c r="H5959" t="n">
        <v>0</v>
      </c>
      <c r="I5959" t="n">
        <v>0</v>
      </c>
      <c r="J5959" t="n">
        <v>0</v>
      </c>
      <c r="K5959" t="n">
        <v>0</v>
      </c>
      <c r="L5959" t="n">
        <v>0</v>
      </c>
      <c r="M5959" t="n">
        <v>0</v>
      </c>
      <c r="N5959" t="n">
        <v>0</v>
      </c>
      <c r="O5959" t="n">
        <v>0</v>
      </c>
      <c r="P5959" t="n">
        <v>0</v>
      </c>
      <c r="Q5959" t="n">
        <v>0</v>
      </c>
      <c r="R5959" s="2" t="inlineStr"/>
    </row>
    <row r="5960" ht="15" customHeight="1">
      <c r="A5960" t="inlineStr">
        <is>
          <t>A 7463-2023</t>
        </is>
      </c>
      <c r="B5960" s="1" t="n">
        <v>44966</v>
      </c>
      <c r="C5960" s="1" t="n">
        <v>45182</v>
      </c>
      <c r="D5960" t="inlineStr">
        <is>
          <t>JÄMTLANDS LÄN</t>
        </is>
      </c>
      <c r="E5960" t="inlineStr">
        <is>
          <t>BERG</t>
        </is>
      </c>
      <c r="G5960" t="n">
        <v>13.1</v>
      </c>
      <c r="H5960" t="n">
        <v>0</v>
      </c>
      <c r="I5960" t="n">
        <v>0</v>
      </c>
      <c r="J5960" t="n">
        <v>0</v>
      </c>
      <c r="K5960" t="n">
        <v>0</v>
      </c>
      <c r="L5960" t="n">
        <v>0</v>
      </c>
      <c r="M5960" t="n">
        <v>0</v>
      </c>
      <c r="N5960" t="n">
        <v>0</v>
      </c>
      <c r="O5960" t="n">
        <v>0</v>
      </c>
      <c r="P5960" t="n">
        <v>0</v>
      </c>
      <c r="Q5960" t="n">
        <v>0</v>
      </c>
      <c r="R5960" s="2" t="inlineStr"/>
    </row>
    <row r="5961" ht="15" customHeight="1">
      <c r="A5961" t="inlineStr">
        <is>
          <t>A 7483-2023</t>
        </is>
      </c>
      <c r="B5961" s="1" t="n">
        <v>44966</v>
      </c>
      <c r="C5961" s="1" t="n">
        <v>45182</v>
      </c>
      <c r="D5961" t="inlineStr">
        <is>
          <t>JÄMTLANDS LÄN</t>
        </is>
      </c>
      <c r="E5961" t="inlineStr">
        <is>
          <t>BERG</t>
        </is>
      </c>
      <c r="G5961" t="n">
        <v>20.1</v>
      </c>
      <c r="H5961" t="n">
        <v>0</v>
      </c>
      <c r="I5961" t="n">
        <v>0</v>
      </c>
      <c r="J5961" t="n">
        <v>0</v>
      </c>
      <c r="K5961" t="n">
        <v>0</v>
      </c>
      <c r="L5961" t="n">
        <v>0</v>
      </c>
      <c r="M5961" t="n">
        <v>0</v>
      </c>
      <c r="N5961" t="n">
        <v>0</v>
      </c>
      <c r="O5961" t="n">
        <v>0</v>
      </c>
      <c r="P5961" t="n">
        <v>0</v>
      </c>
      <c r="Q5961" t="n">
        <v>0</v>
      </c>
      <c r="R5961" s="2" t="inlineStr"/>
    </row>
    <row r="5962" ht="15" customHeight="1">
      <c r="A5962" t="inlineStr">
        <is>
          <t>A 6774-2023</t>
        </is>
      </c>
      <c r="B5962" s="1" t="n">
        <v>44966</v>
      </c>
      <c r="C5962" s="1" t="n">
        <v>45182</v>
      </c>
      <c r="D5962" t="inlineStr">
        <is>
          <t>JÄMTLANDS LÄN</t>
        </is>
      </c>
      <c r="E5962" t="inlineStr">
        <is>
          <t>STRÖMSUND</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6780-2023</t>
        </is>
      </c>
      <c r="B5963" s="1" t="n">
        <v>44966</v>
      </c>
      <c r="C5963" s="1" t="n">
        <v>45182</v>
      </c>
      <c r="D5963" t="inlineStr">
        <is>
          <t>JÄMTLANDS LÄN</t>
        </is>
      </c>
      <c r="E5963" t="inlineStr">
        <is>
          <t>STRÖMSUND</t>
        </is>
      </c>
      <c r="F5963" t="inlineStr">
        <is>
          <t>SCA</t>
        </is>
      </c>
      <c r="G5963" t="n">
        <v>38.5</v>
      </c>
      <c r="H5963" t="n">
        <v>0</v>
      </c>
      <c r="I5963" t="n">
        <v>0</v>
      </c>
      <c r="J5963" t="n">
        <v>0</v>
      </c>
      <c r="K5963" t="n">
        <v>0</v>
      </c>
      <c r="L5963" t="n">
        <v>0</v>
      </c>
      <c r="M5963" t="n">
        <v>0</v>
      </c>
      <c r="N5963" t="n">
        <v>0</v>
      </c>
      <c r="O5963" t="n">
        <v>0</v>
      </c>
      <c r="P5963" t="n">
        <v>0</v>
      </c>
      <c r="Q5963" t="n">
        <v>0</v>
      </c>
      <c r="R5963" s="2" t="inlineStr"/>
    </row>
    <row r="5964" ht="15" customHeight="1">
      <c r="A5964" t="inlineStr">
        <is>
          <t>A 7373-2023</t>
        </is>
      </c>
      <c r="B5964" s="1" t="n">
        <v>44966</v>
      </c>
      <c r="C5964" s="1" t="n">
        <v>45182</v>
      </c>
      <c r="D5964" t="inlineStr">
        <is>
          <t>JÄMTLANDS LÄN</t>
        </is>
      </c>
      <c r="E5964" t="inlineStr">
        <is>
          <t>KROKOM</t>
        </is>
      </c>
      <c r="G5964" t="n">
        <v>4.5</v>
      </c>
      <c r="H5964" t="n">
        <v>0</v>
      </c>
      <c r="I5964" t="n">
        <v>0</v>
      </c>
      <c r="J5964" t="n">
        <v>0</v>
      </c>
      <c r="K5964" t="n">
        <v>0</v>
      </c>
      <c r="L5964" t="n">
        <v>0</v>
      </c>
      <c r="M5964" t="n">
        <v>0</v>
      </c>
      <c r="N5964" t="n">
        <v>0</v>
      </c>
      <c r="O5964" t="n">
        <v>0</v>
      </c>
      <c r="P5964" t="n">
        <v>0</v>
      </c>
      <c r="Q5964" t="n">
        <v>0</v>
      </c>
      <c r="R5964" s="2" t="inlineStr"/>
    </row>
    <row r="5965" ht="15" customHeight="1">
      <c r="A5965" t="inlineStr">
        <is>
          <t>A 6802-2023</t>
        </is>
      </c>
      <c r="B5965" s="1" t="n">
        <v>44966</v>
      </c>
      <c r="C5965" s="1" t="n">
        <v>45182</v>
      </c>
      <c r="D5965" t="inlineStr">
        <is>
          <t>JÄMTLANDS LÄN</t>
        </is>
      </c>
      <c r="E5965" t="inlineStr">
        <is>
          <t>RAGUNDA</t>
        </is>
      </c>
      <c r="F5965" t="inlineStr">
        <is>
          <t>SCA</t>
        </is>
      </c>
      <c r="G5965" t="n">
        <v>4.1</v>
      </c>
      <c r="H5965" t="n">
        <v>0</v>
      </c>
      <c r="I5965" t="n">
        <v>0</v>
      </c>
      <c r="J5965" t="n">
        <v>0</v>
      </c>
      <c r="K5965" t="n">
        <v>0</v>
      </c>
      <c r="L5965" t="n">
        <v>0</v>
      </c>
      <c r="M5965" t="n">
        <v>0</v>
      </c>
      <c r="N5965" t="n">
        <v>0</v>
      </c>
      <c r="O5965" t="n">
        <v>0</v>
      </c>
      <c r="P5965" t="n">
        <v>0</v>
      </c>
      <c r="Q5965" t="n">
        <v>0</v>
      </c>
      <c r="R5965" s="2" t="inlineStr"/>
    </row>
    <row r="5966" ht="15" customHeight="1">
      <c r="A5966" t="inlineStr">
        <is>
          <t>A 7488-2023</t>
        </is>
      </c>
      <c r="B5966" s="1" t="n">
        <v>44966</v>
      </c>
      <c r="C5966" s="1" t="n">
        <v>45182</v>
      </c>
      <c r="D5966" t="inlineStr">
        <is>
          <t>JÄMTLANDS LÄN</t>
        </is>
      </c>
      <c r="E5966" t="inlineStr">
        <is>
          <t>BERG</t>
        </is>
      </c>
      <c r="G5966" t="n">
        <v>19.5</v>
      </c>
      <c r="H5966" t="n">
        <v>0</v>
      </c>
      <c r="I5966" t="n">
        <v>0</v>
      </c>
      <c r="J5966" t="n">
        <v>0</v>
      </c>
      <c r="K5966" t="n">
        <v>0</v>
      </c>
      <c r="L5966" t="n">
        <v>0</v>
      </c>
      <c r="M5966" t="n">
        <v>0</v>
      </c>
      <c r="N5966" t="n">
        <v>0</v>
      </c>
      <c r="O5966" t="n">
        <v>0</v>
      </c>
      <c r="P5966" t="n">
        <v>0</v>
      </c>
      <c r="Q5966" t="n">
        <v>0</v>
      </c>
      <c r="R5966" s="2" t="inlineStr"/>
    </row>
    <row r="5967" ht="15" customHeight="1">
      <c r="A5967" t="inlineStr">
        <is>
          <t>A 7371-2023</t>
        </is>
      </c>
      <c r="B5967" s="1" t="n">
        <v>44966</v>
      </c>
      <c r="C5967" s="1" t="n">
        <v>45182</v>
      </c>
      <c r="D5967" t="inlineStr">
        <is>
          <t>JÄMTLANDS LÄN</t>
        </is>
      </c>
      <c r="E5967" t="inlineStr">
        <is>
          <t>KROKOM</t>
        </is>
      </c>
      <c r="G5967" t="n">
        <v>5</v>
      </c>
      <c r="H5967" t="n">
        <v>0</v>
      </c>
      <c r="I5967" t="n">
        <v>0</v>
      </c>
      <c r="J5967" t="n">
        <v>0</v>
      </c>
      <c r="K5967" t="n">
        <v>0</v>
      </c>
      <c r="L5967" t="n">
        <v>0</v>
      </c>
      <c r="M5967" t="n">
        <v>0</v>
      </c>
      <c r="N5967" t="n">
        <v>0</v>
      </c>
      <c r="O5967" t="n">
        <v>0</v>
      </c>
      <c r="P5967" t="n">
        <v>0</v>
      </c>
      <c r="Q5967" t="n">
        <v>0</v>
      </c>
      <c r="R5967" s="2" t="inlineStr"/>
    </row>
    <row r="5968" ht="15" customHeight="1">
      <c r="A5968" t="inlineStr">
        <is>
          <t>A 7489-2023</t>
        </is>
      </c>
      <c r="B5968" s="1" t="n">
        <v>44966</v>
      </c>
      <c r="C5968" s="1" t="n">
        <v>45182</v>
      </c>
      <c r="D5968" t="inlineStr">
        <is>
          <t>JÄMTLANDS LÄN</t>
        </is>
      </c>
      <c r="E5968" t="inlineStr">
        <is>
          <t>STRÖMSUND</t>
        </is>
      </c>
      <c r="G5968" t="n">
        <v>2.2</v>
      </c>
      <c r="H5968" t="n">
        <v>0</v>
      </c>
      <c r="I5968" t="n">
        <v>0</v>
      </c>
      <c r="J5968" t="n">
        <v>0</v>
      </c>
      <c r="K5968" t="n">
        <v>0</v>
      </c>
      <c r="L5968" t="n">
        <v>0</v>
      </c>
      <c r="M5968" t="n">
        <v>0</v>
      </c>
      <c r="N5968" t="n">
        <v>0</v>
      </c>
      <c r="O5968" t="n">
        <v>0</v>
      </c>
      <c r="P5968" t="n">
        <v>0</v>
      </c>
      <c r="Q5968" t="n">
        <v>0</v>
      </c>
      <c r="R5968" s="2" t="inlineStr"/>
    </row>
    <row r="5969" ht="15" customHeight="1">
      <c r="A5969" t="inlineStr">
        <is>
          <t>A 6782-2023</t>
        </is>
      </c>
      <c r="B5969" s="1" t="n">
        <v>44966</v>
      </c>
      <c r="C5969" s="1" t="n">
        <v>45182</v>
      </c>
      <c r="D5969" t="inlineStr">
        <is>
          <t>JÄMTLANDS LÄN</t>
        </is>
      </c>
      <c r="E5969" t="inlineStr">
        <is>
          <t>ÖSTERSUND</t>
        </is>
      </c>
      <c r="F5969" t="inlineStr">
        <is>
          <t>SCA</t>
        </is>
      </c>
      <c r="G5969" t="n">
        <v>2</v>
      </c>
      <c r="H5969" t="n">
        <v>0</v>
      </c>
      <c r="I5969" t="n">
        <v>0</v>
      </c>
      <c r="J5969" t="n">
        <v>0</v>
      </c>
      <c r="K5969" t="n">
        <v>0</v>
      </c>
      <c r="L5969" t="n">
        <v>0</v>
      </c>
      <c r="M5969" t="n">
        <v>0</v>
      </c>
      <c r="N5969" t="n">
        <v>0</v>
      </c>
      <c r="O5969" t="n">
        <v>0</v>
      </c>
      <c r="P5969" t="n">
        <v>0</v>
      </c>
      <c r="Q5969" t="n">
        <v>0</v>
      </c>
      <c r="R5969" s="2" t="inlineStr"/>
    </row>
    <row r="5970" ht="15" customHeight="1">
      <c r="A5970" t="inlineStr">
        <is>
          <t>A 6800-2023</t>
        </is>
      </c>
      <c r="B5970" s="1" t="n">
        <v>44966</v>
      </c>
      <c r="C5970" s="1" t="n">
        <v>45182</v>
      </c>
      <c r="D5970" t="inlineStr">
        <is>
          <t>JÄMTLANDS LÄN</t>
        </is>
      </c>
      <c r="E5970" t="inlineStr">
        <is>
          <t>RAGUNDA</t>
        </is>
      </c>
      <c r="F5970" t="inlineStr">
        <is>
          <t>SCA</t>
        </is>
      </c>
      <c r="G5970" t="n">
        <v>5.6</v>
      </c>
      <c r="H5970" t="n">
        <v>0</v>
      </c>
      <c r="I5970" t="n">
        <v>0</v>
      </c>
      <c r="J5970" t="n">
        <v>0</v>
      </c>
      <c r="K5970" t="n">
        <v>0</v>
      </c>
      <c r="L5970" t="n">
        <v>0</v>
      </c>
      <c r="M5970" t="n">
        <v>0</v>
      </c>
      <c r="N5970" t="n">
        <v>0</v>
      </c>
      <c r="O5970" t="n">
        <v>0</v>
      </c>
      <c r="P5970" t="n">
        <v>0</v>
      </c>
      <c r="Q5970" t="n">
        <v>0</v>
      </c>
      <c r="R5970" s="2" t="inlineStr"/>
    </row>
    <row r="5971" ht="15" customHeight="1">
      <c r="A5971" t="inlineStr">
        <is>
          <t>A 7496-2023</t>
        </is>
      </c>
      <c r="B5971" s="1" t="n">
        <v>44967</v>
      </c>
      <c r="C5971" s="1" t="n">
        <v>45182</v>
      </c>
      <c r="D5971" t="inlineStr">
        <is>
          <t>JÄMTLANDS LÄN</t>
        </is>
      </c>
      <c r="E5971" t="inlineStr">
        <is>
          <t>ÅRE</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7573-2023</t>
        </is>
      </c>
      <c r="B5972" s="1" t="n">
        <v>44967</v>
      </c>
      <c r="C5972" s="1" t="n">
        <v>45182</v>
      </c>
      <c r="D5972" t="inlineStr">
        <is>
          <t>JÄMTLANDS LÄN</t>
        </is>
      </c>
      <c r="E5972" t="inlineStr">
        <is>
          <t>ÅRE</t>
        </is>
      </c>
      <c r="G5972" t="n">
        <v>7</v>
      </c>
      <c r="H5972" t="n">
        <v>0</v>
      </c>
      <c r="I5972" t="n">
        <v>0</v>
      </c>
      <c r="J5972" t="n">
        <v>0</v>
      </c>
      <c r="K5972" t="n">
        <v>0</v>
      </c>
      <c r="L5972" t="n">
        <v>0</v>
      </c>
      <c r="M5972" t="n">
        <v>0</v>
      </c>
      <c r="N5972" t="n">
        <v>0</v>
      </c>
      <c r="O5972" t="n">
        <v>0</v>
      </c>
      <c r="P5972" t="n">
        <v>0</v>
      </c>
      <c r="Q5972" t="n">
        <v>0</v>
      </c>
      <c r="R5972" s="2" t="inlineStr"/>
    </row>
    <row r="5973" ht="15" customHeight="1">
      <c r="A5973" t="inlineStr">
        <is>
          <t>A 7015-2023</t>
        </is>
      </c>
      <c r="B5973" s="1" t="n">
        <v>44967</v>
      </c>
      <c r="C5973" s="1" t="n">
        <v>45182</v>
      </c>
      <c r="D5973" t="inlineStr">
        <is>
          <t>JÄMTLANDS LÄN</t>
        </is>
      </c>
      <c r="E5973" t="inlineStr">
        <is>
          <t>STRÖMSUND</t>
        </is>
      </c>
      <c r="F5973" t="inlineStr">
        <is>
          <t>SCA</t>
        </is>
      </c>
      <c r="G5973" t="n">
        <v>12.4</v>
      </c>
      <c r="H5973" t="n">
        <v>0</v>
      </c>
      <c r="I5973" t="n">
        <v>0</v>
      </c>
      <c r="J5973" t="n">
        <v>0</v>
      </c>
      <c r="K5973" t="n">
        <v>0</v>
      </c>
      <c r="L5973" t="n">
        <v>0</v>
      </c>
      <c r="M5973" t="n">
        <v>0</v>
      </c>
      <c r="N5973" t="n">
        <v>0</v>
      </c>
      <c r="O5973" t="n">
        <v>0</v>
      </c>
      <c r="P5973" t="n">
        <v>0</v>
      </c>
      <c r="Q5973" t="n">
        <v>0</v>
      </c>
      <c r="R5973" s="2" t="inlineStr"/>
    </row>
    <row r="5974" ht="15" customHeight="1">
      <c r="A5974" t="inlineStr">
        <is>
          <t>A 7020-2023</t>
        </is>
      </c>
      <c r="B5974" s="1" t="n">
        <v>44967</v>
      </c>
      <c r="C5974" s="1" t="n">
        <v>45182</v>
      </c>
      <c r="D5974" t="inlineStr">
        <is>
          <t>JÄMTLANDS LÄN</t>
        </is>
      </c>
      <c r="E5974" t="inlineStr">
        <is>
          <t>STRÖMSUND</t>
        </is>
      </c>
      <c r="F5974" t="inlineStr">
        <is>
          <t>SCA</t>
        </is>
      </c>
      <c r="G5974" t="n">
        <v>33.9</v>
      </c>
      <c r="H5974" t="n">
        <v>0</v>
      </c>
      <c r="I5974" t="n">
        <v>0</v>
      </c>
      <c r="J5974" t="n">
        <v>0</v>
      </c>
      <c r="K5974" t="n">
        <v>0</v>
      </c>
      <c r="L5974" t="n">
        <v>0</v>
      </c>
      <c r="M5974" t="n">
        <v>0</v>
      </c>
      <c r="N5974" t="n">
        <v>0</v>
      </c>
      <c r="O5974" t="n">
        <v>0</v>
      </c>
      <c r="P5974" t="n">
        <v>0</v>
      </c>
      <c r="Q5974" t="n">
        <v>0</v>
      </c>
      <c r="R5974" s="2" t="inlineStr"/>
    </row>
    <row r="5975" ht="15" customHeight="1">
      <c r="A5975" t="inlineStr">
        <is>
          <t>A 6870-2023</t>
        </is>
      </c>
      <c r="B5975" s="1" t="n">
        <v>44967</v>
      </c>
      <c r="C5975" s="1" t="n">
        <v>45182</v>
      </c>
      <c r="D5975" t="inlineStr">
        <is>
          <t>JÄMTLANDS LÄN</t>
        </is>
      </c>
      <c r="E5975" t="inlineStr">
        <is>
          <t>BRÄCKE</t>
        </is>
      </c>
      <c r="F5975" t="inlineStr">
        <is>
          <t>Övriga Aktiebolag</t>
        </is>
      </c>
      <c r="G5975" t="n">
        <v>7.8</v>
      </c>
      <c r="H5975" t="n">
        <v>0</v>
      </c>
      <c r="I5975" t="n">
        <v>0</v>
      </c>
      <c r="J5975" t="n">
        <v>0</v>
      </c>
      <c r="K5975" t="n">
        <v>0</v>
      </c>
      <c r="L5975" t="n">
        <v>0</v>
      </c>
      <c r="M5975" t="n">
        <v>0</v>
      </c>
      <c r="N5975" t="n">
        <v>0</v>
      </c>
      <c r="O5975" t="n">
        <v>0</v>
      </c>
      <c r="P5975" t="n">
        <v>0</v>
      </c>
      <c r="Q5975" t="n">
        <v>0</v>
      </c>
      <c r="R5975" s="2" t="inlineStr"/>
    </row>
    <row r="5976" ht="15" customHeight="1">
      <c r="A5976" t="inlineStr">
        <is>
          <t>A 7021-2023</t>
        </is>
      </c>
      <c r="B5976" s="1" t="n">
        <v>44967</v>
      </c>
      <c r="C5976" s="1" t="n">
        <v>45182</v>
      </c>
      <c r="D5976" t="inlineStr">
        <is>
          <t>JÄMTLANDS LÄN</t>
        </is>
      </c>
      <c r="E5976" t="inlineStr">
        <is>
          <t>RAGUNDA</t>
        </is>
      </c>
      <c r="F5976" t="inlineStr">
        <is>
          <t>SCA</t>
        </is>
      </c>
      <c r="G5976" t="n">
        <v>3.9</v>
      </c>
      <c r="H5976" t="n">
        <v>0</v>
      </c>
      <c r="I5976" t="n">
        <v>0</v>
      </c>
      <c r="J5976" t="n">
        <v>0</v>
      </c>
      <c r="K5976" t="n">
        <v>0</v>
      </c>
      <c r="L5976" t="n">
        <v>0</v>
      </c>
      <c r="M5976" t="n">
        <v>0</v>
      </c>
      <c r="N5976" t="n">
        <v>0</v>
      </c>
      <c r="O5976" t="n">
        <v>0</v>
      </c>
      <c r="P5976" t="n">
        <v>0</v>
      </c>
      <c r="Q5976" t="n">
        <v>0</v>
      </c>
      <c r="R5976" s="2" t="inlineStr"/>
    </row>
    <row r="5977" ht="15" customHeight="1">
      <c r="A5977" t="inlineStr">
        <is>
          <t>A 7672-2023</t>
        </is>
      </c>
      <c r="B5977" s="1" t="n">
        <v>44967</v>
      </c>
      <c r="C5977" s="1" t="n">
        <v>45182</v>
      </c>
      <c r="D5977" t="inlineStr">
        <is>
          <t>JÄMTLANDS LÄN</t>
        </is>
      </c>
      <c r="E5977" t="inlineStr">
        <is>
          <t>BERG</t>
        </is>
      </c>
      <c r="G5977" t="n">
        <v>13.1</v>
      </c>
      <c r="H5977" t="n">
        <v>0</v>
      </c>
      <c r="I5977" t="n">
        <v>0</v>
      </c>
      <c r="J5977" t="n">
        <v>0</v>
      </c>
      <c r="K5977" t="n">
        <v>0</v>
      </c>
      <c r="L5977" t="n">
        <v>0</v>
      </c>
      <c r="M5977" t="n">
        <v>0</v>
      </c>
      <c r="N5977" t="n">
        <v>0</v>
      </c>
      <c r="O5977" t="n">
        <v>0</v>
      </c>
      <c r="P5977" t="n">
        <v>0</v>
      </c>
      <c r="Q5977" t="n">
        <v>0</v>
      </c>
      <c r="R5977" s="2" t="inlineStr"/>
    </row>
    <row r="5978" ht="15" customHeight="1">
      <c r="A5978" t="inlineStr">
        <is>
          <t>A 7970-2023</t>
        </is>
      </c>
      <c r="B5978" s="1" t="n">
        <v>44970</v>
      </c>
      <c r="C5978" s="1" t="n">
        <v>45182</v>
      </c>
      <c r="D5978" t="inlineStr">
        <is>
          <t>JÄMTLANDS LÄN</t>
        </is>
      </c>
      <c r="E5978" t="inlineStr">
        <is>
          <t>ÅRE</t>
        </is>
      </c>
      <c r="G5978" t="n">
        <v>3.5</v>
      </c>
      <c r="H5978" t="n">
        <v>0</v>
      </c>
      <c r="I5978" t="n">
        <v>0</v>
      </c>
      <c r="J5978" t="n">
        <v>0</v>
      </c>
      <c r="K5978" t="n">
        <v>0</v>
      </c>
      <c r="L5978" t="n">
        <v>0</v>
      </c>
      <c r="M5978" t="n">
        <v>0</v>
      </c>
      <c r="N5978" t="n">
        <v>0</v>
      </c>
      <c r="O5978" t="n">
        <v>0</v>
      </c>
      <c r="P5978" t="n">
        <v>0</v>
      </c>
      <c r="Q5978" t="n">
        <v>0</v>
      </c>
      <c r="R5978" s="2" t="inlineStr"/>
    </row>
    <row r="5979" ht="15" customHeight="1">
      <c r="A5979" t="inlineStr">
        <is>
          <t>A 7952-2023</t>
        </is>
      </c>
      <c r="B5979" s="1" t="n">
        <v>44970</v>
      </c>
      <c r="C5979" s="1" t="n">
        <v>45182</v>
      </c>
      <c r="D5979" t="inlineStr">
        <is>
          <t>JÄMTLANDS LÄN</t>
        </is>
      </c>
      <c r="E5979" t="inlineStr">
        <is>
          <t>KROKOM</t>
        </is>
      </c>
      <c r="G5979" t="n">
        <v>4.8</v>
      </c>
      <c r="H5979" t="n">
        <v>0</v>
      </c>
      <c r="I5979" t="n">
        <v>0</v>
      </c>
      <c r="J5979" t="n">
        <v>0</v>
      </c>
      <c r="K5979" t="n">
        <v>0</v>
      </c>
      <c r="L5979" t="n">
        <v>0</v>
      </c>
      <c r="M5979" t="n">
        <v>0</v>
      </c>
      <c r="N5979" t="n">
        <v>0</v>
      </c>
      <c r="O5979" t="n">
        <v>0</v>
      </c>
      <c r="P5979" t="n">
        <v>0</v>
      </c>
      <c r="Q5979" t="n">
        <v>0</v>
      </c>
      <c r="R5979" s="2" t="inlineStr"/>
    </row>
    <row r="5980" ht="15" customHeight="1">
      <c r="A5980" t="inlineStr">
        <is>
          <t>A 7962-2023</t>
        </is>
      </c>
      <c r="B5980" s="1" t="n">
        <v>44970</v>
      </c>
      <c r="C5980" s="1" t="n">
        <v>45182</v>
      </c>
      <c r="D5980" t="inlineStr">
        <is>
          <t>JÄMTLANDS LÄN</t>
        </is>
      </c>
      <c r="E5980" t="inlineStr">
        <is>
          <t>KROKOM</t>
        </is>
      </c>
      <c r="G5980" t="n">
        <v>12.2</v>
      </c>
      <c r="H5980" t="n">
        <v>0</v>
      </c>
      <c r="I5980" t="n">
        <v>0</v>
      </c>
      <c r="J5980" t="n">
        <v>0</v>
      </c>
      <c r="K5980" t="n">
        <v>0</v>
      </c>
      <c r="L5980" t="n">
        <v>0</v>
      </c>
      <c r="M5980" t="n">
        <v>0</v>
      </c>
      <c r="N5980" t="n">
        <v>0</v>
      </c>
      <c r="O5980" t="n">
        <v>0</v>
      </c>
      <c r="P5980" t="n">
        <v>0</v>
      </c>
      <c r="Q5980" t="n">
        <v>0</v>
      </c>
      <c r="R5980" s="2" t="inlineStr"/>
    </row>
    <row r="5981" ht="15" customHeight="1">
      <c r="A5981" t="inlineStr">
        <is>
          <t>A 7977-2023</t>
        </is>
      </c>
      <c r="B5981" s="1" t="n">
        <v>44970</v>
      </c>
      <c r="C5981" s="1" t="n">
        <v>45182</v>
      </c>
      <c r="D5981" t="inlineStr">
        <is>
          <t>JÄMTLANDS LÄN</t>
        </is>
      </c>
      <c r="E5981" t="inlineStr">
        <is>
          <t>ÅRE</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7929-2023</t>
        </is>
      </c>
      <c r="B5982" s="1" t="n">
        <v>44970</v>
      </c>
      <c r="C5982" s="1" t="n">
        <v>45182</v>
      </c>
      <c r="D5982" t="inlineStr">
        <is>
          <t>JÄMTLANDS LÄN</t>
        </is>
      </c>
      <c r="E5982" t="inlineStr">
        <is>
          <t>STRÖMSUND</t>
        </is>
      </c>
      <c r="F5982" t="inlineStr">
        <is>
          <t>Kommuner</t>
        </is>
      </c>
      <c r="G5982" t="n">
        <v>2.2</v>
      </c>
      <c r="H5982" t="n">
        <v>0</v>
      </c>
      <c r="I5982" t="n">
        <v>0</v>
      </c>
      <c r="J5982" t="n">
        <v>0</v>
      </c>
      <c r="K5982" t="n">
        <v>0</v>
      </c>
      <c r="L5982" t="n">
        <v>0</v>
      </c>
      <c r="M5982" t="n">
        <v>0</v>
      </c>
      <c r="N5982" t="n">
        <v>0</v>
      </c>
      <c r="O5982" t="n">
        <v>0</v>
      </c>
      <c r="P5982" t="n">
        <v>0</v>
      </c>
      <c r="Q5982" t="n">
        <v>0</v>
      </c>
      <c r="R5982" s="2" t="inlineStr"/>
    </row>
    <row r="5983" ht="15" customHeight="1">
      <c r="A5983" t="inlineStr">
        <is>
          <t>A 7983-2023</t>
        </is>
      </c>
      <c r="B5983" s="1" t="n">
        <v>44970</v>
      </c>
      <c r="C5983" s="1" t="n">
        <v>45182</v>
      </c>
      <c r="D5983" t="inlineStr">
        <is>
          <t>JÄMTLANDS LÄN</t>
        </is>
      </c>
      <c r="E5983" t="inlineStr">
        <is>
          <t>ÖSTERSUND</t>
        </is>
      </c>
      <c r="G5983" t="n">
        <v>1.8</v>
      </c>
      <c r="H5983" t="n">
        <v>0</v>
      </c>
      <c r="I5983" t="n">
        <v>0</v>
      </c>
      <c r="J5983" t="n">
        <v>0</v>
      </c>
      <c r="K5983" t="n">
        <v>0</v>
      </c>
      <c r="L5983" t="n">
        <v>0</v>
      </c>
      <c r="M5983" t="n">
        <v>0</v>
      </c>
      <c r="N5983" t="n">
        <v>0</v>
      </c>
      <c r="O5983" t="n">
        <v>0</v>
      </c>
      <c r="P5983" t="n">
        <v>0</v>
      </c>
      <c r="Q5983" t="n">
        <v>0</v>
      </c>
      <c r="R5983" s="2" t="inlineStr"/>
    </row>
    <row r="5984" ht="15" customHeight="1">
      <c r="A5984" t="inlineStr">
        <is>
          <t>A 7520-2023</t>
        </is>
      </c>
      <c r="B5984" s="1" t="n">
        <v>44971</v>
      </c>
      <c r="C5984" s="1" t="n">
        <v>45182</v>
      </c>
      <c r="D5984" t="inlineStr">
        <is>
          <t>JÄMTLANDS LÄN</t>
        </is>
      </c>
      <c r="E5984" t="inlineStr">
        <is>
          <t>RAGUNDA</t>
        </is>
      </c>
      <c r="F5984" t="inlineStr">
        <is>
          <t>SCA</t>
        </is>
      </c>
      <c r="G5984" t="n">
        <v>3.5</v>
      </c>
      <c r="H5984" t="n">
        <v>0</v>
      </c>
      <c r="I5984" t="n">
        <v>0</v>
      </c>
      <c r="J5984" t="n">
        <v>0</v>
      </c>
      <c r="K5984" t="n">
        <v>0</v>
      </c>
      <c r="L5984" t="n">
        <v>0</v>
      </c>
      <c r="M5984" t="n">
        <v>0</v>
      </c>
      <c r="N5984" t="n">
        <v>0</v>
      </c>
      <c r="O5984" t="n">
        <v>0</v>
      </c>
      <c r="P5984" t="n">
        <v>0</v>
      </c>
      <c r="Q5984" t="n">
        <v>0</v>
      </c>
      <c r="R5984" s="2" t="inlineStr"/>
    </row>
    <row r="5985" ht="15" customHeight="1">
      <c r="A5985" t="inlineStr">
        <is>
          <t>A 7451-2023</t>
        </is>
      </c>
      <c r="B5985" s="1" t="n">
        <v>44971</v>
      </c>
      <c r="C5985" s="1" t="n">
        <v>45182</v>
      </c>
      <c r="D5985" t="inlineStr">
        <is>
          <t>JÄMTLANDS LÄN</t>
        </is>
      </c>
      <c r="E5985" t="inlineStr">
        <is>
          <t>ÖSTERSUND</t>
        </is>
      </c>
      <c r="F5985" t="inlineStr">
        <is>
          <t>Kommuner</t>
        </is>
      </c>
      <c r="G5985" t="n">
        <v>3</v>
      </c>
      <c r="H5985" t="n">
        <v>0</v>
      </c>
      <c r="I5985" t="n">
        <v>0</v>
      </c>
      <c r="J5985" t="n">
        <v>0</v>
      </c>
      <c r="K5985" t="n">
        <v>0</v>
      </c>
      <c r="L5985" t="n">
        <v>0</v>
      </c>
      <c r="M5985" t="n">
        <v>0</v>
      </c>
      <c r="N5985" t="n">
        <v>0</v>
      </c>
      <c r="O5985" t="n">
        <v>0</v>
      </c>
      <c r="P5985" t="n">
        <v>0</v>
      </c>
      <c r="Q5985" t="n">
        <v>0</v>
      </c>
      <c r="R5985" s="2" t="inlineStr"/>
    </row>
    <row r="5986" ht="15" customHeight="1">
      <c r="A5986" t="inlineStr">
        <is>
          <t>A 7457-2023</t>
        </is>
      </c>
      <c r="B5986" s="1" t="n">
        <v>44971</v>
      </c>
      <c r="C5986" s="1" t="n">
        <v>45182</v>
      </c>
      <c r="D5986" t="inlineStr">
        <is>
          <t>JÄMTLANDS LÄN</t>
        </is>
      </c>
      <c r="E5986" t="inlineStr">
        <is>
          <t>ÖSTERSUND</t>
        </is>
      </c>
      <c r="F5986" t="inlineStr">
        <is>
          <t>Kommuner</t>
        </is>
      </c>
      <c r="G5986" t="n">
        <v>2.5</v>
      </c>
      <c r="H5986" t="n">
        <v>0</v>
      </c>
      <c r="I5986" t="n">
        <v>0</v>
      </c>
      <c r="J5986" t="n">
        <v>0</v>
      </c>
      <c r="K5986" t="n">
        <v>0</v>
      </c>
      <c r="L5986" t="n">
        <v>0</v>
      </c>
      <c r="M5986" t="n">
        <v>0</v>
      </c>
      <c r="N5986" t="n">
        <v>0</v>
      </c>
      <c r="O5986" t="n">
        <v>0</v>
      </c>
      <c r="P5986" t="n">
        <v>0</v>
      </c>
      <c r="Q5986" t="n">
        <v>0</v>
      </c>
      <c r="R5986" s="2" t="inlineStr"/>
    </row>
    <row r="5987" ht="15" customHeight="1">
      <c r="A5987" t="inlineStr">
        <is>
          <t>A 8223-2023</t>
        </is>
      </c>
      <c r="B5987" s="1" t="n">
        <v>44971</v>
      </c>
      <c r="C5987" s="1" t="n">
        <v>45182</v>
      </c>
      <c r="D5987" t="inlineStr">
        <is>
          <t>JÄMTLANDS LÄN</t>
        </is>
      </c>
      <c r="E5987" t="inlineStr">
        <is>
          <t>ÖSTERSUND</t>
        </is>
      </c>
      <c r="G5987" t="n">
        <v>7.6</v>
      </c>
      <c r="H5987" t="n">
        <v>0</v>
      </c>
      <c r="I5987" t="n">
        <v>0</v>
      </c>
      <c r="J5987" t="n">
        <v>0</v>
      </c>
      <c r="K5987" t="n">
        <v>0</v>
      </c>
      <c r="L5987" t="n">
        <v>0</v>
      </c>
      <c r="M5987" t="n">
        <v>0</v>
      </c>
      <c r="N5987" t="n">
        <v>0</v>
      </c>
      <c r="O5987" t="n">
        <v>0</v>
      </c>
      <c r="P5987" t="n">
        <v>0</v>
      </c>
      <c r="Q5987" t="n">
        <v>0</v>
      </c>
      <c r="R5987" s="2" t="inlineStr"/>
    </row>
    <row r="5988" ht="15" customHeight="1">
      <c r="A5988" t="inlineStr">
        <is>
          <t>A 8369-2023</t>
        </is>
      </c>
      <c r="B5988" s="1" t="n">
        <v>44971</v>
      </c>
      <c r="C5988" s="1" t="n">
        <v>45182</v>
      </c>
      <c r="D5988" t="inlineStr">
        <is>
          <t>JÄMTLANDS LÄN</t>
        </is>
      </c>
      <c r="E5988" t="inlineStr">
        <is>
          <t>KROKOM</t>
        </is>
      </c>
      <c r="G5988" t="n">
        <v>47.2</v>
      </c>
      <c r="H5988" t="n">
        <v>0</v>
      </c>
      <c r="I5988" t="n">
        <v>0</v>
      </c>
      <c r="J5988" t="n">
        <v>0</v>
      </c>
      <c r="K5988" t="n">
        <v>0</v>
      </c>
      <c r="L5988" t="n">
        <v>0</v>
      </c>
      <c r="M5988" t="n">
        <v>0</v>
      </c>
      <c r="N5988" t="n">
        <v>0</v>
      </c>
      <c r="O5988" t="n">
        <v>0</v>
      </c>
      <c r="P5988" t="n">
        <v>0</v>
      </c>
      <c r="Q5988" t="n">
        <v>0</v>
      </c>
      <c r="R5988" s="2" t="inlineStr"/>
    </row>
    <row r="5989" ht="15" customHeight="1">
      <c r="A5989" t="inlineStr">
        <is>
          <t>A 7549-2023</t>
        </is>
      </c>
      <c r="B5989" s="1" t="n">
        <v>44972</v>
      </c>
      <c r="C5989" s="1" t="n">
        <v>45182</v>
      </c>
      <c r="D5989" t="inlineStr">
        <is>
          <t>JÄMTLANDS LÄN</t>
        </is>
      </c>
      <c r="E5989" t="inlineStr">
        <is>
          <t>BRÄCKE</t>
        </is>
      </c>
      <c r="G5989" t="n">
        <v>2.5</v>
      </c>
      <c r="H5989" t="n">
        <v>0</v>
      </c>
      <c r="I5989" t="n">
        <v>0</v>
      </c>
      <c r="J5989" t="n">
        <v>0</v>
      </c>
      <c r="K5989" t="n">
        <v>0</v>
      </c>
      <c r="L5989" t="n">
        <v>0</v>
      </c>
      <c r="M5989" t="n">
        <v>0</v>
      </c>
      <c r="N5989" t="n">
        <v>0</v>
      </c>
      <c r="O5989" t="n">
        <v>0</v>
      </c>
      <c r="P5989" t="n">
        <v>0</v>
      </c>
      <c r="Q5989" t="n">
        <v>0</v>
      </c>
      <c r="R5989" s="2" t="inlineStr"/>
    </row>
    <row r="5990" ht="15" customHeight="1">
      <c r="A5990" t="inlineStr">
        <is>
          <t>A 7802-2023</t>
        </is>
      </c>
      <c r="B5990" s="1" t="n">
        <v>44973</v>
      </c>
      <c r="C5990" s="1" t="n">
        <v>45182</v>
      </c>
      <c r="D5990" t="inlineStr">
        <is>
          <t>JÄMTLANDS LÄN</t>
        </is>
      </c>
      <c r="E5990" t="inlineStr">
        <is>
          <t>BERG</t>
        </is>
      </c>
      <c r="F5990" t="inlineStr">
        <is>
          <t>Kyrkan</t>
        </is>
      </c>
      <c r="G5990" t="n">
        <v>0.7</v>
      </c>
      <c r="H5990" t="n">
        <v>0</v>
      </c>
      <c r="I5990" t="n">
        <v>0</v>
      </c>
      <c r="J5990" t="n">
        <v>0</v>
      </c>
      <c r="K5990" t="n">
        <v>0</v>
      </c>
      <c r="L5990" t="n">
        <v>0</v>
      </c>
      <c r="M5990" t="n">
        <v>0</v>
      </c>
      <c r="N5990" t="n">
        <v>0</v>
      </c>
      <c r="O5990" t="n">
        <v>0</v>
      </c>
      <c r="P5990" t="n">
        <v>0</v>
      </c>
      <c r="Q5990" t="n">
        <v>0</v>
      </c>
      <c r="R5990" s="2" t="inlineStr"/>
    </row>
    <row r="5991" ht="15" customHeight="1">
      <c r="A5991" t="inlineStr">
        <is>
          <t>A 8251-2023</t>
        </is>
      </c>
      <c r="B5991" s="1" t="n">
        <v>44974</v>
      </c>
      <c r="C5991" s="1" t="n">
        <v>45182</v>
      </c>
      <c r="D5991" t="inlineStr">
        <is>
          <t>JÄMTLANDS LÄN</t>
        </is>
      </c>
      <c r="E5991" t="inlineStr">
        <is>
          <t>BERG</t>
        </is>
      </c>
      <c r="G5991" t="n">
        <v>1.7</v>
      </c>
      <c r="H5991" t="n">
        <v>0</v>
      </c>
      <c r="I5991" t="n">
        <v>0</v>
      </c>
      <c r="J5991" t="n">
        <v>0</v>
      </c>
      <c r="K5991" t="n">
        <v>0</v>
      </c>
      <c r="L5991" t="n">
        <v>0</v>
      </c>
      <c r="M5991" t="n">
        <v>0</v>
      </c>
      <c r="N5991" t="n">
        <v>0</v>
      </c>
      <c r="O5991" t="n">
        <v>0</v>
      </c>
      <c r="P5991" t="n">
        <v>0</v>
      </c>
      <c r="Q5991" t="n">
        <v>0</v>
      </c>
      <c r="R5991" s="2" t="inlineStr"/>
    </row>
    <row r="5992" ht="15" customHeight="1">
      <c r="A5992" t="inlineStr">
        <is>
          <t>A 8975-2023</t>
        </is>
      </c>
      <c r="B5992" s="1" t="n">
        <v>44974</v>
      </c>
      <c r="C5992" s="1" t="n">
        <v>45182</v>
      </c>
      <c r="D5992" t="inlineStr">
        <is>
          <t>JÄMTLANDS LÄN</t>
        </is>
      </c>
      <c r="E5992" t="inlineStr">
        <is>
          <t>BRÄCKE</t>
        </is>
      </c>
      <c r="G5992" t="n">
        <v>9.1</v>
      </c>
      <c r="H5992" t="n">
        <v>0</v>
      </c>
      <c r="I5992" t="n">
        <v>0</v>
      </c>
      <c r="J5992" t="n">
        <v>0</v>
      </c>
      <c r="K5992" t="n">
        <v>0</v>
      </c>
      <c r="L5992" t="n">
        <v>0</v>
      </c>
      <c r="M5992" t="n">
        <v>0</v>
      </c>
      <c r="N5992" t="n">
        <v>0</v>
      </c>
      <c r="O5992" t="n">
        <v>0</v>
      </c>
      <c r="P5992" t="n">
        <v>0</v>
      </c>
      <c r="Q5992" t="n">
        <v>0</v>
      </c>
      <c r="R5992" s="2" t="inlineStr"/>
    </row>
    <row r="5993" ht="15" customHeight="1">
      <c r="A5993" t="inlineStr">
        <is>
          <t>A 9132-2023</t>
        </is>
      </c>
      <c r="B5993" s="1" t="n">
        <v>44974</v>
      </c>
      <c r="C5993" s="1" t="n">
        <v>45182</v>
      </c>
      <c r="D5993" t="inlineStr">
        <is>
          <t>JÄMTLANDS LÄN</t>
        </is>
      </c>
      <c r="E5993" t="inlineStr">
        <is>
          <t>KROKOM</t>
        </is>
      </c>
      <c r="F5993" t="inlineStr">
        <is>
          <t>SCA</t>
        </is>
      </c>
      <c r="G5993" t="n">
        <v>22.7</v>
      </c>
      <c r="H5993" t="n">
        <v>0</v>
      </c>
      <c r="I5993" t="n">
        <v>0</v>
      </c>
      <c r="J5993" t="n">
        <v>0</v>
      </c>
      <c r="K5993" t="n">
        <v>0</v>
      </c>
      <c r="L5993" t="n">
        <v>0</v>
      </c>
      <c r="M5993" t="n">
        <v>0</v>
      </c>
      <c r="N5993" t="n">
        <v>0</v>
      </c>
      <c r="O5993" t="n">
        <v>0</v>
      </c>
      <c r="P5993" t="n">
        <v>0</v>
      </c>
      <c r="Q5993" t="n">
        <v>0</v>
      </c>
      <c r="R5993" s="2" t="inlineStr"/>
    </row>
    <row r="5994" ht="15" customHeight="1">
      <c r="A5994" t="inlineStr">
        <is>
          <t>A 8976-2023</t>
        </is>
      </c>
      <c r="B5994" s="1" t="n">
        <v>44974</v>
      </c>
      <c r="C5994" s="1" t="n">
        <v>45182</v>
      </c>
      <c r="D5994" t="inlineStr">
        <is>
          <t>JÄMTLANDS LÄN</t>
        </is>
      </c>
      <c r="E5994" t="inlineStr">
        <is>
          <t>BRÄCKE</t>
        </is>
      </c>
      <c r="G5994" t="n">
        <v>14.4</v>
      </c>
      <c r="H5994" t="n">
        <v>0</v>
      </c>
      <c r="I5994" t="n">
        <v>0</v>
      </c>
      <c r="J5994" t="n">
        <v>0</v>
      </c>
      <c r="K5994" t="n">
        <v>0</v>
      </c>
      <c r="L5994" t="n">
        <v>0</v>
      </c>
      <c r="M5994" t="n">
        <v>0</v>
      </c>
      <c r="N5994" t="n">
        <v>0</v>
      </c>
      <c r="O5994" t="n">
        <v>0</v>
      </c>
      <c r="P5994" t="n">
        <v>0</v>
      </c>
      <c r="Q5994" t="n">
        <v>0</v>
      </c>
      <c r="R5994" s="2" t="inlineStr"/>
    </row>
    <row r="5995" ht="15" customHeight="1">
      <c r="A5995" t="inlineStr">
        <is>
          <t>A 8423-2023</t>
        </is>
      </c>
      <c r="B5995" s="1" t="n">
        <v>44977</v>
      </c>
      <c r="C5995" s="1" t="n">
        <v>45182</v>
      </c>
      <c r="D5995" t="inlineStr">
        <is>
          <t>JÄMTLANDS LÄN</t>
        </is>
      </c>
      <c r="E5995" t="inlineStr">
        <is>
          <t>ÖSTERSUND</t>
        </is>
      </c>
      <c r="F5995" t="inlineStr">
        <is>
          <t>Övriga Aktiebolag</t>
        </is>
      </c>
      <c r="G5995" t="n">
        <v>53.1</v>
      </c>
      <c r="H5995" t="n">
        <v>0</v>
      </c>
      <c r="I5995" t="n">
        <v>0</v>
      </c>
      <c r="J5995" t="n">
        <v>0</v>
      </c>
      <c r="K5995" t="n">
        <v>0</v>
      </c>
      <c r="L5995" t="n">
        <v>0</v>
      </c>
      <c r="M5995" t="n">
        <v>0</v>
      </c>
      <c r="N5995" t="n">
        <v>0</v>
      </c>
      <c r="O5995" t="n">
        <v>0</v>
      </c>
      <c r="P5995" t="n">
        <v>0</v>
      </c>
      <c r="Q5995" t="n">
        <v>0</v>
      </c>
      <c r="R5995" s="2" t="inlineStr"/>
    </row>
    <row r="5996" ht="15" customHeight="1">
      <c r="A5996" t="inlineStr">
        <is>
          <t>A 8443-2023</t>
        </is>
      </c>
      <c r="B5996" s="1" t="n">
        <v>44977</v>
      </c>
      <c r="C5996" s="1" t="n">
        <v>45182</v>
      </c>
      <c r="D5996" t="inlineStr">
        <is>
          <t>JÄMTLANDS LÄN</t>
        </is>
      </c>
      <c r="E5996" t="inlineStr">
        <is>
          <t>ÅRE</t>
        </is>
      </c>
      <c r="F5996" t="inlineStr">
        <is>
          <t>Övriga Aktiebolag</t>
        </is>
      </c>
      <c r="G5996" t="n">
        <v>1.1</v>
      </c>
      <c r="H5996" t="n">
        <v>0</v>
      </c>
      <c r="I5996" t="n">
        <v>0</v>
      </c>
      <c r="J5996" t="n">
        <v>0</v>
      </c>
      <c r="K5996" t="n">
        <v>0</v>
      </c>
      <c r="L5996" t="n">
        <v>0</v>
      </c>
      <c r="M5996" t="n">
        <v>0</v>
      </c>
      <c r="N5996" t="n">
        <v>0</v>
      </c>
      <c r="O5996" t="n">
        <v>0</v>
      </c>
      <c r="P5996" t="n">
        <v>0</v>
      </c>
      <c r="Q5996" t="n">
        <v>0</v>
      </c>
      <c r="R5996" s="2" t="inlineStr"/>
    </row>
    <row r="5997" ht="15" customHeight="1">
      <c r="A5997" t="inlineStr">
        <is>
          <t>A 8647-2023</t>
        </is>
      </c>
      <c r="B5997" s="1" t="n">
        <v>44977</v>
      </c>
      <c r="C5997" s="1" t="n">
        <v>45182</v>
      </c>
      <c r="D5997" t="inlineStr">
        <is>
          <t>JÄMTLANDS LÄN</t>
        </is>
      </c>
      <c r="E5997" t="inlineStr">
        <is>
          <t>STRÖMSUND</t>
        </is>
      </c>
      <c r="F5997" t="inlineStr">
        <is>
          <t>SCA</t>
        </is>
      </c>
      <c r="G5997" t="n">
        <v>34</v>
      </c>
      <c r="H5997" t="n">
        <v>0</v>
      </c>
      <c r="I5997" t="n">
        <v>0</v>
      </c>
      <c r="J5997" t="n">
        <v>0</v>
      </c>
      <c r="K5997" t="n">
        <v>0</v>
      </c>
      <c r="L5997" t="n">
        <v>0</v>
      </c>
      <c r="M5997" t="n">
        <v>0</v>
      </c>
      <c r="N5997" t="n">
        <v>0</v>
      </c>
      <c r="O5997" t="n">
        <v>0</v>
      </c>
      <c r="P5997" t="n">
        <v>0</v>
      </c>
      <c r="Q5997" t="n">
        <v>0</v>
      </c>
      <c r="R5997" s="2" t="inlineStr"/>
    </row>
    <row r="5998" ht="15" customHeight="1">
      <c r="A5998" t="inlineStr">
        <is>
          <t>A 8674-2023</t>
        </is>
      </c>
      <c r="B5998" s="1" t="n">
        <v>44977</v>
      </c>
      <c r="C5998" s="1" t="n">
        <v>45182</v>
      </c>
      <c r="D5998" t="inlineStr">
        <is>
          <t>JÄMTLANDS LÄN</t>
        </is>
      </c>
      <c r="E5998" t="inlineStr">
        <is>
          <t>BRÄCKE</t>
        </is>
      </c>
      <c r="G5998" t="n">
        <v>2.3</v>
      </c>
      <c r="H5998" t="n">
        <v>0</v>
      </c>
      <c r="I5998" t="n">
        <v>0</v>
      </c>
      <c r="J5998" t="n">
        <v>0</v>
      </c>
      <c r="K5998" t="n">
        <v>0</v>
      </c>
      <c r="L5998" t="n">
        <v>0</v>
      </c>
      <c r="M5998" t="n">
        <v>0</v>
      </c>
      <c r="N5998" t="n">
        <v>0</v>
      </c>
      <c r="O5998" t="n">
        <v>0</v>
      </c>
      <c r="P5998" t="n">
        <v>0</v>
      </c>
      <c r="Q5998" t="n">
        <v>0</v>
      </c>
      <c r="R5998" s="2" t="inlineStr"/>
    </row>
    <row r="5999" ht="15" customHeight="1">
      <c r="A5999" t="inlineStr">
        <is>
          <t>A 9263-2023</t>
        </is>
      </c>
      <c r="B5999" s="1" t="n">
        <v>44977</v>
      </c>
      <c r="C5999" s="1" t="n">
        <v>45182</v>
      </c>
      <c r="D5999" t="inlineStr">
        <is>
          <t>JÄMTLANDS LÄN</t>
        </is>
      </c>
      <c r="E5999" t="inlineStr">
        <is>
          <t>KROKOM</t>
        </is>
      </c>
      <c r="F5999" t="inlineStr">
        <is>
          <t>SCA</t>
        </is>
      </c>
      <c r="G5999" t="n">
        <v>11.7</v>
      </c>
      <c r="H5999" t="n">
        <v>0</v>
      </c>
      <c r="I5999" t="n">
        <v>0</v>
      </c>
      <c r="J5999" t="n">
        <v>0</v>
      </c>
      <c r="K5999" t="n">
        <v>0</v>
      </c>
      <c r="L5999" t="n">
        <v>0</v>
      </c>
      <c r="M5999" t="n">
        <v>0</v>
      </c>
      <c r="N5999" t="n">
        <v>0</v>
      </c>
      <c r="O5999" t="n">
        <v>0</v>
      </c>
      <c r="P5999" t="n">
        <v>0</v>
      </c>
      <c r="Q5999" t="n">
        <v>0</v>
      </c>
      <c r="R5999" s="2" t="inlineStr"/>
    </row>
    <row r="6000" ht="15" customHeight="1">
      <c r="A6000" t="inlineStr">
        <is>
          <t>A 9301-2023</t>
        </is>
      </c>
      <c r="B6000" s="1" t="n">
        <v>44977</v>
      </c>
      <c r="C6000" s="1" t="n">
        <v>45182</v>
      </c>
      <c r="D6000" t="inlineStr">
        <is>
          <t>JÄMTLANDS LÄN</t>
        </is>
      </c>
      <c r="E6000" t="inlineStr">
        <is>
          <t>STRÖMSUND</t>
        </is>
      </c>
      <c r="G6000" t="n">
        <v>5</v>
      </c>
      <c r="H6000" t="n">
        <v>0</v>
      </c>
      <c r="I6000" t="n">
        <v>0</v>
      </c>
      <c r="J6000" t="n">
        <v>0</v>
      </c>
      <c r="K6000" t="n">
        <v>0</v>
      </c>
      <c r="L6000" t="n">
        <v>0</v>
      </c>
      <c r="M6000" t="n">
        <v>0</v>
      </c>
      <c r="N6000" t="n">
        <v>0</v>
      </c>
      <c r="O6000" t="n">
        <v>0</v>
      </c>
      <c r="P6000" t="n">
        <v>0</v>
      </c>
      <c r="Q6000" t="n">
        <v>0</v>
      </c>
      <c r="R6000" s="2" t="inlineStr"/>
    </row>
    <row r="6001" ht="15" customHeight="1">
      <c r="A6001" t="inlineStr">
        <is>
          <t>A 9269-2023</t>
        </is>
      </c>
      <c r="B6001" s="1" t="n">
        <v>44977</v>
      </c>
      <c r="C6001" s="1" t="n">
        <v>45182</v>
      </c>
      <c r="D6001" t="inlineStr">
        <is>
          <t>JÄMTLANDS LÄN</t>
        </is>
      </c>
      <c r="E6001" t="inlineStr">
        <is>
          <t>KROKOM</t>
        </is>
      </c>
      <c r="G6001" t="n">
        <v>6.3</v>
      </c>
      <c r="H6001" t="n">
        <v>0</v>
      </c>
      <c r="I6001" t="n">
        <v>0</v>
      </c>
      <c r="J6001" t="n">
        <v>0</v>
      </c>
      <c r="K6001" t="n">
        <v>0</v>
      </c>
      <c r="L6001" t="n">
        <v>0</v>
      </c>
      <c r="M6001" t="n">
        <v>0</v>
      </c>
      <c r="N6001" t="n">
        <v>0</v>
      </c>
      <c r="O6001" t="n">
        <v>0</v>
      </c>
      <c r="P6001" t="n">
        <v>0</v>
      </c>
      <c r="Q6001" t="n">
        <v>0</v>
      </c>
      <c r="R6001" s="2" t="inlineStr"/>
    </row>
    <row r="6002" ht="15" customHeight="1">
      <c r="A6002" t="inlineStr">
        <is>
          <t>A 8413-2023</t>
        </is>
      </c>
      <c r="B6002" s="1" t="n">
        <v>44977</v>
      </c>
      <c r="C6002" s="1" t="n">
        <v>45182</v>
      </c>
      <c r="D6002" t="inlineStr">
        <is>
          <t>JÄMTLANDS LÄN</t>
        </is>
      </c>
      <c r="E6002" t="inlineStr">
        <is>
          <t>BERG</t>
        </is>
      </c>
      <c r="F6002" t="inlineStr">
        <is>
          <t>Kyrkan</t>
        </is>
      </c>
      <c r="G6002" t="n">
        <v>10.1</v>
      </c>
      <c r="H6002" t="n">
        <v>0</v>
      </c>
      <c r="I6002" t="n">
        <v>0</v>
      </c>
      <c r="J6002" t="n">
        <v>0</v>
      </c>
      <c r="K6002" t="n">
        <v>0</v>
      </c>
      <c r="L6002" t="n">
        <v>0</v>
      </c>
      <c r="M6002" t="n">
        <v>0</v>
      </c>
      <c r="N6002" t="n">
        <v>0</v>
      </c>
      <c r="O6002" t="n">
        <v>0</v>
      </c>
      <c r="P6002" t="n">
        <v>0</v>
      </c>
      <c r="Q6002" t="n">
        <v>0</v>
      </c>
      <c r="R6002" s="2" t="inlineStr"/>
    </row>
    <row r="6003" ht="15" customHeight="1">
      <c r="A6003" t="inlineStr">
        <is>
          <t>A 8665-2023</t>
        </is>
      </c>
      <c r="B6003" s="1" t="n">
        <v>44977</v>
      </c>
      <c r="C6003" s="1" t="n">
        <v>45182</v>
      </c>
      <c r="D6003" t="inlineStr">
        <is>
          <t>JÄMTLANDS LÄN</t>
        </is>
      </c>
      <c r="E6003" t="inlineStr">
        <is>
          <t>STRÖMSUND</t>
        </is>
      </c>
      <c r="F6003" t="inlineStr">
        <is>
          <t>SCA</t>
        </is>
      </c>
      <c r="G6003" t="n">
        <v>52.9</v>
      </c>
      <c r="H6003" t="n">
        <v>0</v>
      </c>
      <c r="I6003" t="n">
        <v>0</v>
      </c>
      <c r="J6003" t="n">
        <v>0</v>
      </c>
      <c r="K6003" t="n">
        <v>0</v>
      </c>
      <c r="L6003" t="n">
        <v>0</v>
      </c>
      <c r="M6003" t="n">
        <v>0</v>
      </c>
      <c r="N6003" t="n">
        <v>0</v>
      </c>
      <c r="O6003" t="n">
        <v>0</v>
      </c>
      <c r="P6003" t="n">
        <v>0</v>
      </c>
      <c r="Q6003" t="n">
        <v>0</v>
      </c>
      <c r="R6003" s="2" t="inlineStr"/>
      <c r="U6003">
        <f>HYPERLINK("https://klasma.github.io/Logging_STROMSUND/knärot/A 8665-2023.png")</f>
        <v/>
      </c>
      <c r="V6003">
        <f>HYPERLINK("https://klasma.github.io/Logging_STROMSUND/klagomål/A 8665-2023.docx")</f>
        <v/>
      </c>
      <c r="W6003">
        <f>HYPERLINK("https://klasma.github.io/Logging_STROMSUND/klagomålsmail/A 8665-2023.docx")</f>
        <v/>
      </c>
      <c r="X6003">
        <f>HYPERLINK("https://klasma.github.io/Logging_STROMSUND/tillsyn/A 8665-2023.docx")</f>
        <v/>
      </c>
      <c r="Y6003">
        <f>HYPERLINK("https://klasma.github.io/Logging_STROMSUND/tillsynsmail/A 8665-2023.docx")</f>
        <v/>
      </c>
    </row>
    <row r="6004" ht="15" customHeight="1">
      <c r="A6004" t="inlineStr">
        <is>
          <t>A 9458-2023</t>
        </is>
      </c>
      <c r="B6004" s="1" t="n">
        <v>44977</v>
      </c>
      <c r="C6004" s="1" t="n">
        <v>45182</v>
      </c>
      <c r="D6004" t="inlineStr">
        <is>
          <t>JÄMTLANDS LÄN</t>
        </is>
      </c>
      <c r="E6004" t="inlineStr">
        <is>
          <t>BERG</t>
        </is>
      </c>
      <c r="G6004" t="n">
        <v>12.3</v>
      </c>
      <c r="H6004" t="n">
        <v>0</v>
      </c>
      <c r="I6004" t="n">
        <v>0</v>
      </c>
      <c r="J6004" t="n">
        <v>0</v>
      </c>
      <c r="K6004" t="n">
        <v>0</v>
      </c>
      <c r="L6004" t="n">
        <v>0</v>
      </c>
      <c r="M6004" t="n">
        <v>0</v>
      </c>
      <c r="N6004" t="n">
        <v>0</v>
      </c>
      <c r="O6004" t="n">
        <v>0</v>
      </c>
      <c r="P6004" t="n">
        <v>0</v>
      </c>
      <c r="Q6004" t="n">
        <v>0</v>
      </c>
      <c r="R6004" s="2" t="inlineStr"/>
      <c r="U6004">
        <f>HYPERLINK("https://klasma.github.io/Logging_BERG/knärot/A 9458-2023.png")</f>
        <v/>
      </c>
      <c r="V6004">
        <f>HYPERLINK("https://klasma.github.io/Logging_BERG/klagomål/A 9458-2023.docx")</f>
        <v/>
      </c>
      <c r="W6004">
        <f>HYPERLINK("https://klasma.github.io/Logging_BERG/klagomålsmail/A 9458-2023.docx")</f>
        <v/>
      </c>
      <c r="X6004">
        <f>HYPERLINK("https://klasma.github.io/Logging_BERG/tillsyn/A 9458-2023.docx")</f>
        <v/>
      </c>
      <c r="Y6004">
        <f>HYPERLINK("https://klasma.github.io/Logging_BERG/tillsynsmail/A 9458-2023.docx")</f>
        <v/>
      </c>
    </row>
    <row r="6005" ht="15" customHeight="1">
      <c r="A6005" t="inlineStr">
        <is>
          <t>A 8865-2023</t>
        </is>
      </c>
      <c r="B6005" s="1" t="n">
        <v>44978</v>
      </c>
      <c r="C6005" s="1" t="n">
        <v>45182</v>
      </c>
      <c r="D6005" t="inlineStr">
        <is>
          <t>JÄMTLANDS LÄN</t>
        </is>
      </c>
      <c r="E6005" t="inlineStr">
        <is>
          <t>BRÄCKE</t>
        </is>
      </c>
      <c r="G6005" t="n">
        <v>2.9</v>
      </c>
      <c r="H6005" t="n">
        <v>0</v>
      </c>
      <c r="I6005" t="n">
        <v>0</v>
      </c>
      <c r="J6005" t="n">
        <v>0</v>
      </c>
      <c r="K6005" t="n">
        <v>0</v>
      </c>
      <c r="L6005" t="n">
        <v>0</v>
      </c>
      <c r="M6005" t="n">
        <v>0</v>
      </c>
      <c r="N6005" t="n">
        <v>0</v>
      </c>
      <c r="O6005" t="n">
        <v>0</v>
      </c>
      <c r="P6005" t="n">
        <v>0</v>
      </c>
      <c r="Q6005" t="n">
        <v>0</v>
      </c>
      <c r="R6005" s="2" t="inlineStr"/>
    </row>
    <row r="6006" ht="15" customHeight="1">
      <c r="A6006" t="inlineStr">
        <is>
          <t>A 9657-2023</t>
        </is>
      </c>
      <c r="B6006" s="1" t="n">
        <v>44978</v>
      </c>
      <c r="C6006" s="1" t="n">
        <v>45182</v>
      </c>
      <c r="D6006" t="inlineStr">
        <is>
          <t>JÄMTLANDS LÄN</t>
        </is>
      </c>
      <c r="E6006" t="inlineStr">
        <is>
          <t>BERG</t>
        </is>
      </c>
      <c r="G6006" t="n">
        <v>2.7</v>
      </c>
      <c r="H6006" t="n">
        <v>0</v>
      </c>
      <c r="I6006" t="n">
        <v>0</v>
      </c>
      <c r="J6006" t="n">
        <v>0</v>
      </c>
      <c r="K6006" t="n">
        <v>0</v>
      </c>
      <c r="L6006" t="n">
        <v>0</v>
      </c>
      <c r="M6006" t="n">
        <v>0</v>
      </c>
      <c r="N6006" t="n">
        <v>0</v>
      </c>
      <c r="O6006" t="n">
        <v>0</v>
      </c>
      <c r="P6006" t="n">
        <v>0</v>
      </c>
      <c r="Q6006" t="n">
        <v>0</v>
      </c>
      <c r="R6006" s="2" t="inlineStr"/>
    </row>
    <row r="6007" ht="15" customHeight="1">
      <c r="A6007" t="inlineStr">
        <is>
          <t>A 9716-2023</t>
        </is>
      </c>
      <c r="B6007" s="1" t="n">
        <v>44978</v>
      </c>
      <c r="C6007" s="1" t="n">
        <v>45182</v>
      </c>
      <c r="D6007" t="inlineStr">
        <is>
          <t>JÄMTLANDS LÄN</t>
        </is>
      </c>
      <c r="E6007" t="inlineStr">
        <is>
          <t>STRÖMSUND</t>
        </is>
      </c>
      <c r="G6007" t="n">
        <v>1.8</v>
      </c>
      <c r="H6007" t="n">
        <v>0</v>
      </c>
      <c r="I6007" t="n">
        <v>0</v>
      </c>
      <c r="J6007" t="n">
        <v>0</v>
      </c>
      <c r="K6007" t="n">
        <v>0</v>
      </c>
      <c r="L6007" t="n">
        <v>0</v>
      </c>
      <c r="M6007" t="n">
        <v>0</v>
      </c>
      <c r="N6007" t="n">
        <v>0</v>
      </c>
      <c r="O6007" t="n">
        <v>0</v>
      </c>
      <c r="P6007" t="n">
        <v>0</v>
      </c>
      <c r="Q6007" t="n">
        <v>0</v>
      </c>
      <c r="R6007" s="2" t="inlineStr"/>
    </row>
    <row r="6008" ht="15" customHeight="1">
      <c r="A6008" t="inlineStr">
        <is>
          <t>A 8878-2023</t>
        </is>
      </c>
      <c r="B6008" s="1" t="n">
        <v>44978</v>
      </c>
      <c r="C6008" s="1" t="n">
        <v>45182</v>
      </c>
      <c r="D6008" t="inlineStr">
        <is>
          <t>JÄMTLANDS LÄN</t>
        </is>
      </c>
      <c r="E6008" t="inlineStr">
        <is>
          <t>RAGUNDA</t>
        </is>
      </c>
      <c r="F6008" t="inlineStr">
        <is>
          <t>SCA</t>
        </is>
      </c>
      <c r="G6008" t="n">
        <v>1.2</v>
      </c>
      <c r="H6008" t="n">
        <v>0</v>
      </c>
      <c r="I6008" t="n">
        <v>0</v>
      </c>
      <c r="J6008" t="n">
        <v>0</v>
      </c>
      <c r="K6008" t="n">
        <v>0</v>
      </c>
      <c r="L6008" t="n">
        <v>0</v>
      </c>
      <c r="M6008" t="n">
        <v>0</v>
      </c>
      <c r="N6008" t="n">
        <v>0</v>
      </c>
      <c r="O6008" t="n">
        <v>0</v>
      </c>
      <c r="P6008" t="n">
        <v>0</v>
      </c>
      <c r="Q6008" t="n">
        <v>0</v>
      </c>
      <c r="R6008" s="2" t="inlineStr"/>
    </row>
    <row r="6009" ht="15" customHeight="1">
      <c r="A6009" t="inlineStr">
        <is>
          <t>A 8864-2023</t>
        </is>
      </c>
      <c r="B6009" s="1" t="n">
        <v>44978</v>
      </c>
      <c r="C6009" s="1" t="n">
        <v>45182</v>
      </c>
      <c r="D6009" t="inlineStr">
        <is>
          <t>JÄMTLANDS LÄN</t>
        </is>
      </c>
      <c r="E6009" t="inlineStr">
        <is>
          <t>BRÄCKE</t>
        </is>
      </c>
      <c r="G6009" t="n">
        <v>17.3</v>
      </c>
      <c r="H6009" t="n">
        <v>0</v>
      </c>
      <c r="I6009" t="n">
        <v>0</v>
      </c>
      <c r="J6009" t="n">
        <v>0</v>
      </c>
      <c r="K6009" t="n">
        <v>0</v>
      </c>
      <c r="L6009" t="n">
        <v>0</v>
      </c>
      <c r="M6009" t="n">
        <v>0</v>
      </c>
      <c r="N6009" t="n">
        <v>0</v>
      </c>
      <c r="O6009" t="n">
        <v>0</v>
      </c>
      <c r="P6009" t="n">
        <v>0</v>
      </c>
      <c r="Q6009" t="n">
        <v>0</v>
      </c>
      <c r="R6009" s="2" t="inlineStr"/>
    </row>
    <row r="6010" ht="15" customHeight="1">
      <c r="A6010" t="inlineStr">
        <is>
          <t>A 9671-2023</t>
        </is>
      </c>
      <c r="B6010" s="1" t="n">
        <v>44978</v>
      </c>
      <c r="C6010" s="1" t="n">
        <v>45182</v>
      </c>
      <c r="D6010" t="inlineStr">
        <is>
          <t>JÄMTLANDS LÄN</t>
        </is>
      </c>
      <c r="E6010" t="inlineStr">
        <is>
          <t>KROKOM</t>
        </is>
      </c>
      <c r="G6010" t="n">
        <v>14</v>
      </c>
      <c r="H6010" t="n">
        <v>0</v>
      </c>
      <c r="I6010" t="n">
        <v>0</v>
      </c>
      <c r="J6010" t="n">
        <v>0</v>
      </c>
      <c r="K6010" t="n">
        <v>0</v>
      </c>
      <c r="L6010" t="n">
        <v>0</v>
      </c>
      <c r="M6010" t="n">
        <v>0</v>
      </c>
      <c r="N6010" t="n">
        <v>0</v>
      </c>
      <c r="O6010" t="n">
        <v>0</v>
      </c>
      <c r="P6010" t="n">
        <v>0</v>
      </c>
      <c r="Q6010" t="n">
        <v>0</v>
      </c>
      <c r="R6010" s="2" t="inlineStr"/>
    </row>
    <row r="6011" ht="15" customHeight="1">
      <c r="A6011" t="inlineStr">
        <is>
          <t>A 9082-2023</t>
        </is>
      </c>
      <c r="B6011" s="1" t="n">
        <v>44979</v>
      </c>
      <c r="C6011" s="1" t="n">
        <v>45182</v>
      </c>
      <c r="D6011" t="inlineStr">
        <is>
          <t>JÄMTLANDS LÄN</t>
        </is>
      </c>
      <c r="E6011" t="inlineStr">
        <is>
          <t>RAGUNDA</t>
        </is>
      </c>
      <c r="G6011" t="n">
        <v>1.1</v>
      </c>
      <c r="H6011" t="n">
        <v>0</v>
      </c>
      <c r="I6011" t="n">
        <v>0</v>
      </c>
      <c r="J6011" t="n">
        <v>0</v>
      </c>
      <c r="K6011" t="n">
        <v>0</v>
      </c>
      <c r="L6011" t="n">
        <v>0</v>
      </c>
      <c r="M6011" t="n">
        <v>0</v>
      </c>
      <c r="N6011" t="n">
        <v>0</v>
      </c>
      <c r="O6011" t="n">
        <v>0</v>
      </c>
      <c r="P6011" t="n">
        <v>0</v>
      </c>
      <c r="Q6011" t="n">
        <v>0</v>
      </c>
      <c r="R6011" s="2" t="inlineStr"/>
    </row>
    <row r="6012" ht="15" customHeight="1">
      <c r="A6012" t="inlineStr">
        <is>
          <t>A 9077-2023</t>
        </is>
      </c>
      <c r="B6012" s="1" t="n">
        <v>44979</v>
      </c>
      <c r="C6012" s="1" t="n">
        <v>45182</v>
      </c>
      <c r="D6012" t="inlineStr">
        <is>
          <t>JÄMTLANDS LÄN</t>
        </is>
      </c>
      <c r="E6012" t="inlineStr">
        <is>
          <t>BERG</t>
        </is>
      </c>
      <c r="G6012" t="n">
        <v>3.6</v>
      </c>
      <c r="H6012" t="n">
        <v>0</v>
      </c>
      <c r="I6012" t="n">
        <v>0</v>
      </c>
      <c r="J6012" t="n">
        <v>0</v>
      </c>
      <c r="K6012" t="n">
        <v>0</v>
      </c>
      <c r="L6012" t="n">
        <v>0</v>
      </c>
      <c r="M6012" t="n">
        <v>0</v>
      </c>
      <c r="N6012" t="n">
        <v>0</v>
      </c>
      <c r="O6012" t="n">
        <v>0</v>
      </c>
      <c r="P6012" t="n">
        <v>0</v>
      </c>
      <c r="Q6012" t="n">
        <v>0</v>
      </c>
      <c r="R6012" s="2" t="inlineStr"/>
    </row>
    <row r="6013" ht="15" customHeight="1">
      <c r="A6013" t="inlineStr">
        <is>
          <t>A 9084-2023</t>
        </is>
      </c>
      <c r="B6013" s="1" t="n">
        <v>44979</v>
      </c>
      <c r="C6013" s="1" t="n">
        <v>45182</v>
      </c>
      <c r="D6013" t="inlineStr">
        <is>
          <t>JÄMTLANDS LÄN</t>
        </is>
      </c>
      <c r="E6013" t="inlineStr">
        <is>
          <t>RAGUNDA</t>
        </is>
      </c>
      <c r="G6013" t="n">
        <v>1.9</v>
      </c>
      <c r="H6013" t="n">
        <v>0</v>
      </c>
      <c r="I6013" t="n">
        <v>0</v>
      </c>
      <c r="J6013" t="n">
        <v>0</v>
      </c>
      <c r="K6013" t="n">
        <v>0</v>
      </c>
      <c r="L6013" t="n">
        <v>0</v>
      </c>
      <c r="M6013" t="n">
        <v>0</v>
      </c>
      <c r="N6013" t="n">
        <v>0</v>
      </c>
      <c r="O6013" t="n">
        <v>0</v>
      </c>
      <c r="P6013" t="n">
        <v>0</v>
      </c>
      <c r="Q6013" t="n">
        <v>0</v>
      </c>
      <c r="R6013" s="2" t="inlineStr"/>
    </row>
    <row r="6014" ht="15" customHeight="1">
      <c r="A6014" t="inlineStr">
        <is>
          <t>A 9100-2023</t>
        </is>
      </c>
      <c r="B6014" s="1" t="n">
        <v>44979</v>
      </c>
      <c r="C6014" s="1" t="n">
        <v>45182</v>
      </c>
      <c r="D6014" t="inlineStr">
        <is>
          <t>JÄMTLANDS LÄN</t>
        </is>
      </c>
      <c r="E6014" t="inlineStr">
        <is>
          <t>RAGUNDA</t>
        </is>
      </c>
      <c r="F6014" t="inlineStr">
        <is>
          <t>SCA</t>
        </is>
      </c>
      <c r="G6014" t="n">
        <v>6.7</v>
      </c>
      <c r="H6014" t="n">
        <v>0</v>
      </c>
      <c r="I6014" t="n">
        <v>0</v>
      </c>
      <c r="J6014" t="n">
        <v>0</v>
      </c>
      <c r="K6014" t="n">
        <v>0</v>
      </c>
      <c r="L6014" t="n">
        <v>0</v>
      </c>
      <c r="M6014" t="n">
        <v>0</v>
      </c>
      <c r="N6014" t="n">
        <v>0</v>
      </c>
      <c r="O6014" t="n">
        <v>0</v>
      </c>
      <c r="P6014" t="n">
        <v>0</v>
      </c>
      <c r="Q6014" t="n">
        <v>0</v>
      </c>
      <c r="R6014" s="2" t="inlineStr"/>
    </row>
    <row r="6015" ht="15" customHeight="1">
      <c r="A6015" t="inlineStr">
        <is>
          <t>A 10254-2023</t>
        </is>
      </c>
      <c r="B6015" s="1" t="n">
        <v>44980</v>
      </c>
      <c r="C6015" s="1" t="n">
        <v>45182</v>
      </c>
      <c r="D6015" t="inlineStr">
        <is>
          <t>JÄMTLANDS LÄN</t>
        </is>
      </c>
      <c r="E6015" t="inlineStr">
        <is>
          <t>BERG</t>
        </is>
      </c>
      <c r="G6015" t="n">
        <v>0.6</v>
      </c>
      <c r="H6015" t="n">
        <v>0</v>
      </c>
      <c r="I6015" t="n">
        <v>0</v>
      </c>
      <c r="J6015" t="n">
        <v>0</v>
      </c>
      <c r="K6015" t="n">
        <v>0</v>
      </c>
      <c r="L6015" t="n">
        <v>0</v>
      </c>
      <c r="M6015" t="n">
        <v>0</v>
      </c>
      <c r="N6015" t="n">
        <v>0</v>
      </c>
      <c r="O6015" t="n">
        <v>0</v>
      </c>
      <c r="P6015" t="n">
        <v>0</v>
      </c>
      <c r="Q6015" t="n">
        <v>0</v>
      </c>
      <c r="R6015" s="2" t="inlineStr"/>
    </row>
    <row r="6016" ht="15" customHeight="1">
      <c r="A6016" t="inlineStr">
        <is>
          <t>A 10255-2023</t>
        </is>
      </c>
      <c r="B6016" s="1" t="n">
        <v>44980</v>
      </c>
      <c r="C6016" s="1" t="n">
        <v>45182</v>
      </c>
      <c r="D6016" t="inlineStr">
        <is>
          <t>JÄMTLANDS LÄN</t>
        </is>
      </c>
      <c r="E6016" t="inlineStr">
        <is>
          <t>BERG</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9339-2023</t>
        </is>
      </c>
      <c r="B6017" s="1" t="n">
        <v>44980</v>
      </c>
      <c r="C6017" s="1" t="n">
        <v>45182</v>
      </c>
      <c r="D6017" t="inlineStr">
        <is>
          <t>JÄMTLANDS LÄN</t>
        </is>
      </c>
      <c r="E6017" t="inlineStr">
        <is>
          <t>RAGUNDA</t>
        </is>
      </c>
      <c r="G6017" t="n">
        <v>3.2</v>
      </c>
      <c r="H6017" t="n">
        <v>0</v>
      </c>
      <c r="I6017" t="n">
        <v>0</v>
      </c>
      <c r="J6017" t="n">
        <v>0</v>
      </c>
      <c r="K6017" t="n">
        <v>0</v>
      </c>
      <c r="L6017" t="n">
        <v>0</v>
      </c>
      <c r="M6017" t="n">
        <v>0</v>
      </c>
      <c r="N6017" t="n">
        <v>0</v>
      </c>
      <c r="O6017" t="n">
        <v>0</v>
      </c>
      <c r="P6017" t="n">
        <v>0</v>
      </c>
      <c r="Q6017" t="n">
        <v>0</v>
      </c>
      <c r="R6017" s="2" t="inlineStr"/>
    </row>
    <row r="6018" ht="15" customHeight="1">
      <c r="A6018" t="inlineStr">
        <is>
          <t>A 10226-2023</t>
        </is>
      </c>
      <c r="B6018" s="1" t="n">
        <v>44980</v>
      </c>
      <c r="C6018" s="1" t="n">
        <v>45182</v>
      </c>
      <c r="D6018" t="inlineStr">
        <is>
          <t>JÄMTLANDS LÄN</t>
        </is>
      </c>
      <c r="E6018" t="inlineStr">
        <is>
          <t>BERG</t>
        </is>
      </c>
      <c r="G6018" t="n">
        <v>12.1</v>
      </c>
      <c r="H6018" t="n">
        <v>0</v>
      </c>
      <c r="I6018" t="n">
        <v>0</v>
      </c>
      <c r="J6018" t="n">
        <v>0</v>
      </c>
      <c r="K6018" t="n">
        <v>0</v>
      </c>
      <c r="L6018" t="n">
        <v>0</v>
      </c>
      <c r="M6018" t="n">
        <v>0</v>
      </c>
      <c r="N6018" t="n">
        <v>0</v>
      </c>
      <c r="O6018" t="n">
        <v>0</v>
      </c>
      <c r="P6018" t="n">
        <v>0</v>
      </c>
      <c r="Q6018" t="n">
        <v>0</v>
      </c>
      <c r="R6018" s="2" t="inlineStr"/>
    </row>
    <row r="6019" ht="15" customHeight="1">
      <c r="A6019" t="inlineStr">
        <is>
          <t>A 10248-2023</t>
        </is>
      </c>
      <c r="B6019" s="1" t="n">
        <v>44980</v>
      </c>
      <c r="C6019" s="1" t="n">
        <v>45182</v>
      </c>
      <c r="D6019" t="inlineStr">
        <is>
          <t>JÄMTLANDS LÄN</t>
        </is>
      </c>
      <c r="E6019" t="inlineStr">
        <is>
          <t>ÅRE</t>
        </is>
      </c>
      <c r="G6019" t="n">
        <v>9.199999999999999</v>
      </c>
      <c r="H6019" t="n">
        <v>0</v>
      </c>
      <c r="I6019" t="n">
        <v>0</v>
      </c>
      <c r="J6019" t="n">
        <v>0</v>
      </c>
      <c r="K6019" t="n">
        <v>0</v>
      </c>
      <c r="L6019" t="n">
        <v>0</v>
      </c>
      <c r="M6019" t="n">
        <v>0</v>
      </c>
      <c r="N6019" t="n">
        <v>0</v>
      </c>
      <c r="O6019" t="n">
        <v>0</v>
      </c>
      <c r="P6019" t="n">
        <v>0</v>
      </c>
      <c r="Q6019" t="n">
        <v>0</v>
      </c>
      <c r="R6019" s="2" t="inlineStr"/>
    </row>
    <row r="6020" ht="15" customHeight="1">
      <c r="A6020" t="inlineStr">
        <is>
          <t>A 9555-2023</t>
        </is>
      </c>
      <c r="B6020" s="1" t="n">
        <v>44981</v>
      </c>
      <c r="C6020" s="1" t="n">
        <v>45182</v>
      </c>
      <c r="D6020" t="inlineStr">
        <is>
          <t>JÄMTLANDS LÄN</t>
        </is>
      </c>
      <c r="E6020" t="inlineStr">
        <is>
          <t>STRÖMSUND</t>
        </is>
      </c>
      <c r="F6020" t="inlineStr">
        <is>
          <t>SCA</t>
        </is>
      </c>
      <c r="G6020" t="n">
        <v>18.8</v>
      </c>
      <c r="H6020" t="n">
        <v>0</v>
      </c>
      <c r="I6020" t="n">
        <v>0</v>
      </c>
      <c r="J6020" t="n">
        <v>0</v>
      </c>
      <c r="K6020" t="n">
        <v>0</v>
      </c>
      <c r="L6020" t="n">
        <v>0</v>
      </c>
      <c r="M6020" t="n">
        <v>0</v>
      </c>
      <c r="N6020" t="n">
        <v>0</v>
      </c>
      <c r="O6020" t="n">
        <v>0</v>
      </c>
      <c r="P6020" t="n">
        <v>0</v>
      </c>
      <c r="Q6020" t="n">
        <v>0</v>
      </c>
      <c r="R6020" s="2" t="inlineStr"/>
    </row>
    <row r="6021" ht="15" customHeight="1">
      <c r="A6021" t="inlineStr">
        <is>
          <t>A 9554-2023</t>
        </is>
      </c>
      <c r="B6021" s="1" t="n">
        <v>44981</v>
      </c>
      <c r="C6021" s="1" t="n">
        <v>45182</v>
      </c>
      <c r="D6021" t="inlineStr">
        <is>
          <t>JÄMTLANDS LÄN</t>
        </is>
      </c>
      <c r="E6021" t="inlineStr">
        <is>
          <t>STRÖMSUND</t>
        </is>
      </c>
      <c r="F6021" t="inlineStr">
        <is>
          <t>SCA</t>
        </is>
      </c>
      <c r="G6021" t="n">
        <v>8.4</v>
      </c>
      <c r="H6021" t="n">
        <v>0</v>
      </c>
      <c r="I6021" t="n">
        <v>0</v>
      </c>
      <c r="J6021" t="n">
        <v>0</v>
      </c>
      <c r="K6021" t="n">
        <v>0</v>
      </c>
      <c r="L6021" t="n">
        <v>0</v>
      </c>
      <c r="M6021" t="n">
        <v>0</v>
      </c>
      <c r="N6021" t="n">
        <v>0</v>
      </c>
      <c r="O6021" t="n">
        <v>0</v>
      </c>
      <c r="P6021" t="n">
        <v>0</v>
      </c>
      <c r="Q6021" t="n">
        <v>0</v>
      </c>
      <c r="R6021" s="2" t="inlineStr"/>
    </row>
    <row r="6022" ht="15" customHeight="1">
      <c r="A6022" t="inlineStr">
        <is>
          <t>A 9838-2023</t>
        </is>
      </c>
      <c r="B6022" s="1" t="n">
        <v>44984</v>
      </c>
      <c r="C6022" s="1" t="n">
        <v>45182</v>
      </c>
      <c r="D6022" t="inlineStr">
        <is>
          <t>JÄMTLANDS LÄN</t>
        </is>
      </c>
      <c r="E6022" t="inlineStr">
        <is>
          <t>BERG</t>
        </is>
      </c>
      <c r="F6022" t="inlineStr">
        <is>
          <t>Kyrkan</t>
        </is>
      </c>
      <c r="G6022" t="n">
        <v>13.7</v>
      </c>
      <c r="H6022" t="n">
        <v>0</v>
      </c>
      <c r="I6022" t="n">
        <v>0</v>
      </c>
      <c r="J6022" t="n">
        <v>0</v>
      </c>
      <c r="K6022" t="n">
        <v>0</v>
      </c>
      <c r="L6022" t="n">
        <v>0</v>
      </c>
      <c r="M6022" t="n">
        <v>0</v>
      </c>
      <c r="N6022" t="n">
        <v>0</v>
      </c>
      <c r="O6022" t="n">
        <v>0</v>
      </c>
      <c r="P6022" t="n">
        <v>0</v>
      </c>
      <c r="Q6022" t="n">
        <v>0</v>
      </c>
      <c r="R6022" s="2" t="inlineStr"/>
    </row>
    <row r="6023" ht="15" customHeight="1">
      <c r="A6023" t="inlineStr">
        <is>
          <t>A 9851-2023</t>
        </is>
      </c>
      <c r="B6023" s="1" t="n">
        <v>44984</v>
      </c>
      <c r="C6023" s="1" t="n">
        <v>45182</v>
      </c>
      <c r="D6023" t="inlineStr">
        <is>
          <t>JÄMTLANDS LÄN</t>
        </is>
      </c>
      <c r="E6023" t="inlineStr">
        <is>
          <t>STRÖMSUND</t>
        </is>
      </c>
      <c r="F6023" t="inlineStr">
        <is>
          <t>SCA</t>
        </is>
      </c>
      <c r="G6023" t="n">
        <v>0.8</v>
      </c>
      <c r="H6023" t="n">
        <v>0</v>
      </c>
      <c r="I6023" t="n">
        <v>0</v>
      </c>
      <c r="J6023" t="n">
        <v>0</v>
      </c>
      <c r="K6023" t="n">
        <v>0</v>
      </c>
      <c r="L6023" t="n">
        <v>0</v>
      </c>
      <c r="M6023" t="n">
        <v>0</v>
      </c>
      <c r="N6023" t="n">
        <v>0</v>
      </c>
      <c r="O6023" t="n">
        <v>0</v>
      </c>
      <c r="P6023" t="n">
        <v>0</v>
      </c>
      <c r="Q6023" t="n">
        <v>0</v>
      </c>
      <c r="R6023" s="2" t="inlineStr"/>
    </row>
    <row r="6024" ht="15" customHeight="1">
      <c r="A6024" t="inlineStr">
        <is>
          <t>A 9678-2023</t>
        </is>
      </c>
      <c r="B6024" s="1" t="n">
        <v>44984</v>
      </c>
      <c r="C6024" s="1" t="n">
        <v>45182</v>
      </c>
      <c r="D6024" t="inlineStr">
        <is>
          <t>JÄMTLANDS LÄN</t>
        </is>
      </c>
      <c r="E6024" t="inlineStr">
        <is>
          <t>STRÖMSUND</t>
        </is>
      </c>
      <c r="G6024" t="n">
        <v>1.9</v>
      </c>
      <c r="H6024" t="n">
        <v>0</v>
      </c>
      <c r="I6024" t="n">
        <v>0</v>
      </c>
      <c r="J6024" t="n">
        <v>0</v>
      </c>
      <c r="K6024" t="n">
        <v>0</v>
      </c>
      <c r="L6024" t="n">
        <v>0</v>
      </c>
      <c r="M6024" t="n">
        <v>0</v>
      </c>
      <c r="N6024" t="n">
        <v>0</v>
      </c>
      <c r="O6024" t="n">
        <v>0</v>
      </c>
      <c r="P6024" t="n">
        <v>0</v>
      </c>
      <c r="Q6024" t="n">
        <v>0</v>
      </c>
      <c r="R6024" s="2" t="inlineStr"/>
    </row>
    <row r="6025" ht="15" customHeight="1">
      <c r="A6025" t="inlineStr">
        <is>
          <t>A 10738-2023</t>
        </is>
      </c>
      <c r="B6025" s="1" t="n">
        <v>44984</v>
      </c>
      <c r="C6025" s="1" t="n">
        <v>45182</v>
      </c>
      <c r="D6025" t="inlineStr">
        <is>
          <t>JÄMTLANDS LÄN</t>
        </is>
      </c>
      <c r="E6025" t="inlineStr">
        <is>
          <t>STRÖMSUND</t>
        </is>
      </c>
      <c r="G6025" t="n">
        <v>3.9</v>
      </c>
      <c r="H6025" t="n">
        <v>0</v>
      </c>
      <c r="I6025" t="n">
        <v>0</v>
      </c>
      <c r="J6025" t="n">
        <v>0</v>
      </c>
      <c r="K6025" t="n">
        <v>0</v>
      </c>
      <c r="L6025" t="n">
        <v>0</v>
      </c>
      <c r="M6025" t="n">
        <v>0</v>
      </c>
      <c r="N6025" t="n">
        <v>0</v>
      </c>
      <c r="O6025" t="n">
        <v>0</v>
      </c>
      <c r="P6025" t="n">
        <v>0</v>
      </c>
      <c r="Q6025" t="n">
        <v>0</v>
      </c>
      <c r="R6025" s="2" t="inlineStr"/>
    </row>
    <row r="6026" ht="15" customHeight="1">
      <c r="A6026" t="inlineStr">
        <is>
          <t>A 10706-2023</t>
        </is>
      </c>
      <c r="B6026" s="1" t="n">
        <v>44984</v>
      </c>
      <c r="C6026" s="1" t="n">
        <v>45182</v>
      </c>
      <c r="D6026" t="inlineStr">
        <is>
          <t>JÄMTLANDS LÄN</t>
        </is>
      </c>
      <c r="E6026" t="inlineStr">
        <is>
          <t>RAGUNDA</t>
        </is>
      </c>
      <c r="G6026" t="n">
        <v>7.7</v>
      </c>
      <c r="H6026" t="n">
        <v>0</v>
      </c>
      <c r="I6026" t="n">
        <v>0</v>
      </c>
      <c r="J6026" t="n">
        <v>0</v>
      </c>
      <c r="K6026" t="n">
        <v>0</v>
      </c>
      <c r="L6026" t="n">
        <v>0</v>
      </c>
      <c r="M6026" t="n">
        <v>0</v>
      </c>
      <c r="N6026" t="n">
        <v>0</v>
      </c>
      <c r="O6026" t="n">
        <v>0</v>
      </c>
      <c r="P6026" t="n">
        <v>0</v>
      </c>
      <c r="Q6026" t="n">
        <v>0</v>
      </c>
      <c r="R6026" s="2" t="inlineStr"/>
    </row>
    <row r="6027" ht="15" customHeight="1">
      <c r="A6027" t="inlineStr">
        <is>
          <t>A 10003-2023</t>
        </is>
      </c>
      <c r="B6027" s="1" t="n">
        <v>44985</v>
      </c>
      <c r="C6027" s="1" t="n">
        <v>45182</v>
      </c>
      <c r="D6027" t="inlineStr">
        <is>
          <t>JÄMTLANDS LÄN</t>
        </is>
      </c>
      <c r="E6027" t="inlineStr">
        <is>
          <t>HÄRJEDALEN</t>
        </is>
      </c>
      <c r="F6027" t="inlineStr">
        <is>
          <t>Holmen skog AB</t>
        </is>
      </c>
      <c r="G6027" t="n">
        <v>1.2</v>
      </c>
      <c r="H6027" t="n">
        <v>0</v>
      </c>
      <c r="I6027" t="n">
        <v>0</v>
      </c>
      <c r="J6027" t="n">
        <v>0</v>
      </c>
      <c r="K6027" t="n">
        <v>0</v>
      </c>
      <c r="L6027" t="n">
        <v>0</v>
      </c>
      <c r="M6027" t="n">
        <v>0</v>
      </c>
      <c r="N6027" t="n">
        <v>0</v>
      </c>
      <c r="O6027" t="n">
        <v>0</v>
      </c>
      <c r="P6027" t="n">
        <v>0</v>
      </c>
      <c r="Q6027" t="n">
        <v>0</v>
      </c>
      <c r="R6027" s="2" t="inlineStr"/>
    </row>
    <row r="6028" ht="15" customHeight="1">
      <c r="A6028" t="inlineStr">
        <is>
          <t>A 10043-2023</t>
        </is>
      </c>
      <c r="B6028" s="1" t="n">
        <v>44985</v>
      </c>
      <c r="C6028" s="1" t="n">
        <v>45182</v>
      </c>
      <c r="D6028" t="inlineStr">
        <is>
          <t>JÄMTLANDS LÄN</t>
        </is>
      </c>
      <c r="E6028" t="inlineStr">
        <is>
          <t>HÄRJEDALEN</t>
        </is>
      </c>
      <c r="F6028" t="inlineStr">
        <is>
          <t>Holmen skog AB</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10101-2023</t>
        </is>
      </c>
      <c r="B6029" s="1" t="n">
        <v>44985</v>
      </c>
      <c r="C6029" s="1" t="n">
        <v>45182</v>
      </c>
      <c r="D6029" t="inlineStr">
        <is>
          <t>JÄMTLANDS LÄN</t>
        </is>
      </c>
      <c r="E6029" t="inlineStr">
        <is>
          <t>STRÖMSUND</t>
        </is>
      </c>
      <c r="F6029" t="inlineStr">
        <is>
          <t>SCA</t>
        </is>
      </c>
      <c r="G6029" t="n">
        <v>7.9</v>
      </c>
      <c r="H6029" t="n">
        <v>0</v>
      </c>
      <c r="I6029" t="n">
        <v>0</v>
      </c>
      <c r="J6029" t="n">
        <v>0</v>
      </c>
      <c r="K6029" t="n">
        <v>0</v>
      </c>
      <c r="L6029" t="n">
        <v>0</v>
      </c>
      <c r="M6029" t="n">
        <v>0</v>
      </c>
      <c r="N6029" t="n">
        <v>0</v>
      </c>
      <c r="O6029" t="n">
        <v>0</v>
      </c>
      <c r="P6029" t="n">
        <v>0</v>
      </c>
      <c r="Q6029" t="n">
        <v>0</v>
      </c>
      <c r="R6029" s="2" t="inlineStr"/>
    </row>
    <row r="6030" ht="15" customHeight="1">
      <c r="A6030" t="inlineStr">
        <is>
          <t>A 10944-2023</t>
        </is>
      </c>
      <c r="B6030" s="1" t="n">
        <v>44985</v>
      </c>
      <c r="C6030" s="1" t="n">
        <v>45182</v>
      </c>
      <c r="D6030" t="inlineStr">
        <is>
          <t>JÄMTLANDS LÄN</t>
        </is>
      </c>
      <c r="E6030" t="inlineStr">
        <is>
          <t>STRÖMSUND</t>
        </is>
      </c>
      <c r="G6030" t="n">
        <v>1.4</v>
      </c>
      <c r="H6030" t="n">
        <v>0</v>
      </c>
      <c r="I6030" t="n">
        <v>0</v>
      </c>
      <c r="J6030" t="n">
        <v>0</v>
      </c>
      <c r="K6030" t="n">
        <v>0</v>
      </c>
      <c r="L6030" t="n">
        <v>0</v>
      </c>
      <c r="M6030" t="n">
        <v>0</v>
      </c>
      <c r="N6030" t="n">
        <v>0</v>
      </c>
      <c r="O6030" t="n">
        <v>0</v>
      </c>
      <c r="P6030" t="n">
        <v>0</v>
      </c>
      <c r="Q6030" t="n">
        <v>0</v>
      </c>
      <c r="R6030" s="2" t="inlineStr"/>
    </row>
    <row r="6031" ht="15" customHeight="1">
      <c r="A6031" t="inlineStr">
        <is>
          <t>A 10000-2023</t>
        </is>
      </c>
      <c r="B6031" s="1" t="n">
        <v>44985</v>
      </c>
      <c r="C6031" s="1" t="n">
        <v>45182</v>
      </c>
      <c r="D6031" t="inlineStr">
        <is>
          <t>JÄMTLANDS LÄN</t>
        </is>
      </c>
      <c r="E6031" t="inlineStr">
        <is>
          <t>HÄRJEDALEN</t>
        </is>
      </c>
      <c r="F6031" t="inlineStr">
        <is>
          <t>Holmen skog AB</t>
        </is>
      </c>
      <c r="G6031" t="n">
        <v>12.6</v>
      </c>
      <c r="H6031" t="n">
        <v>0</v>
      </c>
      <c r="I6031" t="n">
        <v>0</v>
      </c>
      <c r="J6031" t="n">
        <v>0</v>
      </c>
      <c r="K6031" t="n">
        <v>0</v>
      </c>
      <c r="L6031" t="n">
        <v>0</v>
      </c>
      <c r="M6031" t="n">
        <v>0</v>
      </c>
      <c r="N6031" t="n">
        <v>0</v>
      </c>
      <c r="O6031" t="n">
        <v>0</v>
      </c>
      <c r="P6031" t="n">
        <v>0</v>
      </c>
      <c r="Q6031" t="n">
        <v>0</v>
      </c>
      <c r="R6031" s="2" t="inlineStr"/>
    </row>
    <row r="6032" ht="15" customHeight="1">
      <c r="A6032" t="inlineStr">
        <is>
          <t>A 9993-2023</t>
        </is>
      </c>
      <c r="B6032" s="1" t="n">
        <v>44985</v>
      </c>
      <c r="C6032" s="1" t="n">
        <v>45182</v>
      </c>
      <c r="D6032" t="inlineStr">
        <is>
          <t>JÄMTLANDS LÄN</t>
        </is>
      </c>
      <c r="E6032" t="inlineStr">
        <is>
          <t>HÄRJEDALEN</t>
        </is>
      </c>
      <c r="F6032" t="inlineStr">
        <is>
          <t>Holmen skog AB</t>
        </is>
      </c>
      <c r="G6032" t="n">
        <v>0.8</v>
      </c>
      <c r="H6032" t="n">
        <v>0</v>
      </c>
      <c r="I6032" t="n">
        <v>0</v>
      </c>
      <c r="J6032" t="n">
        <v>0</v>
      </c>
      <c r="K6032" t="n">
        <v>0</v>
      </c>
      <c r="L6032" t="n">
        <v>0</v>
      </c>
      <c r="M6032" t="n">
        <v>0</v>
      </c>
      <c r="N6032" t="n">
        <v>0</v>
      </c>
      <c r="O6032" t="n">
        <v>0</v>
      </c>
      <c r="P6032" t="n">
        <v>0</v>
      </c>
      <c r="Q6032" t="n">
        <v>0</v>
      </c>
      <c r="R6032" s="2" t="inlineStr"/>
    </row>
    <row r="6033" ht="15" customHeight="1">
      <c r="A6033" t="inlineStr">
        <is>
          <t>A 10015-2023</t>
        </is>
      </c>
      <c r="B6033" s="1" t="n">
        <v>44985</v>
      </c>
      <c r="C6033" s="1" t="n">
        <v>45182</v>
      </c>
      <c r="D6033" t="inlineStr">
        <is>
          <t>JÄMTLANDS LÄN</t>
        </is>
      </c>
      <c r="E6033" t="inlineStr">
        <is>
          <t>HÄRJEDALEN</t>
        </is>
      </c>
      <c r="F6033" t="inlineStr">
        <is>
          <t>Holmen skog AB</t>
        </is>
      </c>
      <c r="G6033" t="n">
        <v>3.2</v>
      </c>
      <c r="H6033" t="n">
        <v>0</v>
      </c>
      <c r="I6033" t="n">
        <v>0</v>
      </c>
      <c r="J6033" t="n">
        <v>0</v>
      </c>
      <c r="K6033" t="n">
        <v>0</v>
      </c>
      <c r="L6033" t="n">
        <v>0</v>
      </c>
      <c r="M6033" t="n">
        <v>0</v>
      </c>
      <c r="N6033" t="n">
        <v>0</v>
      </c>
      <c r="O6033" t="n">
        <v>0</v>
      </c>
      <c r="P6033" t="n">
        <v>0</v>
      </c>
      <c r="Q6033" t="n">
        <v>0</v>
      </c>
      <c r="R6033" s="2" t="inlineStr"/>
    </row>
    <row r="6034" ht="15" customHeight="1">
      <c r="A6034" t="inlineStr">
        <is>
          <t>A 10040-2023</t>
        </is>
      </c>
      <c r="B6034" s="1" t="n">
        <v>44985</v>
      </c>
      <c r="C6034" s="1" t="n">
        <v>45182</v>
      </c>
      <c r="D6034" t="inlineStr">
        <is>
          <t>JÄMTLANDS LÄN</t>
        </is>
      </c>
      <c r="E6034" t="inlineStr">
        <is>
          <t>HÄRJEDALEN</t>
        </is>
      </c>
      <c r="F6034" t="inlineStr">
        <is>
          <t>Holmen skog AB</t>
        </is>
      </c>
      <c r="G6034" t="n">
        <v>2.2</v>
      </c>
      <c r="H6034" t="n">
        <v>0</v>
      </c>
      <c r="I6034" t="n">
        <v>0</v>
      </c>
      <c r="J6034" t="n">
        <v>0</v>
      </c>
      <c r="K6034" t="n">
        <v>0</v>
      </c>
      <c r="L6034" t="n">
        <v>0</v>
      </c>
      <c r="M6034" t="n">
        <v>0</v>
      </c>
      <c r="N6034" t="n">
        <v>0</v>
      </c>
      <c r="O6034" t="n">
        <v>0</v>
      </c>
      <c r="P6034" t="n">
        <v>0</v>
      </c>
      <c r="Q6034" t="n">
        <v>0</v>
      </c>
      <c r="R6034" s="2" t="inlineStr"/>
    </row>
    <row r="6035" ht="15" customHeight="1">
      <c r="A6035" t="inlineStr">
        <is>
          <t>A 10102-2023</t>
        </is>
      </c>
      <c r="B6035" s="1" t="n">
        <v>44985</v>
      </c>
      <c r="C6035" s="1" t="n">
        <v>45182</v>
      </c>
      <c r="D6035" t="inlineStr">
        <is>
          <t>JÄMTLANDS LÄN</t>
        </is>
      </c>
      <c r="E6035" t="inlineStr">
        <is>
          <t>STRÖMSUND</t>
        </is>
      </c>
      <c r="F6035" t="inlineStr">
        <is>
          <t>SCA</t>
        </is>
      </c>
      <c r="G6035" t="n">
        <v>2.2</v>
      </c>
      <c r="H6035" t="n">
        <v>0</v>
      </c>
      <c r="I6035" t="n">
        <v>0</v>
      </c>
      <c r="J6035" t="n">
        <v>0</v>
      </c>
      <c r="K6035" t="n">
        <v>0</v>
      </c>
      <c r="L6035" t="n">
        <v>0</v>
      </c>
      <c r="M6035" t="n">
        <v>0</v>
      </c>
      <c r="N6035" t="n">
        <v>0</v>
      </c>
      <c r="O6035" t="n">
        <v>0</v>
      </c>
      <c r="P6035" t="n">
        <v>0</v>
      </c>
      <c r="Q6035" t="n">
        <v>0</v>
      </c>
      <c r="R6035" s="2" t="inlineStr"/>
    </row>
    <row r="6036" ht="15" customHeight="1">
      <c r="A6036" t="inlineStr">
        <is>
          <t>A 10309-2023</t>
        </is>
      </c>
      <c r="B6036" s="1" t="n">
        <v>44986</v>
      </c>
      <c r="C6036" s="1" t="n">
        <v>45182</v>
      </c>
      <c r="D6036" t="inlineStr">
        <is>
          <t>JÄMTLANDS LÄN</t>
        </is>
      </c>
      <c r="E6036" t="inlineStr">
        <is>
          <t>BRÄCKE</t>
        </is>
      </c>
      <c r="F6036" t="inlineStr">
        <is>
          <t>SCA</t>
        </is>
      </c>
      <c r="G6036" t="n">
        <v>1</v>
      </c>
      <c r="H6036" t="n">
        <v>0</v>
      </c>
      <c r="I6036" t="n">
        <v>0</v>
      </c>
      <c r="J6036" t="n">
        <v>0</v>
      </c>
      <c r="K6036" t="n">
        <v>0</v>
      </c>
      <c r="L6036" t="n">
        <v>0</v>
      </c>
      <c r="M6036" t="n">
        <v>0</v>
      </c>
      <c r="N6036" t="n">
        <v>0</v>
      </c>
      <c r="O6036" t="n">
        <v>0</v>
      </c>
      <c r="P6036" t="n">
        <v>0</v>
      </c>
      <c r="Q6036" t="n">
        <v>0</v>
      </c>
      <c r="R6036" s="2" t="inlineStr"/>
    </row>
    <row r="6037" ht="15" customHeight="1">
      <c r="A6037" t="inlineStr">
        <is>
          <t>A 11093-2023</t>
        </is>
      </c>
      <c r="B6037" s="1" t="n">
        <v>44986</v>
      </c>
      <c r="C6037" s="1" t="n">
        <v>45182</v>
      </c>
      <c r="D6037" t="inlineStr">
        <is>
          <t>JÄMTLANDS LÄN</t>
        </is>
      </c>
      <c r="E6037" t="inlineStr">
        <is>
          <t>RAGUNDA</t>
        </is>
      </c>
      <c r="G6037" t="n">
        <v>3.6</v>
      </c>
      <c r="H6037" t="n">
        <v>0</v>
      </c>
      <c r="I6037" t="n">
        <v>0</v>
      </c>
      <c r="J6037" t="n">
        <v>0</v>
      </c>
      <c r="K6037" t="n">
        <v>0</v>
      </c>
      <c r="L6037" t="n">
        <v>0</v>
      </c>
      <c r="M6037" t="n">
        <v>0</v>
      </c>
      <c r="N6037" t="n">
        <v>0</v>
      </c>
      <c r="O6037" t="n">
        <v>0</v>
      </c>
      <c r="P6037" t="n">
        <v>0</v>
      </c>
      <c r="Q6037" t="n">
        <v>0</v>
      </c>
      <c r="R6037" s="2" t="inlineStr"/>
    </row>
    <row r="6038" ht="15" customHeight="1">
      <c r="A6038" t="inlineStr">
        <is>
          <t>A 10305-2023</t>
        </is>
      </c>
      <c r="B6038" s="1" t="n">
        <v>44986</v>
      </c>
      <c r="C6038" s="1" t="n">
        <v>45182</v>
      </c>
      <c r="D6038" t="inlineStr">
        <is>
          <t>JÄMTLANDS LÄN</t>
        </is>
      </c>
      <c r="E6038" t="inlineStr">
        <is>
          <t>ÖSTERSUND</t>
        </is>
      </c>
      <c r="F6038" t="inlineStr">
        <is>
          <t>SCA</t>
        </is>
      </c>
      <c r="G6038" t="n">
        <v>3.9</v>
      </c>
      <c r="H6038" t="n">
        <v>0</v>
      </c>
      <c r="I6038" t="n">
        <v>0</v>
      </c>
      <c r="J6038" t="n">
        <v>0</v>
      </c>
      <c r="K6038" t="n">
        <v>0</v>
      </c>
      <c r="L6038" t="n">
        <v>0</v>
      </c>
      <c r="M6038" t="n">
        <v>0</v>
      </c>
      <c r="N6038" t="n">
        <v>0</v>
      </c>
      <c r="O6038" t="n">
        <v>0</v>
      </c>
      <c r="P6038" t="n">
        <v>0</v>
      </c>
      <c r="Q6038" t="n">
        <v>0</v>
      </c>
      <c r="R6038" s="2" t="inlineStr"/>
    </row>
    <row r="6039" ht="15" customHeight="1">
      <c r="A6039" t="inlineStr">
        <is>
          <t>A 10314-2023</t>
        </is>
      </c>
      <c r="B6039" s="1" t="n">
        <v>44986</v>
      </c>
      <c r="C6039" s="1" t="n">
        <v>45182</v>
      </c>
      <c r="D6039" t="inlineStr">
        <is>
          <t>JÄMTLANDS LÄN</t>
        </is>
      </c>
      <c r="E6039" t="inlineStr">
        <is>
          <t>KROKOM</t>
        </is>
      </c>
      <c r="F6039" t="inlineStr">
        <is>
          <t>SCA</t>
        </is>
      </c>
      <c r="G6039" t="n">
        <v>9.9</v>
      </c>
      <c r="H6039" t="n">
        <v>0</v>
      </c>
      <c r="I6039" t="n">
        <v>0</v>
      </c>
      <c r="J6039" t="n">
        <v>0</v>
      </c>
      <c r="K6039" t="n">
        <v>0</v>
      </c>
      <c r="L6039" t="n">
        <v>0</v>
      </c>
      <c r="M6039" t="n">
        <v>0</v>
      </c>
      <c r="N6039" t="n">
        <v>0</v>
      </c>
      <c r="O6039" t="n">
        <v>0</v>
      </c>
      <c r="P6039" t="n">
        <v>0</v>
      </c>
      <c r="Q6039" t="n">
        <v>0</v>
      </c>
      <c r="R6039" s="2" t="inlineStr"/>
    </row>
    <row r="6040" ht="15" customHeight="1">
      <c r="A6040" t="inlineStr">
        <is>
          <t>A 10344-2023</t>
        </is>
      </c>
      <c r="B6040" s="1" t="n">
        <v>44987</v>
      </c>
      <c r="C6040" s="1" t="n">
        <v>45182</v>
      </c>
      <c r="D6040" t="inlineStr">
        <is>
          <t>JÄMTLANDS LÄN</t>
        </is>
      </c>
      <c r="E6040" t="inlineStr">
        <is>
          <t>HÄRJEDALEN</t>
        </is>
      </c>
      <c r="F6040" t="inlineStr">
        <is>
          <t>Holmen skog AB</t>
        </is>
      </c>
      <c r="G6040" t="n">
        <v>7.2</v>
      </c>
      <c r="H6040" t="n">
        <v>0</v>
      </c>
      <c r="I6040" t="n">
        <v>0</v>
      </c>
      <c r="J6040" t="n">
        <v>0</v>
      </c>
      <c r="K6040" t="n">
        <v>0</v>
      </c>
      <c r="L6040" t="n">
        <v>0</v>
      </c>
      <c r="M6040" t="n">
        <v>0</v>
      </c>
      <c r="N6040" t="n">
        <v>0</v>
      </c>
      <c r="O6040" t="n">
        <v>0</v>
      </c>
      <c r="P6040" t="n">
        <v>0</v>
      </c>
      <c r="Q6040" t="n">
        <v>0</v>
      </c>
      <c r="R6040" s="2" t="inlineStr"/>
    </row>
    <row r="6041" ht="15" customHeight="1">
      <c r="A6041" t="inlineStr">
        <is>
          <t>A 10353-2023</t>
        </is>
      </c>
      <c r="B6041" s="1" t="n">
        <v>44987</v>
      </c>
      <c r="C6041" s="1" t="n">
        <v>45182</v>
      </c>
      <c r="D6041" t="inlineStr">
        <is>
          <t>JÄMTLANDS LÄN</t>
        </is>
      </c>
      <c r="E6041" t="inlineStr">
        <is>
          <t>HÄRJEDALEN</t>
        </is>
      </c>
      <c r="F6041" t="inlineStr">
        <is>
          <t>Holmen skog AB</t>
        </is>
      </c>
      <c r="G6041" t="n">
        <v>1.1</v>
      </c>
      <c r="H6041" t="n">
        <v>0</v>
      </c>
      <c r="I6041" t="n">
        <v>0</v>
      </c>
      <c r="J6041" t="n">
        <v>0</v>
      </c>
      <c r="K6041" t="n">
        <v>0</v>
      </c>
      <c r="L6041" t="n">
        <v>0</v>
      </c>
      <c r="M6041" t="n">
        <v>0</v>
      </c>
      <c r="N6041" t="n">
        <v>0</v>
      </c>
      <c r="O6041" t="n">
        <v>0</v>
      </c>
      <c r="P6041" t="n">
        <v>0</v>
      </c>
      <c r="Q6041" t="n">
        <v>0</v>
      </c>
      <c r="R6041" s="2" t="inlineStr"/>
    </row>
    <row r="6042" ht="15" customHeight="1">
      <c r="A6042" t="inlineStr">
        <is>
          <t>A 10538-2023</t>
        </is>
      </c>
      <c r="B6042" s="1" t="n">
        <v>44987</v>
      </c>
      <c r="C6042" s="1" t="n">
        <v>45182</v>
      </c>
      <c r="D6042" t="inlineStr">
        <is>
          <t>JÄMTLANDS LÄN</t>
        </is>
      </c>
      <c r="E6042" t="inlineStr">
        <is>
          <t>BERG</t>
        </is>
      </c>
      <c r="F6042" t="inlineStr">
        <is>
          <t>Kyrkan</t>
        </is>
      </c>
      <c r="G6042" t="n">
        <v>8.300000000000001</v>
      </c>
      <c r="H6042" t="n">
        <v>0</v>
      </c>
      <c r="I6042" t="n">
        <v>0</v>
      </c>
      <c r="J6042" t="n">
        <v>0</v>
      </c>
      <c r="K6042" t="n">
        <v>0</v>
      </c>
      <c r="L6042" t="n">
        <v>0</v>
      </c>
      <c r="M6042" t="n">
        <v>0</v>
      </c>
      <c r="N6042" t="n">
        <v>0</v>
      </c>
      <c r="O6042" t="n">
        <v>0</v>
      </c>
      <c r="P6042" t="n">
        <v>0</v>
      </c>
      <c r="Q6042" t="n">
        <v>0</v>
      </c>
      <c r="R6042" s="2" t="inlineStr"/>
    </row>
    <row r="6043" ht="15" customHeight="1">
      <c r="A6043" t="inlineStr">
        <is>
          <t>A 10338-2023</t>
        </is>
      </c>
      <c r="B6043" s="1" t="n">
        <v>44987</v>
      </c>
      <c r="C6043" s="1" t="n">
        <v>45182</v>
      </c>
      <c r="D6043" t="inlineStr">
        <is>
          <t>JÄMTLANDS LÄN</t>
        </is>
      </c>
      <c r="E6043" t="inlineStr">
        <is>
          <t>HÄRJEDALEN</t>
        </is>
      </c>
      <c r="F6043" t="inlineStr">
        <is>
          <t>Holmen skog AB</t>
        </is>
      </c>
      <c r="G6043" t="n">
        <v>11.8</v>
      </c>
      <c r="H6043" t="n">
        <v>0</v>
      </c>
      <c r="I6043" t="n">
        <v>0</v>
      </c>
      <c r="J6043" t="n">
        <v>0</v>
      </c>
      <c r="K6043" t="n">
        <v>0</v>
      </c>
      <c r="L6043" t="n">
        <v>0</v>
      </c>
      <c r="M6043" t="n">
        <v>0</v>
      </c>
      <c r="N6043" t="n">
        <v>0</v>
      </c>
      <c r="O6043" t="n">
        <v>0</v>
      </c>
      <c r="P6043" t="n">
        <v>0</v>
      </c>
      <c r="Q6043" t="n">
        <v>0</v>
      </c>
      <c r="R6043" s="2" t="inlineStr"/>
    </row>
    <row r="6044" ht="15" customHeight="1">
      <c r="A6044" t="inlineStr">
        <is>
          <t>A 10537-2023</t>
        </is>
      </c>
      <c r="B6044" s="1" t="n">
        <v>44987</v>
      </c>
      <c r="C6044" s="1" t="n">
        <v>45182</v>
      </c>
      <c r="D6044" t="inlineStr">
        <is>
          <t>JÄMTLANDS LÄN</t>
        </is>
      </c>
      <c r="E6044" t="inlineStr">
        <is>
          <t>STRÖMSUND</t>
        </is>
      </c>
      <c r="G6044" t="n">
        <v>2.1</v>
      </c>
      <c r="H6044" t="n">
        <v>0</v>
      </c>
      <c r="I6044" t="n">
        <v>0</v>
      </c>
      <c r="J6044" t="n">
        <v>0</v>
      </c>
      <c r="K6044" t="n">
        <v>0</v>
      </c>
      <c r="L6044" t="n">
        <v>0</v>
      </c>
      <c r="M6044" t="n">
        <v>0</v>
      </c>
      <c r="N6044" t="n">
        <v>0</v>
      </c>
      <c r="O6044" t="n">
        <v>0</v>
      </c>
      <c r="P6044" t="n">
        <v>0</v>
      </c>
      <c r="Q6044" t="n">
        <v>0</v>
      </c>
      <c r="R6044" s="2" t="inlineStr"/>
    </row>
    <row r="6045" ht="15" customHeight="1">
      <c r="A6045" t="inlineStr">
        <is>
          <t>A 10559-2023</t>
        </is>
      </c>
      <c r="B6045" s="1" t="n">
        <v>44987</v>
      </c>
      <c r="C6045" s="1" t="n">
        <v>45182</v>
      </c>
      <c r="D6045" t="inlineStr">
        <is>
          <t>JÄMTLANDS LÄN</t>
        </is>
      </c>
      <c r="E6045" t="inlineStr">
        <is>
          <t>RAGUNDA</t>
        </is>
      </c>
      <c r="F6045" t="inlineStr">
        <is>
          <t>SCA</t>
        </is>
      </c>
      <c r="G6045" t="n">
        <v>3.8</v>
      </c>
      <c r="H6045" t="n">
        <v>0</v>
      </c>
      <c r="I6045" t="n">
        <v>0</v>
      </c>
      <c r="J6045" t="n">
        <v>0</v>
      </c>
      <c r="K6045" t="n">
        <v>0</v>
      </c>
      <c r="L6045" t="n">
        <v>0</v>
      </c>
      <c r="M6045" t="n">
        <v>0</v>
      </c>
      <c r="N6045" t="n">
        <v>0</v>
      </c>
      <c r="O6045" t="n">
        <v>0</v>
      </c>
      <c r="P6045" t="n">
        <v>0</v>
      </c>
      <c r="Q6045" t="n">
        <v>0</v>
      </c>
      <c r="R6045" s="2" t="inlineStr"/>
    </row>
    <row r="6046" ht="15" customHeight="1">
      <c r="A6046" t="inlineStr">
        <is>
          <t>A 11185-2023</t>
        </is>
      </c>
      <c r="B6046" s="1" t="n">
        <v>44987</v>
      </c>
      <c r="C6046" s="1" t="n">
        <v>45182</v>
      </c>
      <c r="D6046" t="inlineStr">
        <is>
          <t>JÄMTLANDS LÄN</t>
        </is>
      </c>
      <c r="E6046" t="inlineStr">
        <is>
          <t>BERG</t>
        </is>
      </c>
      <c r="G6046" t="n">
        <v>1.7</v>
      </c>
      <c r="H6046" t="n">
        <v>0</v>
      </c>
      <c r="I6046" t="n">
        <v>0</v>
      </c>
      <c r="J6046" t="n">
        <v>0</v>
      </c>
      <c r="K6046" t="n">
        <v>0</v>
      </c>
      <c r="L6046" t="n">
        <v>0</v>
      </c>
      <c r="M6046" t="n">
        <v>0</v>
      </c>
      <c r="N6046" t="n">
        <v>0</v>
      </c>
      <c r="O6046" t="n">
        <v>0</v>
      </c>
      <c r="P6046" t="n">
        <v>0</v>
      </c>
      <c r="Q6046" t="n">
        <v>0</v>
      </c>
      <c r="R6046" s="2" t="inlineStr"/>
    </row>
    <row r="6047" ht="15" customHeight="1">
      <c r="A6047" t="inlineStr">
        <is>
          <t>A 10763-2023</t>
        </is>
      </c>
      <c r="B6047" s="1" t="n">
        <v>44988</v>
      </c>
      <c r="C6047" s="1" t="n">
        <v>45182</v>
      </c>
      <c r="D6047" t="inlineStr">
        <is>
          <t>JÄMTLANDS LÄN</t>
        </is>
      </c>
      <c r="E6047" t="inlineStr">
        <is>
          <t>BRÄCKE</t>
        </is>
      </c>
      <c r="G6047" t="n">
        <v>1.8</v>
      </c>
      <c r="H6047" t="n">
        <v>0</v>
      </c>
      <c r="I6047" t="n">
        <v>0</v>
      </c>
      <c r="J6047" t="n">
        <v>0</v>
      </c>
      <c r="K6047" t="n">
        <v>0</v>
      </c>
      <c r="L6047" t="n">
        <v>0</v>
      </c>
      <c r="M6047" t="n">
        <v>0</v>
      </c>
      <c r="N6047" t="n">
        <v>0</v>
      </c>
      <c r="O6047" t="n">
        <v>0</v>
      </c>
      <c r="P6047" t="n">
        <v>0</v>
      </c>
      <c r="Q6047" t="n">
        <v>0</v>
      </c>
      <c r="R6047" s="2" t="inlineStr"/>
    </row>
    <row r="6048" ht="15" customHeight="1">
      <c r="A6048" t="inlineStr">
        <is>
          <t>A 11444-2023</t>
        </is>
      </c>
      <c r="B6048" s="1" t="n">
        <v>44991</v>
      </c>
      <c r="C6048" s="1" t="n">
        <v>45182</v>
      </c>
      <c r="D6048" t="inlineStr">
        <is>
          <t>JÄMTLANDS LÄN</t>
        </is>
      </c>
      <c r="E6048" t="inlineStr">
        <is>
          <t>STRÖMSUND</t>
        </is>
      </c>
      <c r="G6048" t="n">
        <v>3.5</v>
      </c>
      <c r="H6048" t="n">
        <v>0</v>
      </c>
      <c r="I6048" t="n">
        <v>0</v>
      </c>
      <c r="J6048" t="n">
        <v>0</v>
      </c>
      <c r="K6048" t="n">
        <v>0</v>
      </c>
      <c r="L6048" t="n">
        <v>0</v>
      </c>
      <c r="M6048" t="n">
        <v>0</v>
      </c>
      <c r="N6048" t="n">
        <v>0</v>
      </c>
      <c r="O6048" t="n">
        <v>0</v>
      </c>
      <c r="P6048" t="n">
        <v>0</v>
      </c>
      <c r="Q6048" t="n">
        <v>0</v>
      </c>
      <c r="R6048" s="2" t="inlineStr"/>
    </row>
    <row r="6049" ht="15" customHeight="1">
      <c r="A6049" t="inlineStr">
        <is>
          <t>A 11048-2023</t>
        </is>
      </c>
      <c r="B6049" s="1" t="n">
        <v>44991</v>
      </c>
      <c r="C6049" s="1" t="n">
        <v>45182</v>
      </c>
      <c r="D6049" t="inlineStr">
        <is>
          <t>JÄMTLANDS LÄN</t>
        </is>
      </c>
      <c r="E6049" t="inlineStr">
        <is>
          <t>RAGUNDA</t>
        </is>
      </c>
      <c r="F6049" t="inlineStr">
        <is>
          <t>SCA</t>
        </is>
      </c>
      <c r="G6049" t="n">
        <v>13.5</v>
      </c>
      <c r="H6049" t="n">
        <v>0</v>
      </c>
      <c r="I6049" t="n">
        <v>0</v>
      </c>
      <c r="J6049" t="n">
        <v>0</v>
      </c>
      <c r="K6049" t="n">
        <v>0</v>
      </c>
      <c r="L6049" t="n">
        <v>0</v>
      </c>
      <c r="M6049" t="n">
        <v>0</v>
      </c>
      <c r="N6049" t="n">
        <v>0</v>
      </c>
      <c r="O6049" t="n">
        <v>0</v>
      </c>
      <c r="P6049" t="n">
        <v>0</v>
      </c>
      <c r="Q6049" t="n">
        <v>0</v>
      </c>
      <c r="R6049" s="2" t="inlineStr"/>
    </row>
    <row r="6050" ht="15" customHeight="1">
      <c r="A6050" t="inlineStr">
        <is>
          <t>A 11062-2023</t>
        </is>
      </c>
      <c r="B6050" s="1" t="n">
        <v>44991</v>
      </c>
      <c r="C6050" s="1" t="n">
        <v>45182</v>
      </c>
      <c r="D6050" t="inlineStr">
        <is>
          <t>JÄMTLANDS LÄN</t>
        </is>
      </c>
      <c r="E6050" t="inlineStr">
        <is>
          <t>RAGUNDA</t>
        </is>
      </c>
      <c r="F6050" t="inlineStr">
        <is>
          <t>SCA</t>
        </is>
      </c>
      <c r="G6050" t="n">
        <v>18</v>
      </c>
      <c r="H6050" t="n">
        <v>0</v>
      </c>
      <c r="I6050" t="n">
        <v>0</v>
      </c>
      <c r="J6050" t="n">
        <v>0</v>
      </c>
      <c r="K6050" t="n">
        <v>0</v>
      </c>
      <c r="L6050" t="n">
        <v>0</v>
      </c>
      <c r="M6050" t="n">
        <v>0</v>
      </c>
      <c r="N6050" t="n">
        <v>0</v>
      </c>
      <c r="O6050" t="n">
        <v>0</v>
      </c>
      <c r="P6050" t="n">
        <v>0</v>
      </c>
      <c r="Q6050" t="n">
        <v>0</v>
      </c>
      <c r="R6050" s="2" t="inlineStr"/>
    </row>
    <row r="6051" ht="15" customHeight="1">
      <c r="A6051" t="inlineStr">
        <is>
          <t>A 11458-2023</t>
        </is>
      </c>
      <c r="B6051" s="1" t="n">
        <v>44991</v>
      </c>
      <c r="C6051" s="1" t="n">
        <v>45182</v>
      </c>
      <c r="D6051" t="inlineStr">
        <is>
          <t>JÄMTLANDS LÄN</t>
        </is>
      </c>
      <c r="E6051" t="inlineStr">
        <is>
          <t>STRÖMSUND</t>
        </is>
      </c>
      <c r="G6051" t="n">
        <v>2.5</v>
      </c>
      <c r="H6051" t="n">
        <v>0</v>
      </c>
      <c r="I6051" t="n">
        <v>0</v>
      </c>
      <c r="J6051" t="n">
        <v>0</v>
      </c>
      <c r="K6051" t="n">
        <v>0</v>
      </c>
      <c r="L6051" t="n">
        <v>0</v>
      </c>
      <c r="M6051" t="n">
        <v>0</v>
      </c>
      <c r="N6051" t="n">
        <v>0</v>
      </c>
      <c r="O6051" t="n">
        <v>0</v>
      </c>
      <c r="P6051" t="n">
        <v>0</v>
      </c>
      <c r="Q6051" t="n">
        <v>0</v>
      </c>
      <c r="R6051" s="2" t="inlineStr"/>
    </row>
    <row r="6052" ht="15" customHeight="1">
      <c r="A6052" t="inlineStr">
        <is>
          <t>A 11040-2023</t>
        </is>
      </c>
      <c r="B6052" s="1" t="n">
        <v>44991</v>
      </c>
      <c r="C6052" s="1" t="n">
        <v>45182</v>
      </c>
      <c r="D6052" t="inlineStr">
        <is>
          <t>JÄMTLANDS LÄN</t>
        </is>
      </c>
      <c r="E6052" t="inlineStr">
        <is>
          <t>RAGUNDA</t>
        </is>
      </c>
      <c r="F6052" t="inlineStr">
        <is>
          <t>SCA</t>
        </is>
      </c>
      <c r="G6052" t="n">
        <v>10.2</v>
      </c>
      <c r="H6052" t="n">
        <v>0</v>
      </c>
      <c r="I6052" t="n">
        <v>0</v>
      </c>
      <c r="J6052" t="n">
        <v>0</v>
      </c>
      <c r="K6052" t="n">
        <v>0</v>
      </c>
      <c r="L6052" t="n">
        <v>0</v>
      </c>
      <c r="M6052" t="n">
        <v>0</v>
      </c>
      <c r="N6052" t="n">
        <v>0</v>
      </c>
      <c r="O6052" t="n">
        <v>0</v>
      </c>
      <c r="P6052" t="n">
        <v>0</v>
      </c>
      <c r="Q6052" t="n">
        <v>0</v>
      </c>
      <c r="R6052" s="2" t="inlineStr"/>
    </row>
    <row r="6053" ht="15" customHeight="1">
      <c r="A6053" t="inlineStr">
        <is>
          <t>A 11063-2023</t>
        </is>
      </c>
      <c r="B6053" s="1" t="n">
        <v>44991</v>
      </c>
      <c r="C6053" s="1" t="n">
        <v>45182</v>
      </c>
      <c r="D6053" t="inlineStr">
        <is>
          <t>JÄMTLANDS LÄN</t>
        </is>
      </c>
      <c r="E6053" t="inlineStr">
        <is>
          <t>RAGUNDA</t>
        </is>
      </c>
      <c r="F6053" t="inlineStr">
        <is>
          <t>SCA</t>
        </is>
      </c>
      <c r="G6053" t="n">
        <v>4.5</v>
      </c>
      <c r="H6053" t="n">
        <v>0</v>
      </c>
      <c r="I6053" t="n">
        <v>0</v>
      </c>
      <c r="J6053" t="n">
        <v>0</v>
      </c>
      <c r="K6053" t="n">
        <v>0</v>
      </c>
      <c r="L6053" t="n">
        <v>0</v>
      </c>
      <c r="M6053" t="n">
        <v>0</v>
      </c>
      <c r="N6053" t="n">
        <v>0</v>
      </c>
      <c r="O6053" t="n">
        <v>0</v>
      </c>
      <c r="P6053" t="n">
        <v>0</v>
      </c>
      <c r="Q6053" t="n">
        <v>0</v>
      </c>
      <c r="R6053" s="2" t="inlineStr"/>
    </row>
    <row r="6054" ht="15" customHeight="1">
      <c r="A6054" t="inlineStr">
        <is>
          <t>A 11603-2023</t>
        </is>
      </c>
      <c r="B6054" s="1" t="n">
        <v>44992</v>
      </c>
      <c r="C6054" s="1" t="n">
        <v>45182</v>
      </c>
      <c r="D6054" t="inlineStr">
        <is>
          <t>JÄMTLANDS LÄN</t>
        </is>
      </c>
      <c r="E6054" t="inlineStr">
        <is>
          <t>RAGUNDA</t>
        </is>
      </c>
      <c r="G6054" t="n">
        <v>7.1</v>
      </c>
      <c r="H6054" t="n">
        <v>0</v>
      </c>
      <c r="I6054" t="n">
        <v>0</v>
      </c>
      <c r="J6054" t="n">
        <v>0</v>
      </c>
      <c r="K6054" t="n">
        <v>0</v>
      </c>
      <c r="L6054" t="n">
        <v>0</v>
      </c>
      <c r="M6054" t="n">
        <v>0</v>
      </c>
      <c r="N6054" t="n">
        <v>0</v>
      </c>
      <c r="O6054" t="n">
        <v>0</v>
      </c>
      <c r="P6054" t="n">
        <v>0</v>
      </c>
      <c r="Q6054" t="n">
        <v>0</v>
      </c>
      <c r="R6054" s="2" t="inlineStr"/>
    </row>
    <row r="6055" ht="15" customHeight="1">
      <c r="A6055" t="inlineStr">
        <is>
          <t>A 11356-2023</t>
        </is>
      </c>
      <c r="B6055" s="1" t="n">
        <v>44993</v>
      </c>
      <c r="C6055" s="1" t="n">
        <v>45182</v>
      </c>
      <c r="D6055" t="inlineStr">
        <is>
          <t>JÄMTLANDS LÄN</t>
        </is>
      </c>
      <c r="E6055" t="inlineStr">
        <is>
          <t>ÖSTERSUND</t>
        </is>
      </c>
      <c r="G6055" t="n">
        <v>8.1</v>
      </c>
      <c r="H6055" t="n">
        <v>0</v>
      </c>
      <c r="I6055" t="n">
        <v>0</v>
      </c>
      <c r="J6055" t="n">
        <v>0</v>
      </c>
      <c r="K6055" t="n">
        <v>0</v>
      </c>
      <c r="L6055" t="n">
        <v>0</v>
      </c>
      <c r="M6055" t="n">
        <v>0</v>
      </c>
      <c r="N6055" t="n">
        <v>0</v>
      </c>
      <c r="O6055" t="n">
        <v>0</v>
      </c>
      <c r="P6055" t="n">
        <v>0</v>
      </c>
      <c r="Q6055" t="n">
        <v>0</v>
      </c>
      <c r="R6055" s="2" t="inlineStr"/>
    </row>
    <row r="6056" ht="15" customHeight="1">
      <c r="A6056" t="inlineStr">
        <is>
          <t>A 11562-2023</t>
        </is>
      </c>
      <c r="B6056" s="1" t="n">
        <v>44993</v>
      </c>
      <c r="C6056" s="1" t="n">
        <v>45182</v>
      </c>
      <c r="D6056" t="inlineStr">
        <is>
          <t>JÄMTLANDS LÄN</t>
        </is>
      </c>
      <c r="E6056" t="inlineStr">
        <is>
          <t>RAGUNDA</t>
        </is>
      </c>
      <c r="F6056" t="inlineStr">
        <is>
          <t>SCA</t>
        </is>
      </c>
      <c r="G6056" t="n">
        <v>1.2</v>
      </c>
      <c r="H6056" t="n">
        <v>0</v>
      </c>
      <c r="I6056" t="n">
        <v>0</v>
      </c>
      <c r="J6056" t="n">
        <v>0</v>
      </c>
      <c r="K6056" t="n">
        <v>0</v>
      </c>
      <c r="L6056" t="n">
        <v>0</v>
      </c>
      <c r="M6056" t="n">
        <v>0</v>
      </c>
      <c r="N6056" t="n">
        <v>0</v>
      </c>
      <c r="O6056" t="n">
        <v>0</v>
      </c>
      <c r="P6056" t="n">
        <v>0</v>
      </c>
      <c r="Q6056" t="n">
        <v>0</v>
      </c>
      <c r="R6056" s="2" t="inlineStr"/>
    </row>
    <row r="6057" ht="15" customHeight="1">
      <c r="A6057" t="inlineStr">
        <is>
          <t>A 11322-2023</t>
        </is>
      </c>
      <c r="B6057" s="1" t="n">
        <v>44993</v>
      </c>
      <c r="C6057" s="1" t="n">
        <v>45182</v>
      </c>
      <c r="D6057" t="inlineStr">
        <is>
          <t>JÄMTLANDS LÄN</t>
        </is>
      </c>
      <c r="E6057" t="inlineStr">
        <is>
          <t>RAGUNDA</t>
        </is>
      </c>
      <c r="F6057" t="inlineStr">
        <is>
          <t>SCA</t>
        </is>
      </c>
      <c r="G6057" t="n">
        <v>2.1</v>
      </c>
      <c r="H6057" t="n">
        <v>0</v>
      </c>
      <c r="I6057" t="n">
        <v>0</v>
      </c>
      <c r="J6057" t="n">
        <v>0</v>
      </c>
      <c r="K6057" t="n">
        <v>0</v>
      </c>
      <c r="L6057" t="n">
        <v>0</v>
      </c>
      <c r="M6057" t="n">
        <v>0</v>
      </c>
      <c r="N6057" t="n">
        <v>0</v>
      </c>
      <c r="O6057" t="n">
        <v>0</v>
      </c>
      <c r="P6057" t="n">
        <v>0</v>
      </c>
      <c r="Q6057" t="n">
        <v>0</v>
      </c>
      <c r="R6057" s="2" t="inlineStr"/>
    </row>
    <row r="6058" ht="15" customHeight="1">
      <c r="A6058" t="inlineStr">
        <is>
          <t>A 11550-2023</t>
        </is>
      </c>
      <c r="B6058" s="1" t="n">
        <v>44993</v>
      </c>
      <c r="C6058" s="1" t="n">
        <v>45182</v>
      </c>
      <c r="D6058" t="inlineStr">
        <is>
          <t>JÄMTLANDS LÄN</t>
        </is>
      </c>
      <c r="E6058" t="inlineStr">
        <is>
          <t>BRÄCKE</t>
        </is>
      </c>
      <c r="F6058" t="inlineStr">
        <is>
          <t>SCA</t>
        </is>
      </c>
      <c r="G6058" t="n">
        <v>3.7</v>
      </c>
      <c r="H6058" t="n">
        <v>0</v>
      </c>
      <c r="I6058" t="n">
        <v>0</v>
      </c>
      <c r="J6058" t="n">
        <v>0</v>
      </c>
      <c r="K6058" t="n">
        <v>0</v>
      </c>
      <c r="L6058" t="n">
        <v>0</v>
      </c>
      <c r="M6058" t="n">
        <v>0</v>
      </c>
      <c r="N6058" t="n">
        <v>0</v>
      </c>
      <c r="O6058" t="n">
        <v>0</v>
      </c>
      <c r="P6058" t="n">
        <v>0</v>
      </c>
      <c r="Q6058" t="n">
        <v>0</v>
      </c>
      <c r="R6058" s="2" t="inlineStr"/>
    </row>
    <row r="6059" ht="15" customHeight="1">
      <c r="A6059" t="inlineStr">
        <is>
          <t>A 11556-2023</t>
        </is>
      </c>
      <c r="B6059" s="1" t="n">
        <v>44993</v>
      </c>
      <c r="C6059" s="1" t="n">
        <v>45182</v>
      </c>
      <c r="D6059" t="inlineStr">
        <is>
          <t>JÄMTLANDS LÄN</t>
        </is>
      </c>
      <c r="E6059" t="inlineStr">
        <is>
          <t>RAGUNDA</t>
        </is>
      </c>
      <c r="F6059" t="inlineStr">
        <is>
          <t>SCA</t>
        </is>
      </c>
      <c r="G6059" t="n">
        <v>5.3</v>
      </c>
      <c r="H6059" t="n">
        <v>0</v>
      </c>
      <c r="I6059" t="n">
        <v>0</v>
      </c>
      <c r="J6059" t="n">
        <v>0</v>
      </c>
      <c r="K6059" t="n">
        <v>0</v>
      </c>
      <c r="L6059" t="n">
        <v>0</v>
      </c>
      <c r="M6059" t="n">
        <v>0</v>
      </c>
      <c r="N6059" t="n">
        <v>0</v>
      </c>
      <c r="O6059" t="n">
        <v>0</v>
      </c>
      <c r="P6059" t="n">
        <v>0</v>
      </c>
      <c r="Q6059" t="n">
        <v>0</v>
      </c>
      <c r="R6059" s="2" t="inlineStr"/>
    </row>
    <row r="6060" ht="15" customHeight="1">
      <c r="A6060" t="inlineStr">
        <is>
          <t>A 11843-2023</t>
        </is>
      </c>
      <c r="B6060" s="1" t="n">
        <v>44993</v>
      </c>
      <c r="C6060" s="1" t="n">
        <v>45182</v>
      </c>
      <c r="D6060" t="inlineStr">
        <is>
          <t>JÄMTLANDS LÄN</t>
        </is>
      </c>
      <c r="E6060" t="inlineStr">
        <is>
          <t>RAGUNDA</t>
        </is>
      </c>
      <c r="G6060" t="n">
        <v>6.4</v>
      </c>
      <c r="H6060" t="n">
        <v>0</v>
      </c>
      <c r="I6060" t="n">
        <v>0</v>
      </c>
      <c r="J6060" t="n">
        <v>0</v>
      </c>
      <c r="K6060" t="n">
        <v>0</v>
      </c>
      <c r="L6060" t="n">
        <v>0</v>
      </c>
      <c r="M6060" t="n">
        <v>0</v>
      </c>
      <c r="N6060" t="n">
        <v>0</v>
      </c>
      <c r="O6060" t="n">
        <v>0</v>
      </c>
      <c r="P6060" t="n">
        <v>0</v>
      </c>
      <c r="Q6060" t="n">
        <v>0</v>
      </c>
      <c r="R6060" s="2" t="inlineStr"/>
    </row>
    <row r="6061" ht="15" customHeight="1">
      <c r="A6061" t="inlineStr">
        <is>
          <t>A 11818-2023</t>
        </is>
      </c>
      <c r="B6061" s="1" t="n">
        <v>44994</v>
      </c>
      <c r="C6061" s="1" t="n">
        <v>45182</v>
      </c>
      <c r="D6061" t="inlineStr">
        <is>
          <t>JÄMTLANDS LÄN</t>
        </is>
      </c>
      <c r="E6061" t="inlineStr">
        <is>
          <t>HÄRJEDALEN</t>
        </is>
      </c>
      <c r="G6061" t="n">
        <v>8.9</v>
      </c>
      <c r="H6061" t="n">
        <v>0</v>
      </c>
      <c r="I6061" t="n">
        <v>0</v>
      </c>
      <c r="J6061" t="n">
        <v>0</v>
      </c>
      <c r="K6061" t="n">
        <v>0</v>
      </c>
      <c r="L6061" t="n">
        <v>0</v>
      </c>
      <c r="M6061" t="n">
        <v>0</v>
      </c>
      <c r="N6061" t="n">
        <v>0</v>
      </c>
      <c r="O6061" t="n">
        <v>0</v>
      </c>
      <c r="P6061" t="n">
        <v>0</v>
      </c>
      <c r="Q6061" t="n">
        <v>0</v>
      </c>
      <c r="R6061" s="2" t="inlineStr"/>
    </row>
    <row r="6062" ht="15" customHeight="1">
      <c r="A6062" t="inlineStr">
        <is>
          <t>A 11948-2023</t>
        </is>
      </c>
      <c r="B6062" s="1" t="n">
        <v>44994</v>
      </c>
      <c r="C6062" s="1" t="n">
        <v>45182</v>
      </c>
      <c r="D6062" t="inlineStr">
        <is>
          <t>JÄMTLANDS LÄN</t>
        </is>
      </c>
      <c r="E6062" t="inlineStr">
        <is>
          <t>BERG</t>
        </is>
      </c>
      <c r="F6062" t="inlineStr">
        <is>
          <t>Kyrkan</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11813-2023</t>
        </is>
      </c>
      <c r="B6063" s="1" t="n">
        <v>44994</v>
      </c>
      <c r="C6063" s="1" t="n">
        <v>45182</v>
      </c>
      <c r="D6063" t="inlineStr">
        <is>
          <t>JÄMTLANDS LÄN</t>
        </is>
      </c>
      <c r="E6063" t="inlineStr">
        <is>
          <t>ÅRE</t>
        </is>
      </c>
      <c r="F6063" t="inlineStr">
        <is>
          <t>Kommuner</t>
        </is>
      </c>
      <c r="G6063" t="n">
        <v>8.300000000000001</v>
      </c>
      <c r="H6063" t="n">
        <v>0</v>
      </c>
      <c r="I6063" t="n">
        <v>0</v>
      </c>
      <c r="J6063" t="n">
        <v>0</v>
      </c>
      <c r="K6063" t="n">
        <v>0</v>
      </c>
      <c r="L6063" t="n">
        <v>0</v>
      </c>
      <c r="M6063" t="n">
        <v>0</v>
      </c>
      <c r="N6063" t="n">
        <v>0</v>
      </c>
      <c r="O6063" t="n">
        <v>0</v>
      </c>
      <c r="P6063" t="n">
        <v>0</v>
      </c>
      <c r="Q6063" t="n">
        <v>0</v>
      </c>
      <c r="R6063" s="2" t="inlineStr"/>
    </row>
    <row r="6064" ht="15" customHeight="1">
      <c r="A6064" t="inlineStr">
        <is>
          <t>A 12051-2023</t>
        </is>
      </c>
      <c r="B6064" s="1" t="n">
        <v>44995</v>
      </c>
      <c r="C6064" s="1" t="n">
        <v>45182</v>
      </c>
      <c r="D6064" t="inlineStr">
        <is>
          <t>JÄMTLANDS LÄN</t>
        </is>
      </c>
      <c r="E6064" t="inlineStr">
        <is>
          <t>RAGUNDA</t>
        </is>
      </c>
      <c r="F6064" t="inlineStr">
        <is>
          <t>SCA</t>
        </is>
      </c>
      <c r="G6064" t="n">
        <v>3.3</v>
      </c>
      <c r="H6064" t="n">
        <v>0</v>
      </c>
      <c r="I6064" t="n">
        <v>0</v>
      </c>
      <c r="J6064" t="n">
        <v>0</v>
      </c>
      <c r="K6064" t="n">
        <v>0</v>
      </c>
      <c r="L6064" t="n">
        <v>0</v>
      </c>
      <c r="M6064" t="n">
        <v>0</v>
      </c>
      <c r="N6064" t="n">
        <v>0</v>
      </c>
      <c r="O6064" t="n">
        <v>0</v>
      </c>
      <c r="P6064" t="n">
        <v>0</v>
      </c>
      <c r="Q6064" t="n">
        <v>0</v>
      </c>
      <c r="R6064" s="2" t="inlineStr"/>
    </row>
    <row r="6065" ht="15" customHeight="1">
      <c r="A6065" t="inlineStr">
        <is>
          <t>A 12036-2023</t>
        </is>
      </c>
      <c r="B6065" s="1" t="n">
        <v>44995</v>
      </c>
      <c r="C6065" s="1" t="n">
        <v>45182</v>
      </c>
      <c r="D6065" t="inlineStr">
        <is>
          <t>JÄMTLANDS LÄN</t>
        </is>
      </c>
      <c r="E6065" t="inlineStr">
        <is>
          <t>BRÄCKE</t>
        </is>
      </c>
      <c r="G6065" t="n">
        <v>16.3</v>
      </c>
      <c r="H6065" t="n">
        <v>0</v>
      </c>
      <c r="I6065" t="n">
        <v>0</v>
      </c>
      <c r="J6065" t="n">
        <v>0</v>
      </c>
      <c r="K6065" t="n">
        <v>0</v>
      </c>
      <c r="L6065" t="n">
        <v>0</v>
      </c>
      <c r="M6065" t="n">
        <v>0</v>
      </c>
      <c r="N6065" t="n">
        <v>0</v>
      </c>
      <c r="O6065" t="n">
        <v>0</v>
      </c>
      <c r="P6065" t="n">
        <v>0</v>
      </c>
      <c r="Q6065" t="n">
        <v>0</v>
      </c>
      <c r="R6065" s="2" t="inlineStr"/>
    </row>
    <row r="6066" ht="15" customHeight="1">
      <c r="A6066" t="inlineStr">
        <is>
          <t>A 12057-2023</t>
        </is>
      </c>
      <c r="B6066" s="1" t="n">
        <v>44995</v>
      </c>
      <c r="C6066" s="1" t="n">
        <v>45182</v>
      </c>
      <c r="D6066" t="inlineStr">
        <is>
          <t>JÄMTLANDS LÄN</t>
        </is>
      </c>
      <c r="E6066" t="inlineStr">
        <is>
          <t>RAGUNDA</t>
        </is>
      </c>
      <c r="F6066" t="inlineStr">
        <is>
          <t>SCA</t>
        </is>
      </c>
      <c r="G6066" t="n">
        <v>4</v>
      </c>
      <c r="H6066" t="n">
        <v>0</v>
      </c>
      <c r="I6066" t="n">
        <v>0</v>
      </c>
      <c r="J6066" t="n">
        <v>0</v>
      </c>
      <c r="K6066" t="n">
        <v>0</v>
      </c>
      <c r="L6066" t="n">
        <v>0</v>
      </c>
      <c r="M6066" t="n">
        <v>0</v>
      </c>
      <c r="N6066" t="n">
        <v>0</v>
      </c>
      <c r="O6066" t="n">
        <v>0</v>
      </c>
      <c r="P6066" t="n">
        <v>0</v>
      </c>
      <c r="Q6066" t="n">
        <v>0</v>
      </c>
      <c r="R6066" s="2" t="inlineStr"/>
    </row>
    <row r="6067" ht="15" customHeight="1">
      <c r="A6067" t="inlineStr">
        <is>
          <t>A 12023-2023</t>
        </is>
      </c>
      <c r="B6067" s="1" t="n">
        <v>44995</v>
      </c>
      <c r="C6067" s="1" t="n">
        <v>45182</v>
      </c>
      <c r="D6067" t="inlineStr">
        <is>
          <t>JÄMTLANDS LÄN</t>
        </is>
      </c>
      <c r="E6067" t="inlineStr">
        <is>
          <t>BRÄCKE</t>
        </is>
      </c>
      <c r="G6067" t="n">
        <v>4.5</v>
      </c>
      <c r="H6067" t="n">
        <v>0</v>
      </c>
      <c r="I6067" t="n">
        <v>0</v>
      </c>
      <c r="J6067" t="n">
        <v>0</v>
      </c>
      <c r="K6067" t="n">
        <v>0</v>
      </c>
      <c r="L6067" t="n">
        <v>0</v>
      </c>
      <c r="M6067" t="n">
        <v>0</v>
      </c>
      <c r="N6067" t="n">
        <v>0</v>
      </c>
      <c r="O6067" t="n">
        <v>0</v>
      </c>
      <c r="P6067" t="n">
        <v>0</v>
      </c>
      <c r="Q6067" t="n">
        <v>0</v>
      </c>
      <c r="R6067" s="2" t="inlineStr"/>
    </row>
    <row r="6068" ht="15" customHeight="1">
      <c r="A6068" t="inlineStr">
        <is>
          <t>A 12034-2023</t>
        </is>
      </c>
      <c r="B6068" s="1" t="n">
        <v>44995</v>
      </c>
      <c r="C6068" s="1" t="n">
        <v>45182</v>
      </c>
      <c r="D6068" t="inlineStr">
        <is>
          <t>JÄMTLANDS LÄN</t>
        </is>
      </c>
      <c r="E6068" t="inlineStr">
        <is>
          <t>BRÄCKE</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12055-2023</t>
        </is>
      </c>
      <c r="B6069" s="1" t="n">
        <v>44995</v>
      </c>
      <c r="C6069" s="1" t="n">
        <v>45182</v>
      </c>
      <c r="D6069" t="inlineStr">
        <is>
          <t>JÄMTLANDS LÄN</t>
        </is>
      </c>
      <c r="E6069" t="inlineStr">
        <is>
          <t>RAGUNDA</t>
        </is>
      </c>
      <c r="F6069" t="inlineStr">
        <is>
          <t>SCA</t>
        </is>
      </c>
      <c r="G6069" t="n">
        <v>2</v>
      </c>
      <c r="H6069" t="n">
        <v>0</v>
      </c>
      <c r="I6069" t="n">
        <v>0</v>
      </c>
      <c r="J6069" t="n">
        <v>0</v>
      </c>
      <c r="K6069" t="n">
        <v>0</v>
      </c>
      <c r="L6069" t="n">
        <v>0</v>
      </c>
      <c r="M6069" t="n">
        <v>0</v>
      </c>
      <c r="N6069" t="n">
        <v>0</v>
      </c>
      <c r="O6069" t="n">
        <v>0</v>
      </c>
      <c r="P6069" t="n">
        <v>0</v>
      </c>
      <c r="Q6069" t="n">
        <v>0</v>
      </c>
      <c r="R6069" s="2" t="inlineStr"/>
    </row>
    <row r="6070" ht="15" customHeight="1">
      <c r="A6070" t="inlineStr">
        <is>
          <t>A 12063-2023</t>
        </is>
      </c>
      <c r="B6070" s="1" t="n">
        <v>44996</v>
      </c>
      <c r="C6070" s="1" t="n">
        <v>45182</v>
      </c>
      <c r="D6070" t="inlineStr">
        <is>
          <t>JÄMTLANDS LÄN</t>
        </is>
      </c>
      <c r="E6070" t="inlineStr">
        <is>
          <t>BRÄCKE</t>
        </is>
      </c>
      <c r="G6070" t="n">
        <v>7.1</v>
      </c>
      <c r="H6070" t="n">
        <v>0</v>
      </c>
      <c r="I6070" t="n">
        <v>0</v>
      </c>
      <c r="J6070" t="n">
        <v>0</v>
      </c>
      <c r="K6070" t="n">
        <v>0</v>
      </c>
      <c r="L6070" t="n">
        <v>0</v>
      </c>
      <c r="M6070" t="n">
        <v>0</v>
      </c>
      <c r="N6070" t="n">
        <v>0</v>
      </c>
      <c r="O6070" t="n">
        <v>0</v>
      </c>
      <c r="P6070" t="n">
        <v>0</v>
      </c>
      <c r="Q6070" t="n">
        <v>0</v>
      </c>
      <c r="R6070" s="2" t="inlineStr"/>
    </row>
    <row r="6071" ht="15" customHeight="1">
      <c r="A6071" t="inlineStr">
        <is>
          <t>A 12061-2023</t>
        </is>
      </c>
      <c r="B6071" s="1" t="n">
        <v>44996</v>
      </c>
      <c r="C6071" s="1" t="n">
        <v>45182</v>
      </c>
      <c r="D6071" t="inlineStr">
        <is>
          <t>JÄMTLANDS LÄN</t>
        </is>
      </c>
      <c r="E6071" t="inlineStr">
        <is>
          <t>BRÄCKE</t>
        </is>
      </c>
      <c r="G6071" t="n">
        <v>5.8</v>
      </c>
      <c r="H6071" t="n">
        <v>0</v>
      </c>
      <c r="I6071" t="n">
        <v>0</v>
      </c>
      <c r="J6071" t="n">
        <v>0</v>
      </c>
      <c r="K6071" t="n">
        <v>0</v>
      </c>
      <c r="L6071" t="n">
        <v>0</v>
      </c>
      <c r="M6071" t="n">
        <v>0</v>
      </c>
      <c r="N6071" t="n">
        <v>0</v>
      </c>
      <c r="O6071" t="n">
        <v>0</v>
      </c>
      <c r="P6071" t="n">
        <v>0</v>
      </c>
      <c r="Q6071" t="n">
        <v>0</v>
      </c>
      <c r="R6071" s="2" t="inlineStr"/>
    </row>
    <row r="6072" ht="15" customHeight="1">
      <c r="A6072" t="inlineStr">
        <is>
          <t>A 12182-2023</t>
        </is>
      </c>
      <c r="B6072" s="1" t="n">
        <v>44998</v>
      </c>
      <c r="C6072" s="1" t="n">
        <v>45182</v>
      </c>
      <c r="D6072" t="inlineStr">
        <is>
          <t>JÄMTLANDS LÄN</t>
        </is>
      </c>
      <c r="E6072" t="inlineStr">
        <is>
          <t>ÅRE</t>
        </is>
      </c>
      <c r="G6072" t="n">
        <v>11.7</v>
      </c>
      <c r="H6072" t="n">
        <v>0</v>
      </c>
      <c r="I6072" t="n">
        <v>0</v>
      </c>
      <c r="J6072" t="n">
        <v>0</v>
      </c>
      <c r="K6072" t="n">
        <v>0</v>
      </c>
      <c r="L6072" t="n">
        <v>0</v>
      </c>
      <c r="M6072" t="n">
        <v>0</v>
      </c>
      <c r="N6072" t="n">
        <v>0</v>
      </c>
      <c r="O6072" t="n">
        <v>0</v>
      </c>
      <c r="P6072" t="n">
        <v>0</v>
      </c>
      <c r="Q6072" t="n">
        <v>0</v>
      </c>
      <c r="R6072" s="2" t="inlineStr"/>
    </row>
    <row r="6073" ht="15" customHeight="1">
      <c r="A6073" t="inlineStr">
        <is>
          <t>A 12193-2023</t>
        </is>
      </c>
      <c r="B6073" s="1" t="n">
        <v>44998</v>
      </c>
      <c r="C6073" s="1" t="n">
        <v>45182</v>
      </c>
      <c r="D6073" t="inlineStr">
        <is>
          <t>JÄMTLANDS LÄN</t>
        </is>
      </c>
      <c r="E6073" t="inlineStr">
        <is>
          <t>ÅRE</t>
        </is>
      </c>
      <c r="G6073" t="n">
        <v>14.7</v>
      </c>
      <c r="H6073" t="n">
        <v>0</v>
      </c>
      <c r="I6073" t="n">
        <v>0</v>
      </c>
      <c r="J6073" t="n">
        <v>0</v>
      </c>
      <c r="K6073" t="n">
        <v>0</v>
      </c>
      <c r="L6073" t="n">
        <v>0</v>
      </c>
      <c r="M6073" t="n">
        <v>0</v>
      </c>
      <c r="N6073" t="n">
        <v>0</v>
      </c>
      <c r="O6073" t="n">
        <v>0</v>
      </c>
      <c r="P6073" t="n">
        <v>0</v>
      </c>
      <c r="Q6073" t="n">
        <v>0</v>
      </c>
      <c r="R6073" s="2" t="inlineStr"/>
    </row>
    <row r="6074" ht="15" customHeight="1">
      <c r="A6074" t="inlineStr">
        <is>
          <t>A 12342-2023</t>
        </is>
      </c>
      <c r="B6074" s="1" t="n">
        <v>44998</v>
      </c>
      <c r="C6074" s="1" t="n">
        <v>45182</v>
      </c>
      <c r="D6074" t="inlineStr">
        <is>
          <t>JÄMTLANDS LÄN</t>
        </is>
      </c>
      <c r="E6074" t="inlineStr">
        <is>
          <t>BERG</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12168-2023</t>
        </is>
      </c>
      <c r="B6075" s="1" t="n">
        <v>44998</v>
      </c>
      <c r="C6075" s="1" t="n">
        <v>45182</v>
      </c>
      <c r="D6075" t="inlineStr">
        <is>
          <t>JÄMTLANDS LÄN</t>
        </is>
      </c>
      <c r="E6075" t="inlineStr">
        <is>
          <t>ÅRE</t>
        </is>
      </c>
      <c r="G6075" t="n">
        <v>8.699999999999999</v>
      </c>
      <c r="H6075" t="n">
        <v>0</v>
      </c>
      <c r="I6075" t="n">
        <v>0</v>
      </c>
      <c r="J6075" t="n">
        <v>0</v>
      </c>
      <c r="K6075" t="n">
        <v>0</v>
      </c>
      <c r="L6075" t="n">
        <v>0</v>
      </c>
      <c r="M6075" t="n">
        <v>0</v>
      </c>
      <c r="N6075" t="n">
        <v>0</v>
      </c>
      <c r="O6075" t="n">
        <v>0</v>
      </c>
      <c r="P6075" t="n">
        <v>0</v>
      </c>
      <c r="Q6075" t="n">
        <v>0</v>
      </c>
      <c r="R6075" s="2" t="inlineStr"/>
    </row>
    <row r="6076" ht="15" customHeight="1">
      <c r="A6076" t="inlineStr">
        <is>
          <t>A 12173-2023</t>
        </is>
      </c>
      <c r="B6076" s="1" t="n">
        <v>44998</v>
      </c>
      <c r="C6076" s="1" t="n">
        <v>45182</v>
      </c>
      <c r="D6076" t="inlineStr">
        <is>
          <t>JÄMTLANDS LÄN</t>
        </is>
      </c>
      <c r="E6076" t="inlineStr">
        <is>
          <t>ÅRE</t>
        </is>
      </c>
      <c r="G6076" t="n">
        <v>2.5</v>
      </c>
      <c r="H6076" t="n">
        <v>0</v>
      </c>
      <c r="I6076" t="n">
        <v>0</v>
      </c>
      <c r="J6076" t="n">
        <v>0</v>
      </c>
      <c r="K6076" t="n">
        <v>0</v>
      </c>
      <c r="L6076" t="n">
        <v>0</v>
      </c>
      <c r="M6076" t="n">
        <v>0</v>
      </c>
      <c r="N6076" t="n">
        <v>0</v>
      </c>
      <c r="O6076" t="n">
        <v>0</v>
      </c>
      <c r="P6076" t="n">
        <v>0</v>
      </c>
      <c r="Q6076" t="n">
        <v>0</v>
      </c>
      <c r="R6076" s="2" t="inlineStr"/>
    </row>
    <row r="6077" ht="15" customHeight="1">
      <c r="A6077" t="inlineStr">
        <is>
          <t>A 12292-2023</t>
        </is>
      </c>
      <c r="B6077" s="1" t="n">
        <v>44998</v>
      </c>
      <c r="C6077" s="1" t="n">
        <v>45182</v>
      </c>
      <c r="D6077" t="inlineStr">
        <is>
          <t>JÄMTLANDS LÄN</t>
        </is>
      </c>
      <c r="E6077" t="inlineStr">
        <is>
          <t>ÅRE</t>
        </is>
      </c>
      <c r="G6077" t="n">
        <v>3.5</v>
      </c>
      <c r="H6077" t="n">
        <v>0</v>
      </c>
      <c r="I6077" t="n">
        <v>0</v>
      </c>
      <c r="J6077" t="n">
        <v>0</v>
      </c>
      <c r="K6077" t="n">
        <v>0</v>
      </c>
      <c r="L6077" t="n">
        <v>0</v>
      </c>
      <c r="M6077" t="n">
        <v>0</v>
      </c>
      <c r="N6077" t="n">
        <v>0</v>
      </c>
      <c r="O6077" t="n">
        <v>0</v>
      </c>
      <c r="P6077" t="n">
        <v>0</v>
      </c>
      <c r="Q6077" t="n">
        <v>0</v>
      </c>
      <c r="R6077" s="2" t="inlineStr"/>
    </row>
    <row r="6078" ht="15" customHeight="1">
      <c r="A6078" t="inlineStr">
        <is>
          <t>A 12179-2023</t>
        </is>
      </c>
      <c r="B6078" s="1" t="n">
        <v>44998</v>
      </c>
      <c r="C6078" s="1" t="n">
        <v>45182</v>
      </c>
      <c r="D6078" t="inlineStr">
        <is>
          <t>JÄMTLANDS LÄN</t>
        </is>
      </c>
      <c r="E6078" t="inlineStr">
        <is>
          <t>ÅRE</t>
        </is>
      </c>
      <c r="G6078" t="n">
        <v>8.5</v>
      </c>
      <c r="H6078" t="n">
        <v>0</v>
      </c>
      <c r="I6078" t="n">
        <v>0</v>
      </c>
      <c r="J6078" t="n">
        <v>0</v>
      </c>
      <c r="K6078" t="n">
        <v>0</v>
      </c>
      <c r="L6078" t="n">
        <v>0</v>
      </c>
      <c r="M6078" t="n">
        <v>0</v>
      </c>
      <c r="N6078" t="n">
        <v>0</v>
      </c>
      <c r="O6078" t="n">
        <v>0</v>
      </c>
      <c r="P6078" t="n">
        <v>0</v>
      </c>
      <c r="Q6078" t="n">
        <v>0</v>
      </c>
      <c r="R6078" s="2" t="inlineStr"/>
    </row>
    <row r="6079" ht="15" customHeight="1">
      <c r="A6079" t="inlineStr">
        <is>
          <t>A 12216-2023</t>
        </is>
      </c>
      <c r="B6079" s="1" t="n">
        <v>44998</v>
      </c>
      <c r="C6079" s="1" t="n">
        <v>45182</v>
      </c>
      <c r="D6079" t="inlineStr">
        <is>
          <t>JÄMTLANDS LÄN</t>
        </is>
      </c>
      <c r="E6079" t="inlineStr">
        <is>
          <t>ÅRE</t>
        </is>
      </c>
      <c r="G6079" t="n">
        <v>11.8</v>
      </c>
      <c r="H6079" t="n">
        <v>0</v>
      </c>
      <c r="I6079" t="n">
        <v>0</v>
      </c>
      <c r="J6079" t="n">
        <v>0</v>
      </c>
      <c r="K6079" t="n">
        <v>0</v>
      </c>
      <c r="L6079" t="n">
        <v>0</v>
      </c>
      <c r="M6079" t="n">
        <v>0</v>
      </c>
      <c r="N6079" t="n">
        <v>0</v>
      </c>
      <c r="O6079" t="n">
        <v>0</v>
      </c>
      <c r="P6079" t="n">
        <v>0</v>
      </c>
      <c r="Q6079" t="n">
        <v>0</v>
      </c>
      <c r="R6079" s="2" t="inlineStr"/>
    </row>
    <row r="6080" ht="15" customHeight="1">
      <c r="A6080" t="inlineStr">
        <is>
          <t>A 12484-2023</t>
        </is>
      </c>
      <c r="B6080" s="1" t="n">
        <v>44998</v>
      </c>
      <c r="C6080" s="1" t="n">
        <v>45182</v>
      </c>
      <c r="D6080" t="inlineStr">
        <is>
          <t>JÄMTLANDS LÄN</t>
        </is>
      </c>
      <c r="E6080" t="inlineStr">
        <is>
          <t>HÄRJEDALEN</t>
        </is>
      </c>
      <c r="G6080" t="n">
        <v>43.1</v>
      </c>
      <c r="H6080" t="n">
        <v>0</v>
      </c>
      <c r="I6080" t="n">
        <v>0</v>
      </c>
      <c r="J6080" t="n">
        <v>0</v>
      </c>
      <c r="K6080" t="n">
        <v>0</v>
      </c>
      <c r="L6080" t="n">
        <v>0</v>
      </c>
      <c r="M6080" t="n">
        <v>0</v>
      </c>
      <c r="N6080" t="n">
        <v>0</v>
      </c>
      <c r="O6080" t="n">
        <v>0</v>
      </c>
      <c r="P6080" t="n">
        <v>0</v>
      </c>
      <c r="Q6080" t="n">
        <v>0</v>
      </c>
      <c r="R6080" s="2" t="inlineStr"/>
    </row>
    <row r="6081" ht="15" customHeight="1">
      <c r="A6081" t="inlineStr">
        <is>
          <t>A 12636-2023</t>
        </is>
      </c>
      <c r="B6081" s="1" t="n">
        <v>44999</v>
      </c>
      <c r="C6081" s="1" t="n">
        <v>45182</v>
      </c>
      <c r="D6081" t="inlineStr">
        <is>
          <t>JÄMTLANDS LÄN</t>
        </is>
      </c>
      <c r="E6081" t="inlineStr">
        <is>
          <t>BERG</t>
        </is>
      </c>
      <c r="G6081" t="n">
        <v>2.6</v>
      </c>
      <c r="H6081" t="n">
        <v>0</v>
      </c>
      <c r="I6081" t="n">
        <v>0</v>
      </c>
      <c r="J6081" t="n">
        <v>0</v>
      </c>
      <c r="K6081" t="n">
        <v>0</v>
      </c>
      <c r="L6081" t="n">
        <v>0</v>
      </c>
      <c r="M6081" t="n">
        <v>0</v>
      </c>
      <c r="N6081" t="n">
        <v>0</v>
      </c>
      <c r="O6081" t="n">
        <v>0</v>
      </c>
      <c r="P6081" t="n">
        <v>0</v>
      </c>
      <c r="Q6081" t="n">
        <v>0</v>
      </c>
      <c r="R6081" s="2" t="inlineStr"/>
    </row>
    <row r="6082" ht="15" customHeight="1">
      <c r="A6082" t="inlineStr">
        <is>
          <t>A 12520-2023</t>
        </is>
      </c>
      <c r="B6082" s="1" t="n">
        <v>45000</v>
      </c>
      <c r="C6082" s="1" t="n">
        <v>45182</v>
      </c>
      <c r="D6082" t="inlineStr">
        <is>
          <t>JÄMTLANDS LÄN</t>
        </is>
      </c>
      <c r="E6082" t="inlineStr">
        <is>
          <t>KROKOM</t>
        </is>
      </c>
      <c r="F6082" t="inlineStr">
        <is>
          <t>SCA</t>
        </is>
      </c>
      <c r="G6082" t="n">
        <v>12.6</v>
      </c>
      <c r="H6082" t="n">
        <v>0</v>
      </c>
      <c r="I6082" t="n">
        <v>0</v>
      </c>
      <c r="J6082" t="n">
        <v>0</v>
      </c>
      <c r="K6082" t="n">
        <v>0</v>
      </c>
      <c r="L6082" t="n">
        <v>0</v>
      </c>
      <c r="M6082" t="n">
        <v>0</v>
      </c>
      <c r="N6082" t="n">
        <v>0</v>
      </c>
      <c r="O6082" t="n">
        <v>0</v>
      </c>
      <c r="P6082" t="n">
        <v>0</v>
      </c>
      <c r="Q6082" t="n">
        <v>0</v>
      </c>
      <c r="R6082" s="2" t="inlineStr"/>
    </row>
    <row r="6083" ht="15" customHeight="1">
      <c r="A6083" t="inlineStr">
        <is>
          <t>A 12598-2023</t>
        </is>
      </c>
      <c r="B6083" s="1" t="n">
        <v>45000</v>
      </c>
      <c r="C6083" s="1" t="n">
        <v>45182</v>
      </c>
      <c r="D6083" t="inlineStr">
        <is>
          <t>JÄMTLANDS LÄN</t>
        </is>
      </c>
      <c r="E6083" t="inlineStr">
        <is>
          <t>STRÖMSUND</t>
        </is>
      </c>
      <c r="G6083" t="n">
        <v>4.3</v>
      </c>
      <c r="H6083" t="n">
        <v>0</v>
      </c>
      <c r="I6083" t="n">
        <v>0</v>
      </c>
      <c r="J6083" t="n">
        <v>0</v>
      </c>
      <c r="K6083" t="n">
        <v>0</v>
      </c>
      <c r="L6083" t="n">
        <v>0</v>
      </c>
      <c r="M6083" t="n">
        <v>0</v>
      </c>
      <c r="N6083" t="n">
        <v>0</v>
      </c>
      <c r="O6083" t="n">
        <v>0</v>
      </c>
      <c r="P6083" t="n">
        <v>0</v>
      </c>
      <c r="Q6083" t="n">
        <v>0</v>
      </c>
      <c r="R6083" s="2" t="inlineStr"/>
    </row>
    <row r="6084" ht="15" customHeight="1">
      <c r="A6084" t="inlineStr">
        <is>
          <t>A 12669-2023</t>
        </is>
      </c>
      <c r="B6084" s="1" t="n">
        <v>45000</v>
      </c>
      <c r="C6084" s="1" t="n">
        <v>45182</v>
      </c>
      <c r="D6084" t="inlineStr">
        <is>
          <t>JÄMTLANDS LÄN</t>
        </is>
      </c>
      <c r="E6084" t="inlineStr">
        <is>
          <t>ÅRE</t>
        </is>
      </c>
      <c r="F6084" t="inlineStr">
        <is>
          <t>Övriga Aktiebolag</t>
        </is>
      </c>
      <c r="G6084" t="n">
        <v>2.8</v>
      </c>
      <c r="H6084" t="n">
        <v>0</v>
      </c>
      <c r="I6084" t="n">
        <v>0</v>
      </c>
      <c r="J6084" t="n">
        <v>0</v>
      </c>
      <c r="K6084" t="n">
        <v>0</v>
      </c>
      <c r="L6084" t="n">
        <v>0</v>
      </c>
      <c r="M6084" t="n">
        <v>0</v>
      </c>
      <c r="N6084" t="n">
        <v>0</v>
      </c>
      <c r="O6084" t="n">
        <v>0</v>
      </c>
      <c r="P6084" t="n">
        <v>0</v>
      </c>
      <c r="Q6084" t="n">
        <v>0</v>
      </c>
      <c r="R6084" s="2" t="inlineStr"/>
    </row>
    <row r="6085" ht="15" customHeight="1">
      <c r="A6085" t="inlineStr">
        <is>
          <t>A 12783-2023</t>
        </is>
      </c>
      <c r="B6085" s="1" t="n">
        <v>45000</v>
      </c>
      <c r="C6085" s="1" t="n">
        <v>45182</v>
      </c>
      <c r="D6085" t="inlineStr">
        <is>
          <t>JÄMTLANDS LÄN</t>
        </is>
      </c>
      <c r="E6085" t="inlineStr">
        <is>
          <t>RAGUNDA</t>
        </is>
      </c>
      <c r="G6085" t="n">
        <v>0.9</v>
      </c>
      <c r="H6085" t="n">
        <v>0</v>
      </c>
      <c r="I6085" t="n">
        <v>0</v>
      </c>
      <c r="J6085" t="n">
        <v>0</v>
      </c>
      <c r="K6085" t="n">
        <v>0</v>
      </c>
      <c r="L6085" t="n">
        <v>0</v>
      </c>
      <c r="M6085" t="n">
        <v>0</v>
      </c>
      <c r="N6085" t="n">
        <v>0</v>
      </c>
      <c r="O6085" t="n">
        <v>0</v>
      </c>
      <c r="P6085" t="n">
        <v>0</v>
      </c>
      <c r="Q6085" t="n">
        <v>0</v>
      </c>
      <c r="R6085" s="2" t="inlineStr"/>
    </row>
    <row r="6086" ht="15" customHeight="1">
      <c r="A6086" t="inlineStr">
        <is>
          <t>A 12816-2023</t>
        </is>
      </c>
      <c r="B6086" s="1" t="n">
        <v>45000</v>
      </c>
      <c r="C6086" s="1" t="n">
        <v>45182</v>
      </c>
      <c r="D6086" t="inlineStr">
        <is>
          <t>JÄMTLANDS LÄN</t>
        </is>
      </c>
      <c r="E6086" t="inlineStr">
        <is>
          <t>ÅRE</t>
        </is>
      </c>
      <c r="G6086" t="n">
        <v>1.7</v>
      </c>
      <c r="H6086" t="n">
        <v>0</v>
      </c>
      <c r="I6086" t="n">
        <v>0</v>
      </c>
      <c r="J6086" t="n">
        <v>0</v>
      </c>
      <c r="K6086" t="n">
        <v>0</v>
      </c>
      <c r="L6086" t="n">
        <v>0</v>
      </c>
      <c r="M6086" t="n">
        <v>0</v>
      </c>
      <c r="N6086" t="n">
        <v>0</v>
      </c>
      <c r="O6086" t="n">
        <v>0</v>
      </c>
      <c r="P6086" t="n">
        <v>0</v>
      </c>
      <c r="Q6086" t="n">
        <v>0</v>
      </c>
      <c r="R6086" s="2" t="inlineStr"/>
    </row>
    <row r="6087" ht="15" customHeight="1">
      <c r="A6087" t="inlineStr">
        <is>
          <t>A 12521-2023</t>
        </is>
      </c>
      <c r="B6087" s="1" t="n">
        <v>45000</v>
      </c>
      <c r="C6087" s="1" t="n">
        <v>45182</v>
      </c>
      <c r="D6087" t="inlineStr">
        <is>
          <t>JÄMTLANDS LÄN</t>
        </is>
      </c>
      <c r="E6087" t="inlineStr">
        <is>
          <t>RAGUNDA</t>
        </is>
      </c>
      <c r="F6087" t="inlineStr">
        <is>
          <t>SCA</t>
        </is>
      </c>
      <c r="G6087" t="n">
        <v>0.6</v>
      </c>
      <c r="H6087" t="n">
        <v>0</v>
      </c>
      <c r="I6087" t="n">
        <v>0</v>
      </c>
      <c r="J6087" t="n">
        <v>0</v>
      </c>
      <c r="K6087" t="n">
        <v>0</v>
      </c>
      <c r="L6087" t="n">
        <v>0</v>
      </c>
      <c r="M6087" t="n">
        <v>0</v>
      </c>
      <c r="N6087" t="n">
        <v>0</v>
      </c>
      <c r="O6087" t="n">
        <v>0</v>
      </c>
      <c r="P6087" t="n">
        <v>0</v>
      </c>
      <c r="Q6087" t="n">
        <v>0</v>
      </c>
      <c r="R6087" s="2" t="inlineStr"/>
    </row>
    <row r="6088" ht="15" customHeight="1">
      <c r="A6088" t="inlineStr">
        <is>
          <t>A 12644-2023</t>
        </is>
      </c>
      <c r="B6088" s="1" t="n">
        <v>45000</v>
      </c>
      <c r="C6088" s="1" t="n">
        <v>45182</v>
      </c>
      <c r="D6088" t="inlineStr">
        <is>
          <t>JÄMTLANDS LÄN</t>
        </is>
      </c>
      <c r="E6088" t="inlineStr">
        <is>
          <t>STRÖMSUND</t>
        </is>
      </c>
      <c r="F6088" t="inlineStr">
        <is>
          <t>Kyrkan</t>
        </is>
      </c>
      <c r="G6088" t="n">
        <v>1.6</v>
      </c>
      <c r="H6088" t="n">
        <v>0</v>
      </c>
      <c r="I6088" t="n">
        <v>0</v>
      </c>
      <c r="J6088" t="n">
        <v>0</v>
      </c>
      <c r="K6088" t="n">
        <v>0</v>
      </c>
      <c r="L6088" t="n">
        <v>0</v>
      </c>
      <c r="M6088" t="n">
        <v>0</v>
      </c>
      <c r="N6088" t="n">
        <v>0</v>
      </c>
      <c r="O6088" t="n">
        <v>0</v>
      </c>
      <c r="P6088" t="n">
        <v>0</v>
      </c>
      <c r="Q6088" t="n">
        <v>0</v>
      </c>
      <c r="R6088" s="2" t="inlineStr"/>
    </row>
    <row r="6089" ht="15" customHeight="1">
      <c r="A6089" t="inlineStr">
        <is>
          <t>A 12663-2023</t>
        </is>
      </c>
      <c r="B6089" s="1" t="n">
        <v>45000</v>
      </c>
      <c r="C6089" s="1" t="n">
        <v>45182</v>
      </c>
      <c r="D6089" t="inlineStr">
        <is>
          <t>JÄMTLANDS LÄN</t>
        </is>
      </c>
      <c r="E6089" t="inlineStr">
        <is>
          <t>ÅRE</t>
        </is>
      </c>
      <c r="F6089" t="inlineStr">
        <is>
          <t>Övriga Aktiebolag</t>
        </is>
      </c>
      <c r="G6089" t="n">
        <v>5.8</v>
      </c>
      <c r="H6089" t="n">
        <v>0</v>
      </c>
      <c r="I6089" t="n">
        <v>0</v>
      </c>
      <c r="J6089" t="n">
        <v>0</v>
      </c>
      <c r="K6089" t="n">
        <v>0</v>
      </c>
      <c r="L6089" t="n">
        <v>0</v>
      </c>
      <c r="M6089" t="n">
        <v>0</v>
      </c>
      <c r="N6089" t="n">
        <v>0</v>
      </c>
      <c r="O6089" t="n">
        <v>0</v>
      </c>
      <c r="P6089" t="n">
        <v>0</v>
      </c>
      <c r="Q6089" t="n">
        <v>0</v>
      </c>
      <c r="R6089" s="2" t="inlineStr"/>
    </row>
    <row r="6090" ht="15" customHeight="1">
      <c r="A6090" t="inlineStr">
        <is>
          <t>A 12522-2023</t>
        </is>
      </c>
      <c r="B6090" s="1" t="n">
        <v>45000</v>
      </c>
      <c r="C6090" s="1" t="n">
        <v>45182</v>
      </c>
      <c r="D6090" t="inlineStr">
        <is>
          <t>JÄMTLANDS LÄN</t>
        </is>
      </c>
      <c r="E6090" t="inlineStr">
        <is>
          <t>RAGUNDA</t>
        </is>
      </c>
      <c r="F6090" t="inlineStr">
        <is>
          <t>SCA</t>
        </is>
      </c>
      <c r="G6090" t="n">
        <v>2</v>
      </c>
      <c r="H6090" t="n">
        <v>0</v>
      </c>
      <c r="I6090" t="n">
        <v>0</v>
      </c>
      <c r="J6090" t="n">
        <v>0</v>
      </c>
      <c r="K6090" t="n">
        <v>0</v>
      </c>
      <c r="L6090" t="n">
        <v>0</v>
      </c>
      <c r="M6090" t="n">
        <v>0</v>
      </c>
      <c r="N6090" t="n">
        <v>0</v>
      </c>
      <c r="O6090" t="n">
        <v>0</v>
      </c>
      <c r="P6090" t="n">
        <v>0</v>
      </c>
      <c r="Q6090" t="n">
        <v>0</v>
      </c>
      <c r="R6090" s="2" t="inlineStr"/>
    </row>
    <row r="6091" ht="15" customHeight="1">
      <c r="A6091" t="inlineStr">
        <is>
          <t>A 12750-2023</t>
        </is>
      </c>
      <c r="B6091" s="1" t="n">
        <v>45000</v>
      </c>
      <c r="C6091" s="1" t="n">
        <v>45182</v>
      </c>
      <c r="D6091" t="inlineStr">
        <is>
          <t>JÄMTLANDS LÄN</t>
        </is>
      </c>
      <c r="E6091" t="inlineStr">
        <is>
          <t>RAGUNDA</t>
        </is>
      </c>
      <c r="F6091" t="inlineStr">
        <is>
          <t>Naturvårdsverket</t>
        </is>
      </c>
      <c r="G6091" t="n">
        <v>5</v>
      </c>
      <c r="H6091" t="n">
        <v>0</v>
      </c>
      <c r="I6091" t="n">
        <v>0</v>
      </c>
      <c r="J6091" t="n">
        <v>0</v>
      </c>
      <c r="K6091" t="n">
        <v>0</v>
      </c>
      <c r="L6091" t="n">
        <v>0</v>
      </c>
      <c r="M6091" t="n">
        <v>0</v>
      </c>
      <c r="N6091" t="n">
        <v>0</v>
      </c>
      <c r="O6091" t="n">
        <v>0</v>
      </c>
      <c r="P6091" t="n">
        <v>0</v>
      </c>
      <c r="Q6091" t="n">
        <v>0</v>
      </c>
      <c r="R6091" s="2" t="inlineStr"/>
    </row>
    <row r="6092" ht="15" customHeight="1">
      <c r="A6092" t="inlineStr">
        <is>
          <t>A 12518-2023</t>
        </is>
      </c>
      <c r="B6092" s="1" t="n">
        <v>45000</v>
      </c>
      <c r="C6092" s="1" t="n">
        <v>45182</v>
      </c>
      <c r="D6092" t="inlineStr">
        <is>
          <t>JÄMTLANDS LÄN</t>
        </is>
      </c>
      <c r="E6092" t="inlineStr">
        <is>
          <t>BRÄCKE</t>
        </is>
      </c>
      <c r="G6092" t="n">
        <v>9.199999999999999</v>
      </c>
      <c r="H6092" t="n">
        <v>0</v>
      </c>
      <c r="I6092" t="n">
        <v>0</v>
      </c>
      <c r="J6092" t="n">
        <v>0</v>
      </c>
      <c r="K6092" t="n">
        <v>0</v>
      </c>
      <c r="L6092" t="n">
        <v>0</v>
      </c>
      <c r="M6092" t="n">
        <v>0</v>
      </c>
      <c r="N6092" t="n">
        <v>0</v>
      </c>
      <c r="O6092" t="n">
        <v>0</v>
      </c>
      <c r="P6092" t="n">
        <v>0</v>
      </c>
      <c r="Q6092" t="n">
        <v>0</v>
      </c>
      <c r="R6092" s="2" t="inlineStr"/>
    </row>
    <row r="6093" ht="15" customHeight="1">
      <c r="A6093" t="inlineStr">
        <is>
          <t>A 12523-2023</t>
        </is>
      </c>
      <c r="B6093" s="1" t="n">
        <v>45000</v>
      </c>
      <c r="C6093" s="1" t="n">
        <v>45182</v>
      </c>
      <c r="D6093" t="inlineStr">
        <is>
          <t>JÄMTLANDS LÄN</t>
        </is>
      </c>
      <c r="E6093" t="inlineStr">
        <is>
          <t>RAGUNDA</t>
        </is>
      </c>
      <c r="F6093" t="inlineStr">
        <is>
          <t>SCA</t>
        </is>
      </c>
      <c r="G6093" t="n">
        <v>14.3</v>
      </c>
      <c r="H6093" t="n">
        <v>0</v>
      </c>
      <c r="I6093" t="n">
        <v>0</v>
      </c>
      <c r="J6093" t="n">
        <v>0</v>
      </c>
      <c r="K6093" t="n">
        <v>0</v>
      </c>
      <c r="L6093" t="n">
        <v>0</v>
      </c>
      <c r="M6093" t="n">
        <v>0</v>
      </c>
      <c r="N6093" t="n">
        <v>0</v>
      </c>
      <c r="O6093" t="n">
        <v>0</v>
      </c>
      <c r="P6093" t="n">
        <v>0</v>
      </c>
      <c r="Q6093" t="n">
        <v>0</v>
      </c>
      <c r="R6093" s="2" t="inlineStr"/>
    </row>
    <row r="6094" ht="15" customHeight="1">
      <c r="A6094" t="inlineStr">
        <is>
          <t>A 12813-2023</t>
        </is>
      </c>
      <c r="B6094" s="1" t="n">
        <v>45000</v>
      </c>
      <c r="C6094" s="1" t="n">
        <v>45182</v>
      </c>
      <c r="D6094" t="inlineStr">
        <is>
          <t>JÄMTLANDS LÄN</t>
        </is>
      </c>
      <c r="E6094" t="inlineStr">
        <is>
          <t>KROKOM</t>
        </is>
      </c>
      <c r="G6094" t="n">
        <v>9.800000000000001</v>
      </c>
      <c r="H6094" t="n">
        <v>0</v>
      </c>
      <c r="I6094" t="n">
        <v>0</v>
      </c>
      <c r="J6094" t="n">
        <v>0</v>
      </c>
      <c r="K6094" t="n">
        <v>0</v>
      </c>
      <c r="L6094" t="n">
        <v>0</v>
      </c>
      <c r="M6094" t="n">
        <v>0</v>
      </c>
      <c r="N6094" t="n">
        <v>0</v>
      </c>
      <c r="O6094" t="n">
        <v>0</v>
      </c>
      <c r="P6094" t="n">
        <v>0</v>
      </c>
      <c r="Q6094" t="n">
        <v>0</v>
      </c>
      <c r="R6094" s="2" t="inlineStr"/>
    </row>
    <row r="6095" ht="15" customHeight="1">
      <c r="A6095" t="inlineStr">
        <is>
          <t>A 12821-2023</t>
        </is>
      </c>
      <c r="B6095" s="1" t="n">
        <v>45000</v>
      </c>
      <c r="C6095" s="1" t="n">
        <v>45182</v>
      </c>
      <c r="D6095" t="inlineStr">
        <is>
          <t>JÄMTLANDS LÄN</t>
        </is>
      </c>
      <c r="E6095" t="inlineStr">
        <is>
          <t>ÖSTERSUND</t>
        </is>
      </c>
      <c r="G6095" t="n">
        <v>0.7</v>
      </c>
      <c r="H6095" t="n">
        <v>0</v>
      </c>
      <c r="I6095" t="n">
        <v>0</v>
      </c>
      <c r="J6095" t="n">
        <v>0</v>
      </c>
      <c r="K6095" t="n">
        <v>0</v>
      </c>
      <c r="L6095" t="n">
        <v>0</v>
      </c>
      <c r="M6095" t="n">
        <v>0</v>
      </c>
      <c r="N6095" t="n">
        <v>0</v>
      </c>
      <c r="O6095" t="n">
        <v>0</v>
      </c>
      <c r="P6095" t="n">
        <v>0</v>
      </c>
      <c r="Q6095" t="n">
        <v>0</v>
      </c>
      <c r="R6095" s="2" t="inlineStr"/>
    </row>
    <row r="6096" ht="15" customHeight="1">
      <c r="A6096" t="inlineStr">
        <is>
          <t>A 12971-2023</t>
        </is>
      </c>
      <c r="B6096" s="1" t="n">
        <v>45001</v>
      </c>
      <c r="C6096" s="1" t="n">
        <v>45182</v>
      </c>
      <c r="D6096" t="inlineStr">
        <is>
          <t>JÄMTLANDS LÄN</t>
        </is>
      </c>
      <c r="E6096" t="inlineStr">
        <is>
          <t>STRÖMSUND</t>
        </is>
      </c>
      <c r="G6096" t="n">
        <v>15.7</v>
      </c>
      <c r="H6096" t="n">
        <v>0</v>
      </c>
      <c r="I6096" t="n">
        <v>0</v>
      </c>
      <c r="J6096" t="n">
        <v>0</v>
      </c>
      <c r="K6096" t="n">
        <v>0</v>
      </c>
      <c r="L6096" t="n">
        <v>0</v>
      </c>
      <c r="M6096" t="n">
        <v>0</v>
      </c>
      <c r="N6096" t="n">
        <v>0</v>
      </c>
      <c r="O6096" t="n">
        <v>0</v>
      </c>
      <c r="P6096" t="n">
        <v>0</v>
      </c>
      <c r="Q6096" t="n">
        <v>0</v>
      </c>
      <c r="R6096" s="2" t="inlineStr"/>
    </row>
    <row r="6097" ht="15" customHeight="1">
      <c r="A6097" t="inlineStr">
        <is>
          <t>A 13019-2023</t>
        </is>
      </c>
      <c r="B6097" s="1" t="n">
        <v>45001</v>
      </c>
      <c r="C6097" s="1" t="n">
        <v>45182</v>
      </c>
      <c r="D6097" t="inlineStr">
        <is>
          <t>JÄMTLANDS LÄN</t>
        </is>
      </c>
      <c r="E6097" t="inlineStr">
        <is>
          <t>BRÄCKE</t>
        </is>
      </c>
      <c r="G6097" t="n">
        <v>3.8</v>
      </c>
      <c r="H6097" t="n">
        <v>0</v>
      </c>
      <c r="I6097" t="n">
        <v>0</v>
      </c>
      <c r="J6097" t="n">
        <v>0</v>
      </c>
      <c r="K6097" t="n">
        <v>0</v>
      </c>
      <c r="L6097" t="n">
        <v>0</v>
      </c>
      <c r="M6097" t="n">
        <v>0</v>
      </c>
      <c r="N6097" t="n">
        <v>0</v>
      </c>
      <c r="O6097" t="n">
        <v>0</v>
      </c>
      <c r="P6097" t="n">
        <v>0</v>
      </c>
      <c r="Q6097" t="n">
        <v>0</v>
      </c>
      <c r="R6097" s="2" t="inlineStr"/>
    </row>
    <row r="6098" ht="15" customHeight="1">
      <c r="A6098" t="inlineStr">
        <is>
          <t>A 13033-2023</t>
        </is>
      </c>
      <c r="B6098" s="1" t="n">
        <v>45001</v>
      </c>
      <c r="C6098" s="1" t="n">
        <v>45182</v>
      </c>
      <c r="D6098" t="inlineStr">
        <is>
          <t>JÄMTLANDS LÄN</t>
        </is>
      </c>
      <c r="E6098" t="inlineStr">
        <is>
          <t>BRÄCKE</t>
        </is>
      </c>
      <c r="G6098" t="n">
        <v>1.1</v>
      </c>
      <c r="H6098" t="n">
        <v>0</v>
      </c>
      <c r="I6098" t="n">
        <v>0</v>
      </c>
      <c r="J6098" t="n">
        <v>0</v>
      </c>
      <c r="K6098" t="n">
        <v>0</v>
      </c>
      <c r="L6098" t="n">
        <v>0</v>
      </c>
      <c r="M6098" t="n">
        <v>0</v>
      </c>
      <c r="N6098" t="n">
        <v>0</v>
      </c>
      <c r="O6098" t="n">
        <v>0</v>
      </c>
      <c r="P6098" t="n">
        <v>0</v>
      </c>
      <c r="Q6098" t="n">
        <v>0</v>
      </c>
      <c r="R6098" s="2" t="inlineStr"/>
    </row>
    <row r="6099" ht="15" customHeight="1">
      <c r="A6099" t="inlineStr">
        <is>
          <t>A 12900-2023</t>
        </is>
      </c>
      <c r="B6099" s="1" t="n">
        <v>45001</v>
      </c>
      <c r="C6099" s="1" t="n">
        <v>45182</v>
      </c>
      <c r="D6099" t="inlineStr">
        <is>
          <t>JÄMTLANDS LÄN</t>
        </is>
      </c>
      <c r="E6099" t="inlineStr">
        <is>
          <t>BRÄCKE</t>
        </is>
      </c>
      <c r="G6099" t="n">
        <v>1.3</v>
      </c>
      <c r="H6099" t="n">
        <v>0</v>
      </c>
      <c r="I6099" t="n">
        <v>0</v>
      </c>
      <c r="J6099" t="n">
        <v>0</v>
      </c>
      <c r="K6099" t="n">
        <v>0</v>
      </c>
      <c r="L6099" t="n">
        <v>0</v>
      </c>
      <c r="M6099" t="n">
        <v>0</v>
      </c>
      <c r="N6099" t="n">
        <v>0</v>
      </c>
      <c r="O6099" t="n">
        <v>0</v>
      </c>
      <c r="P6099" t="n">
        <v>0</v>
      </c>
      <c r="Q6099" t="n">
        <v>0</v>
      </c>
      <c r="R6099" s="2" t="inlineStr"/>
    </row>
    <row r="6100" ht="15" customHeight="1">
      <c r="A6100" t="inlineStr">
        <is>
          <t>A 12774-2023</t>
        </is>
      </c>
      <c r="B6100" s="1" t="n">
        <v>45001</v>
      </c>
      <c r="C6100" s="1" t="n">
        <v>45182</v>
      </c>
      <c r="D6100" t="inlineStr">
        <is>
          <t>JÄMTLANDS LÄN</t>
        </is>
      </c>
      <c r="E6100" t="inlineStr">
        <is>
          <t>BERG</t>
        </is>
      </c>
      <c r="G6100" t="n">
        <v>0.7</v>
      </c>
      <c r="H6100" t="n">
        <v>0</v>
      </c>
      <c r="I6100" t="n">
        <v>0</v>
      </c>
      <c r="J6100" t="n">
        <v>0</v>
      </c>
      <c r="K6100" t="n">
        <v>0</v>
      </c>
      <c r="L6100" t="n">
        <v>0</v>
      </c>
      <c r="M6100" t="n">
        <v>0</v>
      </c>
      <c r="N6100" t="n">
        <v>0</v>
      </c>
      <c r="O6100" t="n">
        <v>0</v>
      </c>
      <c r="P6100" t="n">
        <v>0</v>
      </c>
      <c r="Q6100" t="n">
        <v>0</v>
      </c>
      <c r="R6100" s="2" t="inlineStr"/>
    </row>
    <row r="6101" ht="15" customHeight="1">
      <c r="A6101" t="inlineStr">
        <is>
          <t>A 12921-2023</t>
        </is>
      </c>
      <c r="B6101" s="1" t="n">
        <v>45001</v>
      </c>
      <c r="C6101" s="1" t="n">
        <v>45182</v>
      </c>
      <c r="D6101" t="inlineStr">
        <is>
          <t>JÄMTLANDS LÄN</t>
        </is>
      </c>
      <c r="E6101" t="inlineStr">
        <is>
          <t>HÄRJEDALEN</t>
        </is>
      </c>
      <c r="G6101" t="n">
        <v>13.9</v>
      </c>
      <c r="H6101" t="n">
        <v>0</v>
      </c>
      <c r="I6101" t="n">
        <v>0</v>
      </c>
      <c r="J6101" t="n">
        <v>0</v>
      </c>
      <c r="K6101" t="n">
        <v>0</v>
      </c>
      <c r="L6101" t="n">
        <v>0</v>
      </c>
      <c r="M6101" t="n">
        <v>0</v>
      </c>
      <c r="N6101" t="n">
        <v>0</v>
      </c>
      <c r="O6101" t="n">
        <v>0</v>
      </c>
      <c r="P6101" t="n">
        <v>0</v>
      </c>
      <c r="Q6101" t="n">
        <v>0</v>
      </c>
      <c r="R6101" s="2" t="inlineStr"/>
    </row>
    <row r="6102" ht="15" customHeight="1">
      <c r="A6102" t="inlineStr">
        <is>
          <t>A 13152-2023</t>
        </is>
      </c>
      <c r="B6102" s="1" t="n">
        <v>45002</v>
      </c>
      <c r="C6102" s="1" t="n">
        <v>45182</v>
      </c>
      <c r="D6102" t="inlineStr">
        <is>
          <t>JÄMTLANDS LÄN</t>
        </is>
      </c>
      <c r="E6102" t="inlineStr">
        <is>
          <t>ÖSTERSUND</t>
        </is>
      </c>
      <c r="G6102" t="n">
        <v>1.2</v>
      </c>
      <c r="H6102" t="n">
        <v>0</v>
      </c>
      <c r="I6102" t="n">
        <v>0</v>
      </c>
      <c r="J6102" t="n">
        <v>0</v>
      </c>
      <c r="K6102" t="n">
        <v>0</v>
      </c>
      <c r="L6102" t="n">
        <v>0</v>
      </c>
      <c r="M6102" t="n">
        <v>0</v>
      </c>
      <c r="N6102" t="n">
        <v>0</v>
      </c>
      <c r="O6102" t="n">
        <v>0</v>
      </c>
      <c r="P6102" t="n">
        <v>0</v>
      </c>
      <c r="Q6102" t="n">
        <v>0</v>
      </c>
      <c r="R6102" s="2" t="inlineStr"/>
    </row>
    <row r="6103" ht="15" customHeight="1">
      <c r="A6103" t="inlineStr">
        <is>
          <t>A 13148-2023</t>
        </is>
      </c>
      <c r="B6103" s="1" t="n">
        <v>45002</v>
      </c>
      <c r="C6103" s="1" t="n">
        <v>45182</v>
      </c>
      <c r="D6103" t="inlineStr">
        <is>
          <t>JÄMTLANDS LÄN</t>
        </is>
      </c>
      <c r="E6103" t="inlineStr">
        <is>
          <t>ÖSTERSUND</t>
        </is>
      </c>
      <c r="G6103" t="n">
        <v>1.8</v>
      </c>
      <c r="H6103" t="n">
        <v>0</v>
      </c>
      <c r="I6103" t="n">
        <v>0</v>
      </c>
      <c r="J6103" t="n">
        <v>0</v>
      </c>
      <c r="K6103" t="n">
        <v>0</v>
      </c>
      <c r="L6103" t="n">
        <v>0</v>
      </c>
      <c r="M6103" t="n">
        <v>0</v>
      </c>
      <c r="N6103" t="n">
        <v>0</v>
      </c>
      <c r="O6103" t="n">
        <v>0</v>
      </c>
      <c r="P6103" t="n">
        <v>0</v>
      </c>
      <c r="Q6103" t="n">
        <v>0</v>
      </c>
      <c r="R6103" s="2" t="inlineStr"/>
    </row>
    <row r="6104" ht="15" customHeight="1">
      <c r="A6104" t="inlineStr">
        <is>
          <t>A 13166-2023</t>
        </is>
      </c>
      <c r="B6104" s="1" t="n">
        <v>45002</v>
      </c>
      <c r="C6104" s="1" t="n">
        <v>45182</v>
      </c>
      <c r="D6104" t="inlineStr">
        <is>
          <t>JÄMTLANDS LÄN</t>
        </is>
      </c>
      <c r="E6104" t="inlineStr">
        <is>
          <t>ÖSTERSUND</t>
        </is>
      </c>
      <c r="F6104" t="inlineStr">
        <is>
          <t>Övriga statliga verk och myndigheter</t>
        </is>
      </c>
      <c r="G6104" t="n">
        <v>1</v>
      </c>
      <c r="H6104" t="n">
        <v>0</v>
      </c>
      <c r="I6104" t="n">
        <v>0</v>
      </c>
      <c r="J6104" t="n">
        <v>0</v>
      </c>
      <c r="K6104" t="n">
        <v>0</v>
      </c>
      <c r="L6104" t="n">
        <v>0</v>
      </c>
      <c r="M6104" t="n">
        <v>0</v>
      </c>
      <c r="N6104" t="n">
        <v>0</v>
      </c>
      <c r="O6104" t="n">
        <v>0</v>
      </c>
      <c r="P6104" t="n">
        <v>0</v>
      </c>
      <c r="Q6104" t="n">
        <v>0</v>
      </c>
      <c r="R6104" s="2" t="inlineStr"/>
    </row>
    <row r="6105" ht="15" customHeight="1">
      <c r="A6105" t="inlineStr">
        <is>
          <t>A 13244-2023</t>
        </is>
      </c>
      <c r="B6105" s="1" t="n">
        <v>45002</v>
      </c>
      <c r="C6105" s="1" t="n">
        <v>45182</v>
      </c>
      <c r="D6105" t="inlineStr">
        <is>
          <t>JÄMTLANDS LÄN</t>
        </is>
      </c>
      <c r="E6105" t="inlineStr">
        <is>
          <t>BRÄCKE</t>
        </is>
      </c>
      <c r="G6105" t="n">
        <v>1.1</v>
      </c>
      <c r="H6105" t="n">
        <v>0</v>
      </c>
      <c r="I6105" t="n">
        <v>0</v>
      </c>
      <c r="J6105" t="n">
        <v>0</v>
      </c>
      <c r="K6105" t="n">
        <v>0</v>
      </c>
      <c r="L6105" t="n">
        <v>0</v>
      </c>
      <c r="M6105" t="n">
        <v>0</v>
      </c>
      <c r="N6105" t="n">
        <v>0</v>
      </c>
      <c r="O6105" t="n">
        <v>0</v>
      </c>
      <c r="P6105" t="n">
        <v>0</v>
      </c>
      <c r="Q6105" t="n">
        <v>0</v>
      </c>
      <c r="R6105" s="2" t="inlineStr"/>
    </row>
    <row r="6106" ht="15" customHeight="1">
      <c r="A6106" t="inlineStr">
        <is>
          <t>A 13246-2023</t>
        </is>
      </c>
      <c r="B6106" s="1" t="n">
        <v>45002</v>
      </c>
      <c r="C6106" s="1" t="n">
        <v>45182</v>
      </c>
      <c r="D6106" t="inlineStr">
        <is>
          <t>JÄMTLANDS LÄN</t>
        </is>
      </c>
      <c r="E6106" t="inlineStr">
        <is>
          <t>RAGUNDA</t>
        </is>
      </c>
      <c r="G6106" t="n">
        <v>2.2</v>
      </c>
      <c r="H6106" t="n">
        <v>0</v>
      </c>
      <c r="I6106" t="n">
        <v>0</v>
      </c>
      <c r="J6106" t="n">
        <v>0</v>
      </c>
      <c r="K6106" t="n">
        <v>0</v>
      </c>
      <c r="L6106" t="n">
        <v>0</v>
      </c>
      <c r="M6106" t="n">
        <v>0</v>
      </c>
      <c r="N6106" t="n">
        <v>0</v>
      </c>
      <c r="O6106" t="n">
        <v>0</v>
      </c>
      <c r="P6106" t="n">
        <v>0</v>
      </c>
      <c r="Q6106" t="n">
        <v>0</v>
      </c>
      <c r="R6106" s="2" t="inlineStr"/>
    </row>
    <row r="6107" ht="15" customHeight="1">
      <c r="A6107" t="inlineStr">
        <is>
          <t>A 13258-2023</t>
        </is>
      </c>
      <c r="B6107" s="1" t="n">
        <v>45002</v>
      </c>
      <c r="C6107" s="1" t="n">
        <v>45182</v>
      </c>
      <c r="D6107" t="inlineStr">
        <is>
          <t>JÄMTLANDS LÄN</t>
        </is>
      </c>
      <c r="E6107" t="inlineStr">
        <is>
          <t>BRÄCKE</t>
        </is>
      </c>
      <c r="F6107" t="inlineStr">
        <is>
          <t>SCA</t>
        </is>
      </c>
      <c r="G6107" t="n">
        <v>14.3</v>
      </c>
      <c r="H6107" t="n">
        <v>0</v>
      </c>
      <c r="I6107" t="n">
        <v>0</v>
      </c>
      <c r="J6107" t="n">
        <v>0</v>
      </c>
      <c r="K6107" t="n">
        <v>0</v>
      </c>
      <c r="L6107" t="n">
        <v>0</v>
      </c>
      <c r="M6107" t="n">
        <v>0</v>
      </c>
      <c r="N6107" t="n">
        <v>0</v>
      </c>
      <c r="O6107" t="n">
        <v>0</v>
      </c>
      <c r="P6107" t="n">
        <v>0</v>
      </c>
      <c r="Q6107" t="n">
        <v>0</v>
      </c>
      <c r="R6107" s="2" t="inlineStr"/>
    </row>
    <row r="6108" ht="15" customHeight="1">
      <c r="A6108" t="inlineStr">
        <is>
          <t>A 13282-2023</t>
        </is>
      </c>
      <c r="B6108" s="1" t="n">
        <v>45004</v>
      </c>
      <c r="C6108" s="1" t="n">
        <v>45182</v>
      </c>
      <c r="D6108" t="inlineStr">
        <is>
          <t>JÄMTLANDS LÄN</t>
        </is>
      </c>
      <c r="E6108" t="inlineStr">
        <is>
          <t>ÖSTERSUND</t>
        </is>
      </c>
      <c r="G6108" t="n">
        <v>28.5</v>
      </c>
      <c r="H6108" t="n">
        <v>0</v>
      </c>
      <c r="I6108" t="n">
        <v>0</v>
      </c>
      <c r="J6108" t="n">
        <v>0</v>
      </c>
      <c r="K6108" t="n">
        <v>0</v>
      </c>
      <c r="L6108" t="n">
        <v>0</v>
      </c>
      <c r="M6108" t="n">
        <v>0</v>
      </c>
      <c r="N6108" t="n">
        <v>0</v>
      </c>
      <c r="O6108" t="n">
        <v>0</v>
      </c>
      <c r="P6108" t="n">
        <v>0</v>
      </c>
      <c r="Q6108" t="n">
        <v>0</v>
      </c>
      <c r="R6108" s="2" t="inlineStr"/>
    </row>
    <row r="6109" ht="15" customHeight="1">
      <c r="A6109" t="inlineStr">
        <is>
          <t>A 13315-2023</t>
        </is>
      </c>
      <c r="B6109" s="1" t="n">
        <v>45005</v>
      </c>
      <c r="C6109" s="1" t="n">
        <v>45182</v>
      </c>
      <c r="D6109" t="inlineStr">
        <is>
          <t>JÄMTLANDS LÄN</t>
        </is>
      </c>
      <c r="E6109" t="inlineStr">
        <is>
          <t>BRÄCKE</t>
        </is>
      </c>
      <c r="F6109" t="inlineStr">
        <is>
          <t>Naturvårdsverket</t>
        </is>
      </c>
      <c r="G6109" t="n">
        <v>8</v>
      </c>
      <c r="H6109" t="n">
        <v>0</v>
      </c>
      <c r="I6109" t="n">
        <v>0</v>
      </c>
      <c r="J6109" t="n">
        <v>0</v>
      </c>
      <c r="K6109" t="n">
        <v>0</v>
      </c>
      <c r="L6109" t="n">
        <v>0</v>
      </c>
      <c r="M6109" t="n">
        <v>0</v>
      </c>
      <c r="N6109" t="n">
        <v>0</v>
      </c>
      <c r="O6109" t="n">
        <v>0</v>
      </c>
      <c r="P6109" t="n">
        <v>0</v>
      </c>
      <c r="Q6109" t="n">
        <v>0</v>
      </c>
      <c r="R6109" s="2" t="inlineStr"/>
    </row>
    <row r="6110" ht="15" customHeight="1">
      <c r="A6110" t="inlineStr">
        <is>
          <t>A 13648-2023</t>
        </is>
      </c>
      <c r="B6110" s="1" t="n">
        <v>45006</v>
      </c>
      <c r="C6110" s="1" t="n">
        <v>45182</v>
      </c>
      <c r="D6110" t="inlineStr">
        <is>
          <t>JÄMTLANDS LÄN</t>
        </is>
      </c>
      <c r="E6110" t="inlineStr">
        <is>
          <t>ÅRE</t>
        </is>
      </c>
      <c r="F6110" t="inlineStr">
        <is>
          <t>Övriga Aktiebolag</t>
        </is>
      </c>
      <c r="G6110" t="n">
        <v>5.1</v>
      </c>
      <c r="H6110" t="n">
        <v>0</v>
      </c>
      <c r="I6110" t="n">
        <v>0</v>
      </c>
      <c r="J6110" t="n">
        <v>0</v>
      </c>
      <c r="K6110" t="n">
        <v>0</v>
      </c>
      <c r="L6110" t="n">
        <v>0</v>
      </c>
      <c r="M6110" t="n">
        <v>0</v>
      </c>
      <c r="N6110" t="n">
        <v>0</v>
      </c>
      <c r="O6110" t="n">
        <v>0</v>
      </c>
      <c r="P6110" t="n">
        <v>0</v>
      </c>
      <c r="Q6110" t="n">
        <v>0</v>
      </c>
      <c r="R6110" s="2" t="inlineStr"/>
    </row>
    <row r="6111" ht="15" customHeight="1">
      <c r="A6111" t="inlineStr">
        <is>
          <t>A 13684-2023</t>
        </is>
      </c>
      <c r="B6111" s="1" t="n">
        <v>45006</v>
      </c>
      <c r="C6111" s="1" t="n">
        <v>45182</v>
      </c>
      <c r="D6111" t="inlineStr">
        <is>
          <t>JÄMTLANDS LÄN</t>
        </is>
      </c>
      <c r="E6111" t="inlineStr">
        <is>
          <t>STRÖMSUND</t>
        </is>
      </c>
      <c r="G6111" t="n">
        <v>18</v>
      </c>
      <c r="H6111" t="n">
        <v>0</v>
      </c>
      <c r="I6111" t="n">
        <v>0</v>
      </c>
      <c r="J6111" t="n">
        <v>0</v>
      </c>
      <c r="K6111" t="n">
        <v>0</v>
      </c>
      <c r="L6111" t="n">
        <v>0</v>
      </c>
      <c r="M6111" t="n">
        <v>0</v>
      </c>
      <c r="N6111" t="n">
        <v>0</v>
      </c>
      <c r="O6111" t="n">
        <v>0</v>
      </c>
      <c r="P6111" t="n">
        <v>0</v>
      </c>
      <c r="Q6111" t="n">
        <v>0</v>
      </c>
      <c r="R6111" s="2" t="inlineStr"/>
    </row>
    <row r="6112" ht="15" customHeight="1">
      <c r="A6112" t="inlineStr">
        <is>
          <t>A 13685-2023</t>
        </is>
      </c>
      <c r="B6112" s="1" t="n">
        <v>45006</v>
      </c>
      <c r="C6112" s="1" t="n">
        <v>45182</v>
      </c>
      <c r="D6112" t="inlineStr">
        <is>
          <t>JÄMTLANDS LÄN</t>
        </is>
      </c>
      <c r="E6112" t="inlineStr">
        <is>
          <t>STRÖMSUND</t>
        </is>
      </c>
      <c r="G6112" t="n">
        <v>11.4</v>
      </c>
      <c r="H6112" t="n">
        <v>0</v>
      </c>
      <c r="I6112" t="n">
        <v>0</v>
      </c>
      <c r="J6112" t="n">
        <v>0</v>
      </c>
      <c r="K6112" t="n">
        <v>0</v>
      </c>
      <c r="L6112" t="n">
        <v>0</v>
      </c>
      <c r="M6112" t="n">
        <v>0</v>
      </c>
      <c r="N6112" t="n">
        <v>0</v>
      </c>
      <c r="O6112" t="n">
        <v>0</v>
      </c>
      <c r="P6112" t="n">
        <v>0</v>
      </c>
      <c r="Q6112" t="n">
        <v>0</v>
      </c>
      <c r="R6112" s="2" t="inlineStr"/>
    </row>
    <row r="6113" ht="15" customHeight="1">
      <c r="A6113" t="inlineStr">
        <is>
          <t>A 13703-2023</t>
        </is>
      </c>
      <c r="B6113" s="1" t="n">
        <v>45006</v>
      </c>
      <c r="C6113" s="1" t="n">
        <v>45182</v>
      </c>
      <c r="D6113" t="inlineStr">
        <is>
          <t>JÄMTLANDS LÄN</t>
        </is>
      </c>
      <c r="E6113" t="inlineStr">
        <is>
          <t>KROKOM</t>
        </is>
      </c>
      <c r="F6113" t="inlineStr">
        <is>
          <t>SCA</t>
        </is>
      </c>
      <c r="G6113" t="n">
        <v>22.2</v>
      </c>
      <c r="H6113" t="n">
        <v>0</v>
      </c>
      <c r="I6113" t="n">
        <v>0</v>
      </c>
      <c r="J6113" t="n">
        <v>0</v>
      </c>
      <c r="K6113" t="n">
        <v>0</v>
      </c>
      <c r="L6113" t="n">
        <v>0</v>
      </c>
      <c r="M6113" t="n">
        <v>0</v>
      </c>
      <c r="N6113" t="n">
        <v>0</v>
      </c>
      <c r="O6113" t="n">
        <v>0</v>
      </c>
      <c r="P6113" t="n">
        <v>0</v>
      </c>
      <c r="Q6113" t="n">
        <v>0</v>
      </c>
      <c r="R6113" s="2" t="inlineStr"/>
    </row>
    <row r="6114" ht="15" customHeight="1">
      <c r="A6114" t="inlineStr">
        <is>
          <t>A 13631-2023</t>
        </is>
      </c>
      <c r="B6114" s="1" t="n">
        <v>45006</v>
      </c>
      <c r="C6114" s="1" t="n">
        <v>45182</v>
      </c>
      <c r="D6114" t="inlineStr">
        <is>
          <t>JÄMTLANDS LÄN</t>
        </is>
      </c>
      <c r="E6114" t="inlineStr">
        <is>
          <t>ÅRE</t>
        </is>
      </c>
      <c r="G6114" t="n">
        <v>2</v>
      </c>
      <c r="H6114" t="n">
        <v>0</v>
      </c>
      <c r="I6114" t="n">
        <v>0</v>
      </c>
      <c r="J6114" t="n">
        <v>0</v>
      </c>
      <c r="K6114" t="n">
        <v>0</v>
      </c>
      <c r="L6114" t="n">
        <v>0</v>
      </c>
      <c r="M6114" t="n">
        <v>0</v>
      </c>
      <c r="N6114" t="n">
        <v>0</v>
      </c>
      <c r="O6114" t="n">
        <v>0</v>
      </c>
      <c r="P6114" t="n">
        <v>0</v>
      </c>
      <c r="Q6114" t="n">
        <v>0</v>
      </c>
      <c r="R6114" s="2" t="inlineStr"/>
    </row>
    <row r="6115" ht="15" customHeight="1">
      <c r="A6115" t="inlineStr">
        <is>
          <t>A 13645-2023</t>
        </is>
      </c>
      <c r="B6115" s="1" t="n">
        <v>45006</v>
      </c>
      <c r="C6115" s="1" t="n">
        <v>45182</v>
      </c>
      <c r="D6115" t="inlineStr">
        <is>
          <t>JÄMTLANDS LÄN</t>
        </is>
      </c>
      <c r="E6115" t="inlineStr">
        <is>
          <t>ÅRE</t>
        </is>
      </c>
      <c r="G6115" t="n">
        <v>5</v>
      </c>
      <c r="H6115" t="n">
        <v>0</v>
      </c>
      <c r="I6115" t="n">
        <v>0</v>
      </c>
      <c r="J6115" t="n">
        <v>0</v>
      </c>
      <c r="K6115" t="n">
        <v>0</v>
      </c>
      <c r="L6115" t="n">
        <v>0</v>
      </c>
      <c r="M6115" t="n">
        <v>0</v>
      </c>
      <c r="N6115" t="n">
        <v>0</v>
      </c>
      <c r="O6115" t="n">
        <v>0</v>
      </c>
      <c r="P6115" t="n">
        <v>0</v>
      </c>
      <c r="Q6115" t="n">
        <v>0</v>
      </c>
      <c r="R6115" s="2" t="inlineStr"/>
    </row>
    <row r="6116" ht="15" customHeight="1">
      <c r="A6116" t="inlineStr">
        <is>
          <t>A 13686-2023</t>
        </is>
      </c>
      <c r="B6116" s="1" t="n">
        <v>45006</v>
      </c>
      <c r="C6116" s="1" t="n">
        <v>45182</v>
      </c>
      <c r="D6116" t="inlineStr">
        <is>
          <t>JÄMTLANDS LÄN</t>
        </is>
      </c>
      <c r="E6116" t="inlineStr">
        <is>
          <t>STRÖMSUND</t>
        </is>
      </c>
      <c r="G6116" t="n">
        <v>4.2</v>
      </c>
      <c r="H6116" t="n">
        <v>0</v>
      </c>
      <c r="I6116" t="n">
        <v>0</v>
      </c>
      <c r="J6116" t="n">
        <v>0</v>
      </c>
      <c r="K6116" t="n">
        <v>0</v>
      </c>
      <c r="L6116" t="n">
        <v>0</v>
      </c>
      <c r="M6116" t="n">
        <v>0</v>
      </c>
      <c r="N6116" t="n">
        <v>0</v>
      </c>
      <c r="O6116" t="n">
        <v>0</v>
      </c>
      <c r="P6116" t="n">
        <v>0</v>
      </c>
      <c r="Q6116" t="n">
        <v>0</v>
      </c>
      <c r="R6116" s="2" t="inlineStr"/>
    </row>
    <row r="6117" ht="15" customHeight="1">
      <c r="A6117" t="inlineStr">
        <is>
          <t>A 13700-2023</t>
        </is>
      </c>
      <c r="B6117" s="1" t="n">
        <v>45006</v>
      </c>
      <c r="C6117" s="1" t="n">
        <v>45182</v>
      </c>
      <c r="D6117" t="inlineStr">
        <is>
          <t>JÄMTLANDS LÄN</t>
        </is>
      </c>
      <c r="E6117" t="inlineStr">
        <is>
          <t>RAGUNDA</t>
        </is>
      </c>
      <c r="F6117" t="inlineStr">
        <is>
          <t>SCA</t>
        </is>
      </c>
      <c r="G6117" t="n">
        <v>50.3</v>
      </c>
      <c r="H6117" t="n">
        <v>0</v>
      </c>
      <c r="I6117" t="n">
        <v>0</v>
      </c>
      <c r="J6117" t="n">
        <v>0</v>
      </c>
      <c r="K6117" t="n">
        <v>0</v>
      </c>
      <c r="L6117" t="n">
        <v>0</v>
      </c>
      <c r="M6117" t="n">
        <v>0</v>
      </c>
      <c r="N6117" t="n">
        <v>0</v>
      </c>
      <c r="O6117" t="n">
        <v>0</v>
      </c>
      <c r="P6117" t="n">
        <v>0</v>
      </c>
      <c r="Q6117" t="n">
        <v>0</v>
      </c>
      <c r="R6117" s="2" t="inlineStr"/>
    </row>
    <row r="6118" ht="15" customHeight="1">
      <c r="A6118" t="inlineStr">
        <is>
          <t>A 13687-2023</t>
        </is>
      </c>
      <c r="B6118" s="1" t="n">
        <v>45006</v>
      </c>
      <c r="C6118" s="1" t="n">
        <v>45182</v>
      </c>
      <c r="D6118" t="inlineStr">
        <is>
          <t>JÄMTLANDS LÄN</t>
        </is>
      </c>
      <c r="E6118" t="inlineStr">
        <is>
          <t>STRÖMSUND</t>
        </is>
      </c>
      <c r="G6118" t="n">
        <v>7.1</v>
      </c>
      <c r="H6118" t="n">
        <v>0</v>
      </c>
      <c r="I6118" t="n">
        <v>0</v>
      </c>
      <c r="J6118" t="n">
        <v>0</v>
      </c>
      <c r="K6118" t="n">
        <v>0</v>
      </c>
      <c r="L6118" t="n">
        <v>0</v>
      </c>
      <c r="M6118" t="n">
        <v>0</v>
      </c>
      <c r="N6118" t="n">
        <v>0</v>
      </c>
      <c r="O6118" t="n">
        <v>0</v>
      </c>
      <c r="P6118" t="n">
        <v>0</v>
      </c>
      <c r="Q6118" t="n">
        <v>0</v>
      </c>
      <c r="R6118" s="2" t="inlineStr"/>
    </row>
    <row r="6119" ht="15" customHeight="1">
      <c r="A6119" t="inlineStr">
        <is>
          <t>A 13917-2023</t>
        </is>
      </c>
      <c r="B6119" s="1" t="n">
        <v>45007</v>
      </c>
      <c r="C6119" s="1" t="n">
        <v>45182</v>
      </c>
      <c r="D6119" t="inlineStr">
        <is>
          <t>JÄMTLANDS LÄN</t>
        </is>
      </c>
      <c r="E6119" t="inlineStr">
        <is>
          <t>RAGUNDA</t>
        </is>
      </c>
      <c r="G6119" t="n">
        <v>1</v>
      </c>
      <c r="H6119" t="n">
        <v>0</v>
      </c>
      <c r="I6119" t="n">
        <v>0</v>
      </c>
      <c r="J6119" t="n">
        <v>0</v>
      </c>
      <c r="K6119" t="n">
        <v>0</v>
      </c>
      <c r="L6119" t="n">
        <v>0</v>
      </c>
      <c r="M6119" t="n">
        <v>0</v>
      </c>
      <c r="N6119" t="n">
        <v>0</v>
      </c>
      <c r="O6119" t="n">
        <v>0</v>
      </c>
      <c r="P6119" t="n">
        <v>0</v>
      </c>
      <c r="Q6119" t="n">
        <v>0</v>
      </c>
      <c r="R6119" s="2" t="inlineStr"/>
    </row>
    <row r="6120" ht="15" customHeight="1">
      <c r="A6120" t="inlineStr">
        <is>
          <t>A 13921-2023</t>
        </is>
      </c>
      <c r="B6120" s="1" t="n">
        <v>45008</v>
      </c>
      <c r="C6120" s="1" t="n">
        <v>45182</v>
      </c>
      <c r="D6120" t="inlineStr">
        <is>
          <t>JÄMTLANDS LÄN</t>
        </is>
      </c>
      <c r="E6120" t="inlineStr">
        <is>
          <t>ÖSTERSUND</t>
        </is>
      </c>
      <c r="G6120" t="n">
        <v>0.3</v>
      </c>
      <c r="H6120" t="n">
        <v>0</v>
      </c>
      <c r="I6120" t="n">
        <v>0</v>
      </c>
      <c r="J6120" t="n">
        <v>0</v>
      </c>
      <c r="K6120" t="n">
        <v>0</v>
      </c>
      <c r="L6120" t="n">
        <v>0</v>
      </c>
      <c r="M6120" t="n">
        <v>0</v>
      </c>
      <c r="N6120" t="n">
        <v>0</v>
      </c>
      <c r="O6120" t="n">
        <v>0</v>
      </c>
      <c r="P6120" t="n">
        <v>0</v>
      </c>
      <c r="Q6120" t="n">
        <v>0</v>
      </c>
      <c r="R6120" s="2" t="inlineStr"/>
    </row>
    <row r="6121" ht="15" customHeight="1">
      <c r="A6121" t="inlineStr">
        <is>
          <t>A 13925-2023</t>
        </is>
      </c>
      <c r="B6121" s="1" t="n">
        <v>45008</v>
      </c>
      <c r="C6121" s="1" t="n">
        <v>45182</v>
      </c>
      <c r="D6121" t="inlineStr">
        <is>
          <t>JÄMTLANDS LÄN</t>
        </is>
      </c>
      <c r="E6121" t="inlineStr">
        <is>
          <t>BRÄCKE</t>
        </is>
      </c>
      <c r="F6121" t="inlineStr">
        <is>
          <t>Kyrkan</t>
        </is>
      </c>
      <c r="G6121" t="n">
        <v>15.1</v>
      </c>
      <c r="H6121" t="n">
        <v>0</v>
      </c>
      <c r="I6121" t="n">
        <v>0</v>
      </c>
      <c r="J6121" t="n">
        <v>0</v>
      </c>
      <c r="K6121" t="n">
        <v>0</v>
      </c>
      <c r="L6121" t="n">
        <v>0</v>
      </c>
      <c r="M6121" t="n">
        <v>0</v>
      </c>
      <c r="N6121" t="n">
        <v>0</v>
      </c>
      <c r="O6121" t="n">
        <v>0</v>
      </c>
      <c r="P6121" t="n">
        <v>0</v>
      </c>
      <c r="Q6121" t="n">
        <v>0</v>
      </c>
      <c r="R6121" s="2" t="inlineStr"/>
    </row>
    <row r="6122" ht="15" customHeight="1">
      <c r="A6122" t="inlineStr">
        <is>
          <t>A 14165-2023</t>
        </is>
      </c>
      <c r="B6122" s="1" t="n">
        <v>45008</v>
      </c>
      <c r="C6122" s="1" t="n">
        <v>45182</v>
      </c>
      <c r="D6122" t="inlineStr">
        <is>
          <t>JÄMTLANDS LÄN</t>
        </is>
      </c>
      <c r="E6122" t="inlineStr">
        <is>
          <t>BERG</t>
        </is>
      </c>
      <c r="G6122" t="n">
        <v>11.6</v>
      </c>
      <c r="H6122" t="n">
        <v>0</v>
      </c>
      <c r="I6122" t="n">
        <v>0</v>
      </c>
      <c r="J6122" t="n">
        <v>0</v>
      </c>
      <c r="K6122" t="n">
        <v>0</v>
      </c>
      <c r="L6122" t="n">
        <v>0</v>
      </c>
      <c r="M6122" t="n">
        <v>0</v>
      </c>
      <c r="N6122" t="n">
        <v>0</v>
      </c>
      <c r="O6122" t="n">
        <v>0</v>
      </c>
      <c r="P6122" t="n">
        <v>0</v>
      </c>
      <c r="Q6122" t="n">
        <v>0</v>
      </c>
      <c r="R6122" s="2" t="inlineStr"/>
    </row>
    <row r="6123" ht="15" customHeight="1">
      <c r="A6123" t="inlineStr">
        <is>
          <t>A 14070-2023</t>
        </is>
      </c>
      <c r="B6123" s="1" t="n">
        <v>45008</v>
      </c>
      <c r="C6123" s="1" t="n">
        <v>45182</v>
      </c>
      <c r="D6123" t="inlineStr">
        <is>
          <t>JÄMTLANDS LÄN</t>
        </is>
      </c>
      <c r="E6123" t="inlineStr">
        <is>
          <t>STRÖMSUND</t>
        </is>
      </c>
      <c r="G6123" t="n">
        <v>17.9</v>
      </c>
      <c r="H6123" t="n">
        <v>0</v>
      </c>
      <c r="I6123" t="n">
        <v>0</v>
      </c>
      <c r="J6123" t="n">
        <v>0</v>
      </c>
      <c r="K6123" t="n">
        <v>0</v>
      </c>
      <c r="L6123" t="n">
        <v>0</v>
      </c>
      <c r="M6123" t="n">
        <v>0</v>
      </c>
      <c r="N6123" t="n">
        <v>0</v>
      </c>
      <c r="O6123" t="n">
        <v>0</v>
      </c>
      <c r="P6123" t="n">
        <v>0</v>
      </c>
      <c r="Q6123" t="n">
        <v>0</v>
      </c>
      <c r="R6123" s="2" t="inlineStr"/>
    </row>
    <row r="6124" ht="15" customHeight="1">
      <c r="A6124" t="inlineStr">
        <is>
          <t>A 14069-2023</t>
        </is>
      </c>
      <c r="B6124" s="1" t="n">
        <v>45008</v>
      </c>
      <c r="C6124" s="1" t="n">
        <v>45182</v>
      </c>
      <c r="D6124" t="inlineStr">
        <is>
          <t>JÄMTLANDS LÄN</t>
        </is>
      </c>
      <c r="E6124" t="inlineStr">
        <is>
          <t>STRÖMSUND</t>
        </is>
      </c>
      <c r="G6124" t="n">
        <v>28.2</v>
      </c>
      <c r="H6124" t="n">
        <v>0</v>
      </c>
      <c r="I6124" t="n">
        <v>0</v>
      </c>
      <c r="J6124" t="n">
        <v>0</v>
      </c>
      <c r="K6124" t="n">
        <v>0</v>
      </c>
      <c r="L6124" t="n">
        <v>0</v>
      </c>
      <c r="M6124" t="n">
        <v>0</v>
      </c>
      <c r="N6124" t="n">
        <v>0</v>
      </c>
      <c r="O6124" t="n">
        <v>0</v>
      </c>
      <c r="P6124" t="n">
        <v>0</v>
      </c>
      <c r="Q6124" t="n">
        <v>0</v>
      </c>
      <c r="R6124" s="2" t="inlineStr"/>
    </row>
    <row r="6125" ht="15" customHeight="1">
      <c r="A6125" t="inlineStr">
        <is>
          <t>A 14160-2023</t>
        </is>
      </c>
      <c r="B6125" s="1" t="n">
        <v>45008</v>
      </c>
      <c r="C6125" s="1" t="n">
        <v>45182</v>
      </c>
      <c r="D6125" t="inlineStr">
        <is>
          <t>JÄMTLANDS LÄN</t>
        </is>
      </c>
      <c r="E6125" t="inlineStr">
        <is>
          <t>BERG</t>
        </is>
      </c>
      <c r="G6125" t="n">
        <v>1.4</v>
      </c>
      <c r="H6125" t="n">
        <v>0</v>
      </c>
      <c r="I6125" t="n">
        <v>0</v>
      </c>
      <c r="J6125" t="n">
        <v>0</v>
      </c>
      <c r="K6125" t="n">
        <v>0</v>
      </c>
      <c r="L6125" t="n">
        <v>0</v>
      </c>
      <c r="M6125" t="n">
        <v>0</v>
      </c>
      <c r="N6125" t="n">
        <v>0</v>
      </c>
      <c r="O6125" t="n">
        <v>0</v>
      </c>
      <c r="P6125" t="n">
        <v>0</v>
      </c>
      <c r="Q6125" t="n">
        <v>0</v>
      </c>
      <c r="R6125" s="2" t="inlineStr"/>
    </row>
    <row r="6126" ht="15" customHeight="1">
      <c r="A6126" t="inlineStr">
        <is>
          <t>A 14153-2023</t>
        </is>
      </c>
      <c r="B6126" s="1" t="n">
        <v>45008</v>
      </c>
      <c r="C6126" s="1" t="n">
        <v>45182</v>
      </c>
      <c r="D6126" t="inlineStr">
        <is>
          <t>JÄMTLANDS LÄN</t>
        </is>
      </c>
      <c r="E6126" t="inlineStr">
        <is>
          <t>BERG</t>
        </is>
      </c>
      <c r="G6126" t="n">
        <v>1.1</v>
      </c>
      <c r="H6126" t="n">
        <v>0</v>
      </c>
      <c r="I6126" t="n">
        <v>0</v>
      </c>
      <c r="J6126" t="n">
        <v>0</v>
      </c>
      <c r="K6126" t="n">
        <v>0</v>
      </c>
      <c r="L6126" t="n">
        <v>0</v>
      </c>
      <c r="M6126" t="n">
        <v>0</v>
      </c>
      <c r="N6126" t="n">
        <v>0</v>
      </c>
      <c r="O6126" t="n">
        <v>0</v>
      </c>
      <c r="P6126" t="n">
        <v>0</v>
      </c>
      <c r="Q6126" t="n">
        <v>0</v>
      </c>
      <c r="R6126" s="2" t="inlineStr"/>
    </row>
    <row r="6127" ht="15" customHeight="1">
      <c r="A6127" t="inlineStr">
        <is>
          <t>A 14212-2023</t>
        </is>
      </c>
      <c r="B6127" s="1" t="n">
        <v>45009</v>
      </c>
      <c r="C6127" s="1" t="n">
        <v>45182</v>
      </c>
      <c r="D6127" t="inlineStr">
        <is>
          <t>JÄMTLANDS LÄN</t>
        </is>
      </c>
      <c r="E6127" t="inlineStr">
        <is>
          <t>RAGUNDA</t>
        </is>
      </c>
      <c r="G6127" t="n">
        <v>0.8</v>
      </c>
      <c r="H6127" t="n">
        <v>0</v>
      </c>
      <c r="I6127" t="n">
        <v>0</v>
      </c>
      <c r="J6127" t="n">
        <v>0</v>
      </c>
      <c r="K6127" t="n">
        <v>0</v>
      </c>
      <c r="L6127" t="n">
        <v>0</v>
      </c>
      <c r="M6127" t="n">
        <v>0</v>
      </c>
      <c r="N6127" t="n">
        <v>0</v>
      </c>
      <c r="O6127" t="n">
        <v>0</v>
      </c>
      <c r="P6127" t="n">
        <v>0</v>
      </c>
      <c r="Q6127" t="n">
        <v>0</v>
      </c>
      <c r="R6127" s="2" t="inlineStr"/>
    </row>
    <row r="6128" ht="15" customHeight="1">
      <c r="A6128" t="inlineStr">
        <is>
          <t>A 14278-2023</t>
        </is>
      </c>
      <c r="B6128" s="1" t="n">
        <v>45009</v>
      </c>
      <c r="C6128" s="1" t="n">
        <v>45182</v>
      </c>
      <c r="D6128" t="inlineStr">
        <is>
          <t>JÄMTLANDS LÄN</t>
        </is>
      </c>
      <c r="E6128" t="inlineStr">
        <is>
          <t>BRÄCKE</t>
        </is>
      </c>
      <c r="F6128" t="inlineStr">
        <is>
          <t>SCA</t>
        </is>
      </c>
      <c r="G6128" t="n">
        <v>10.1</v>
      </c>
      <c r="H6128" t="n">
        <v>0</v>
      </c>
      <c r="I6128" t="n">
        <v>0</v>
      </c>
      <c r="J6128" t="n">
        <v>0</v>
      </c>
      <c r="K6128" t="n">
        <v>0</v>
      </c>
      <c r="L6128" t="n">
        <v>0</v>
      </c>
      <c r="M6128" t="n">
        <v>0</v>
      </c>
      <c r="N6128" t="n">
        <v>0</v>
      </c>
      <c r="O6128" t="n">
        <v>0</v>
      </c>
      <c r="P6128" t="n">
        <v>0</v>
      </c>
      <c r="Q6128" t="n">
        <v>0</v>
      </c>
      <c r="R6128" s="2" t="inlineStr"/>
    </row>
    <row r="6129" ht="15" customHeight="1">
      <c r="A6129" t="inlineStr">
        <is>
          <t>A 14275-2023</t>
        </is>
      </c>
      <c r="B6129" s="1" t="n">
        <v>45009</v>
      </c>
      <c r="C6129" s="1" t="n">
        <v>45182</v>
      </c>
      <c r="D6129" t="inlineStr">
        <is>
          <t>JÄMTLANDS LÄN</t>
        </is>
      </c>
      <c r="E6129" t="inlineStr">
        <is>
          <t>BRÄCKE</t>
        </is>
      </c>
      <c r="F6129" t="inlineStr">
        <is>
          <t>SCA</t>
        </is>
      </c>
      <c r="G6129" t="n">
        <v>2.6</v>
      </c>
      <c r="H6129" t="n">
        <v>0</v>
      </c>
      <c r="I6129" t="n">
        <v>0</v>
      </c>
      <c r="J6129" t="n">
        <v>0</v>
      </c>
      <c r="K6129" t="n">
        <v>0</v>
      </c>
      <c r="L6129" t="n">
        <v>0</v>
      </c>
      <c r="M6129" t="n">
        <v>0</v>
      </c>
      <c r="N6129" t="n">
        <v>0</v>
      </c>
      <c r="O6129" t="n">
        <v>0</v>
      </c>
      <c r="P6129" t="n">
        <v>0</v>
      </c>
      <c r="Q6129" t="n">
        <v>0</v>
      </c>
      <c r="R6129" s="2" t="inlineStr"/>
    </row>
    <row r="6130" ht="15" customHeight="1">
      <c r="A6130" t="inlineStr">
        <is>
          <t>A 14179-2023</t>
        </is>
      </c>
      <c r="B6130" s="1" t="n">
        <v>45009</v>
      </c>
      <c r="C6130" s="1" t="n">
        <v>45182</v>
      </c>
      <c r="D6130" t="inlineStr">
        <is>
          <t>JÄMTLANDS LÄN</t>
        </is>
      </c>
      <c r="E6130" t="inlineStr">
        <is>
          <t>RAGUNDA</t>
        </is>
      </c>
      <c r="G6130" t="n">
        <v>33.8</v>
      </c>
      <c r="H6130" t="n">
        <v>0</v>
      </c>
      <c r="I6130" t="n">
        <v>0</v>
      </c>
      <c r="J6130" t="n">
        <v>0</v>
      </c>
      <c r="K6130" t="n">
        <v>0</v>
      </c>
      <c r="L6130" t="n">
        <v>0</v>
      </c>
      <c r="M6130" t="n">
        <v>0</v>
      </c>
      <c r="N6130" t="n">
        <v>0</v>
      </c>
      <c r="O6130" t="n">
        <v>0</v>
      </c>
      <c r="P6130" t="n">
        <v>0</v>
      </c>
      <c r="Q6130" t="n">
        <v>0</v>
      </c>
      <c r="R6130" s="2" t="inlineStr"/>
    </row>
    <row r="6131" ht="15" customHeight="1">
      <c r="A6131" t="inlineStr">
        <is>
          <t>A 14262-2023</t>
        </is>
      </c>
      <c r="B6131" s="1" t="n">
        <v>45009</v>
      </c>
      <c r="C6131" s="1" t="n">
        <v>45182</v>
      </c>
      <c r="D6131" t="inlineStr">
        <is>
          <t>JÄMTLANDS LÄN</t>
        </is>
      </c>
      <c r="E6131" t="inlineStr">
        <is>
          <t>BRÄCKE</t>
        </is>
      </c>
      <c r="F6131" t="inlineStr">
        <is>
          <t>SCA</t>
        </is>
      </c>
      <c r="G6131" t="n">
        <v>2.7</v>
      </c>
      <c r="H6131" t="n">
        <v>0</v>
      </c>
      <c r="I6131" t="n">
        <v>0</v>
      </c>
      <c r="J6131" t="n">
        <v>0</v>
      </c>
      <c r="K6131" t="n">
        <v>0</v>
      </c>
      <c r="L6131" t="n">
        <v>0</v>
      </c>
      <c r="M6131" t="n">
        <v>0</v>
      </c>
      <c r="N6131" t="n">
        <v>0</v>
      </c>
      <c r="O6131" t="n">
        <v>0</v>
      </c>
      <c r="P6131" t="n">
        <v>0</v>
      </c>
      <c r="Q6131" t="n">
        <v>0</v>
      </c>
      <c r="R6131" s="2" t="inlineStr"/>
    </row>
    <row r="6132" ht="15" customHeight="1">
      <c r="A6132" t="inlineStr">
        <is>
          <t>A 14274-2023</t>
        </is>
      </c>
      <c r="B6132" s="1" t="n">
        <v>45009</v>
      </c>
      <c r="C6132" s="1" t="n">
        <v>45182</v>
      </c>
      <c r="D6132" t="inlineStr">
        <is>
          <t>JÄMTLANDS LÄN</t>
        </is>
      </c>
      <c r="E6132" t="inlineStr">
        <is>
          <t>BRÄCKE</t>
        </is>
      </c>
      <c r="F6132" t="inlineStr">
        <is>
          <t>SCA</t>
        </is>
      </c>
      <c r="G6132" t="n">
        <v>7</v>
      </c>
      <c r="H6132" t="n">
        <v>0</v>
      </c>
      <c r="I6132" t="n">
        <v>0</v>
      </c>
      <c r="J6132" t="n">
        <v>0</v>
      </c>
      <c r="K6132" t="n">
        <v>0</v>
      </c>
      <c r="L6132" t="n">
        <v>0</v>
      </c>
      <c r="M6132" t="n">
        <v>0</v>
      </c>
      <c r="N6132" t="n">
        <v>0</v>
      </c>
      <c r="O6132" t="n">
        <v>0</v>
      </c>
      <c r="P6132" t="n">
        <v>0</v>
      </c>
      <c r="Q6132" t="n">
        <v>0</v>
      </c>
      <c r="R6132" s="2" t="inlineStr"/>
    </row>
    <row r="6133" ht="15" customHeight="1">
      <c r="A6133" t="inlineStr">
        <is>
          <t>A 14347-2023</t>
        </is>
      </c>
      <c r="B6133" s="1" t="n">
        <v>45012</v>
      </c>
      <c r="C6133" s="1" t="n">
        <v>45182</v>
      </c>
      <c r="D6133" t="inlineStr">
        <is>
          <t>JÄMTLANDS LÄN</t>
        </is>
      </c>
      <c r="E6133" t="inlineStr">
        <is>
          <t>STRÖMSUND</t>
        </is>
      </c>
      <c r="G6133" t="n">
        <v>1.4</v>
      </c>
      <c r="H6133" t="n">
        <v>0</v>
      </c>
      <c r="I6133" t="n">
        <v>0</v>
      </c>
      <c r="J6133" t="n">
        <v>0</v>
      </c>
      <c r="K6133" t="n">
        <v>0</v>
      </c>
      <c r="L6133" t="n">
        <v>0</v>
      </c>
      <c r="M6133" t="n">
        <v>0</v>
      </c>
      <c r="N6133" t="n">
        <v>0</v>
      </c>
      <c r="O6133" t="n">
        <v>0</v>
      </c>
      <c r="P6133" t="n">
        <v>0</v>
      </c>
      <c r="Q6133" t="n">
        <v>0</v>
      </c>
      <c r="R6133" s="2" t="inlineStr"/>
    </row>
    <row r="6134" ht="15" customHeight="1">
      <c r="A6134" t="inlineStr">
        <is>
          <t>A 14518-2023</t>
        </is>
      </c>
      <c r="B6134" s="1" t="n">
        <v>45012</v>
      </c>
      <c r="C6134" s="1" t="n">
        <v>45182</v>
      </c>
      <c r="D6134" t="inlineStr">
        <is>
          <t>JÄMTLANDS LÄN</t>
        </is>
      </c>
      <c r="E6134" t="inlineStr">
        <is>
          <t>ÖSTERSUND</t>
        </is>
      </c>
      <c r="G6134" t="n">
        <v>14.4</v>
      </c>
      <c r="H6134" t="n">
        <v>0</v>
      </c>
      <c r="I6134" t="n">
        <v>0</v>
      </c>
      <c r="J6134" t="n">
        <v>0</v>
      </c>
      <c r="K6134" t="n">
        <v>0</v>
      </c>
      <c r="L6134" t="n">
        <v>0</v>
      </c>
      <c r="M6134" t="n">
        <v>0</v>
      </c>
      <c r="N6134" t="n">
        <v>0</v>
      </c>
      <c r="O6134" t="n">
        <v>0</v>
      </c>
      <c r="P6134" t="n">
        <v>0</v>
      </c>
      <c r="Q6134" t="n">
        <v>0</v>
      </c>
      <c r="R6134" s="2" t="inlineStr"/>
    </row>
    <row r="6135" ht="15" customHeight="1">
      <c r="A6135" t="inlineStr">
        <is>
          <t>A 14631-2023</t>
        </is>
      </c>
      <c r="B6135" s="1" t="n">
        <v>45012</v>
      </c>
      <c r="C6135" s="1" t="n">
        <v>45182</v>
      </c>
      <c r="D6135" t="inlineStr">
        <is>
          <t>JÄMTLANDS LÄN</t>
        </is>
      </c>
      <c r="E6135" t="inlineStr">
        <is>
          <t>HÄRJEDALEN</t>
        </is>
      </c>
      <c r="F6135" t="inlineStr">
        <is>
          <t>Bergvik skog väst AB</t>
        </is>
      </c>
      <c r="G6135" t="n">
        <v>14.2</v>
      </c>
      <c r="H6135" t="n">
        <v>0</v>
      </c>
      <c r="I6135" t="n">
        <v>0</v>
      </c>
      <c r="J6135" t="n">
        <v>0</v>
      </c>
      <c r="K6135" t="n">
        <v>0</v>
      </c>
      <c r="L6135" t="n">
        <v>0</v>
      </c>
      <c r="M6135" t="n">
        <v>0</v>
      </c>
      <c r="N6135" t="n">
        <v>0</v>
      </c>
      <c r="O6135" t="n">
        <v>0</v>
      </c>
      <c r="P6135" t="n">
        <v>0</v>
      </c>
      <c r="Q6135" t="n">
        <v>0</v>
      </c>
      <c r="R6135" s="2" t="inlineStr"/>
    </row>
    <row r="6136" ht="15" customHeight="1">
      <c r="A6136" t="inlineStr">
        <is>
          <t>A 14696-2023</t>
        </is>
      </c>
      <c r="B6136" s="1" t="n">
        <v>45012</v>
      </c>
      <c r="C6136" s="1" t="n">
        <v>45182</v>
      </c>
      <c r="D6136" t="inlineStr">
        <is>
          <t>JÄMTLANDS LÄN</t>
        </is>
      </c>
      <c r="E6136" t="inlineStr">
        <is>
          <t>BRÄCKE</t>
        </is>
      </c>
      <c r="G6136" t="n">
        <v>13</v>
      </c>
      <c r="H6136" t="n">
        <v>0</v>
      </c>
      <c r="I6136" t="n">
        <v>0</v>
      </c>
      <c r="J6136" t="n">
        <v>0</v>
      </c>
      <c r="K6136" t="n">
        <v>0</v>
      </c>
      <c r="L6136" t="n">
        <v>0</v>
      </c>
      <c r="M6136" t="n">
        <v>0</v>
      </c>
      <c r="N6136" t="n">
        <v>0</v>
      </c>
      <c r="O6136" t="n">
        <v>0</v>
      </c>
      <c r="P6136" t="n">
        <v>0</v>
      </c>
      <c r="Q6136" t="n">
        <v>0</v>
      </c>
      <c r="R6136" s="2" t="inlineStr"/>
    </row>
    <row r="6137" ht="15" customHeight="1">
      <c r="A6137" t="inlineStr">
        <is>
          <t>A 14523-2023</t>
        </is>
      </c>
      <c r="B6137" s="1" t="n">
        <v>45012</v>
      </c>
      <c r="C6137" s="1" t="n">
        <v>45182</v>
      </c>
      <c r="D6137" t="inlineStr">
        <is>
          <t>JÄMTLANDS LÄN</t>
        </is>
      </c>
      <c r="E6137" t="inlineStr">
        <is>
          <t>ÖSTERSUND</t>
        </is>
      </c>
      <c r="G6137" t="n">
        <v>4.5</v>
      </c>
      <c r="H6137" t="n">
        <v>0</v>
      </c>
      <c r="I6137" t="n">
        <v>0</v>
      </c>
      <c r="J6137" t="n">
        <v>0</v>
      </c>
      <c r="K6137" t="n">
        <v>0</v>
      </c>
      <c r="L6137" t="n">
        <v>0</v>
      </c>
      <c r="M6137" t="n">
        <v>0</v>
      </c>
      <c r="N6137" t="n">
        <v>0</v>
      </c>
      <c r="O6137" t="n">
        <v>0</v>
      </c>
      <c r="P6137" t="n">
        <v>0</v>
      </c>
      <c r="Q6137" t="n">
        <v>0</v>
      </c>
      <c r="R6137" s="2" t="inlineStr"/>
    </row>
    <row r="6138" ht="15" customHeight="1">
      <c r="A6138" t="inlineStr">
        <is>
          <t>A 14642-2023</t>
        </is>
      </c>
      <c r="B6138" s="1" t="n">
        <v>45012</v>
      </c>
      <c r="C6138" s="1" t="n">
        <v>45182</v>
      </c>
      <c r="D6138" t="inlineStr">
        <is>
          <t>JÄMTLANDS LÄN</t>
        </is>
      </c>
      <c r="E6138" t="inlineStr">
        <is>
          <t>BRÄCKE</t>
        </is>
      </c>
      <c r="G6138" t="n">
        <v>4.2</v>
      </c>
      <c r="H6138" t="n">
        <v>0</v>
      </c>
      <c r="I6138" t="n">
        <v>0</v>
      </c>
      <c r="J6138" t="n">
        <v>0</v>
      </c>
      <c r="K6138" t="n">
        <v>0</v>
      </c>
      <c r="L6138" t="n">
        <v>0</v>
      </c>
      <c r="M6138" t="n">
        <v>0</v>
      </c>
      <c r="N6138" t="n">
        <v>0</v>
      </c>
      <c r="O6138" t="n">
        <v>0</v>
      </c>
      <c r="P6138" t="n">
        <v>0</v>
      </c>
      <c r="Q6138" t="n">
        <v>0</v>
      </c>
      <c r="R6138" s="2" t="inlineStr"/>
    </row>
    <row r="6139" ht="15" customHeight="1">
      <c r="A6139" t="inlineStr">
        <is>
          <t>A 14693-2023</t>
        </is>
      </c>
      <c r="B6139" s="1" t="n">
        <v>45012</v>
      </c>
      <c r="C6139" s="1" t="n">
        <v>45182</v>
      </c>
      <c r="D6139" t="inlineStr">
        <is>
          <t>JÄMTLANDS LÄN</t>
        </is>
      </c>
      <c r="E6139" t="inlineStr">
        <is>
          <t>BRÄCKE</t>
        </is>
      </c>
      <c r="G6139" t="n">
        <v>1.6</v>
      </c>
      <c r="H6139" t="n">
        <v>0</v>
      </c>
      <c r="I6139" t="n">
        <v>0</v>
      </c>
      <c r="J6139" t="n">
        <v>0</v>
      </c>
      <c r="K6139" t="n">
        <v>0</v>
      </c>
      <c r="L6139" t="n">
        <v>0</v>
      </c>
      <c r="M6139" t="n">
        <v>0</v>
      </c>
      <c r="N6139" t="n">
        <v>0</v>
      </c>
      <c r="O6139" t="n">
        <v>0</v>
      </c>
      <c r="P6139" t="n">
        <v>0</v>
      </c>
      <c r="Q6139" t="n">
        <v>0</v>
      </c>
      <c r="R6139" s="2" t="inlineStr"/>
    </row>
    <row r="6140" ht="15" customHeight="1">
      <c r="A6140" t="inlineStr">
        <is>
          <t>A 14528-2023</t>
        </is>
      </c>
      <c r="B6140" s="1" t="n">
        <v>45012</v>
      </c>
      <c r="C6140" s="1" t="n">
        <v>45182</v>
      </c>
      <c r="D6140" t="inlineStr">
        <is>
          <t>JÄMTLANDS LÄN</t>
        </is>
      </c>
      <c r="E6140" t="inlineStr">
        <is>
          <t>STRÖMSUND</t>
        </is>
      </c>
      <c r="F6140" t="inlineStr">
        <is>
          <t>SCA</t>
        </is>
      </c>
      <c r="G6140" t="n">
        <v>9.6</v>
      </c>
      <c r="H6140" t="n">
        <v>0</v>
      </c>
      <c r="I6140" t="n">
        <v>0</v>
      </c>
      <c r="J6140" t="n">
        <v>0</v>
      </c>
      <c r="K6140" t="n">
        <v>0</v>
      </c>
      <c r="L6140" t="n">
        <v>0</v>
      </c>
      <c r="M6140" t="n">
        <v>0</v>
      </c>
      <c r="N6140" t="n">
        <v>0</v>
      </c>
      <c r="O6140" t="n">
        <v>0</v>
      </c>
      <c r="P6140" t="n">
        <v>0</v>
      </c>
      <c r="Q6140" t="n">
        <v>0</v>
      </c>
      <c r="R6140" s="2" t="inlineStr"/>
    </row>
    <row r="6141" ht="15" customHeight="1">
      <c r="A6141" t="inlineStr">
        <is>
          <t>A 14338-2023</t>
        </is>
      </c>
      <c r="B6141" s="1" t="n">
        <v>45012</v>
      </c>
      <c r="C6141" s="1" t="n">
        <v>45182</v>
      </c>
      <c r="D6141" t="inlineStr">
        <is>
          <t>JÄMTLANDS LÄN</t>
        </is>
      </c>
      <c r="E6141" t="inlineStr">
        <is>
          <t>STRÖMSUND</t>
        </is>
      </c>
      <c r="G6141" t="n">
        <v>4</v>
      </c>
      <c r="H6141" t="n">
        <v>0</v>
      </c>
      <c r="I6141" t="n">
        <v>0</v>
      </c>
      <c r="J6141" t="n">
        <v>0</v>
      </c>
      <c r="K6141" t="n">
        <v>0</v>
      </c>
      <c r="L6141" t="n">
        <v>0</v>
      </c>
      <c r="M6141" t="n">
        <v>0</v>
      </c>
      <c r="N6141" t="n">
        <v>0</v>
      </c>
      <c r="O6141" t="n">
        <v>0</v>
      </c>
      <c r="P6141" t="n">
        <v>0</v>
      </c>
      <c r="Q6141" t="n">
        <v>0</v>
      </c>
      <c r="R6141" s="2" t="inlineStr"/>
    </row>
    <row r="6142" ht="15" customHeight="1">
      <c r="A6142" t="inlineStr">
        <is>
          <t>A 14344-2023</t>
        </is>
      </c>
      <c r="B6142" s="1" t="n">
        <v>45012</v>
      </c>
      <c r="C6142" s="1" t="n">
        <v>45182</v>
      </c>
      <c r="D6142" t="inlineStr">
        <is>
          <t>JÄMTLANDS LÄN</t>
        </is>
      </c>
      <c r="E6142" t="inlineStr">
        <is>
          <t>STRÖMSUND</t>
        </is>
      </c>
      <c r="G6142" t="n">
        <v>0.2</v>
      </c>
      <c r="H6142" t="n">
        <v>0</v>
      </c>
      <c r="I6142" t="n">
        <v>0</v>
      </c>
      <c r="J6142" t="n">
        <v>0</v>
      </c>
      <c r="K6142" t="n">
        <v>0</v>
      </c>
      <c r="L6142" t="n">
        <v>0</v>
      </c>
      <c r="M6142" t="n">
        <v>0</v>
      </c>
      <c r="N6142" t="n">
        <v>0</v>
      </c>
      <c r="O6142" t="n">
        <v>0</v>
      </c>
      <c r="P6142" t="n">
        <v>0</v>
      </c>
      <c r="Q6142" t="n">
        <v>0</v>
      </c>
      <c r="R6142" s="2" t="inlineStr"/>
    </row>
    <row r="6143" ht="15" customHeight="1">
      <c r="A6143" t="inlineStr">
        <is>
          <t>A 14520-2023</t>
        </is>
      </c>
      <c r="B6143" s="1" t="n">
        <v>45012</v>
      </c>
      <c r="C6143" s="1" t="n">
        <v>45182</v>
      </c>
      <c r="D6143" t="inlineStr">
        <is>
          <t>JÄMTLANDS LÄN</t>
        </is>
      </c>
      <c r="E6143" t="inlineStr">
        <is>
          <t>ÖSTERSUND</t>
        </is>
      </c>
      <c r="G6143" t="n">
        <v>1.4</v>
      </c>
      <c r="H6143" t="n">
        <v>0</v>
      </c>
      <c r="I6143" t="n">
        <v>0</v>
      </c>
      <c r="J6143" t="n">
        <v>0</v>
      </c>
      <c r="K6143" t="n">
        <v>0</v>
      </c>
      <c r="L6143" t="n">
        <v>0</v>
      </c>
      <c r="M6143" t="n">
        <v>0</v>
      </c>
      <c r="N6143" t="n">
        <v>0</v>
      </c>
      <c r="O6143" t="n">
        <v>0</v>
      </c>
      <c r="P6143" t="n">
        <v>0</v>
      </c>
      <c r="Q6143" t="n">
        <v>0</v>
      </c>
      <c r="R6143" s="2" t="inlineStr"/>
    </row>
    <row r="6144" ht="15" customHeight="1">
      <c r="A6144" t="inlineStr">
        <is>
          <t>A 14821-2023</t>
        </is>
      </c>
      <c r="B6144" s="1" t="n">
        <v>45013</v>
      </c>
      <c r="C6144" s="1" t="n">
        <v>45182</v>
      </c>
      <c r="D6144" t="inlineStr">
        <is>
          <t>JÄMTLANDS LÄN</t>
        </is>
      </c>
      <c r="E6144" t="inlineStr">
        <is>
          <t>STRÖMSUND</t>
        </is>
      </c>
      <c r="G6144" t="n">
        <v>39.3</v>
      </c>
      <c r="H6144" t="n">
        <v>0</v>
      </c>
      <c r="I6144" t="n">
        <v>0</v>
      </c>
      <c r="J6144" t="n">
        <v>0</v>
      </c>
      <c r="K6144" t="n">
        <v>0</v>
      </c>
      <c r="L6144" t="n">
        <v>0</v>
      </c>
      <c r="M6144" t="n">
        <v>0</v>
      </c>
      <c r="N6144" t="n">
        <v>0</v>
      </c>
      <c r="O6144" t="n">
        <v>0</v>
      </c>
      <c r="P6144" t="n">
        <v>0</v>
      </c>
      <c r="Q6144" t="n">
        <v>0</v>
      </c>
      <c r="R6144" s="2" t="inlineStr"/>
    </row>
    <row r="6145" ht="15" customHeight="1">
      <c r="A6145" t="inlineStr">
        <is>
          <t>A 14621-2023</t>
        </is>
      </c>
      <c r="B6145" s="1" t="n">
        <v>45013</v>
      </c>
      <c r="C6145" s="1" t="n">
        <v>45182</v>
      </c>
      <c r="D6145" t="inlineStr">
        <is>
          <t>JÄMTLANDS LÄN</t>
        </is>
      </c>
      <c r="E6145" t="inlineStr">
        <is>
          <t>ÅRE</t>
        </is>
      </c>
      <c r="G6145" t="n">
        <v>5</v>
      </c>
      <c r="H6145" t="n">
        <v>0</v>
      </c>
      <c r="I6145" t="n">
        <v>0</v>
      </c>
      <c r="J6145" t="n">
        <v>0</v>
      </c>
      <c r="K6145" t="n">
        <v>0</v>
      </c>
      <c r="L6145" t="n">
        <v>0</v>
      </c>
      <c r="M6145" t="n">
        <v>0</v>
      </c>
      <c r="N6145" t="n">
        <v>0</v>
      </c>
      <c r="O6145" t="n">
        <v>0</v>
      </c>
      <c r="P6145" t="n">
        <v>0</v>
      </c>
      <c r="Q6145" t="n">
        <v>0</v>
      </c>
      <c r="R6145" s="2" t="inlineStr"/>
    </row>
    <row r="6146" ht="15" customHeight="1">
      <c r="A6146" t="inlineStr">
        <is>
          <t>A 14670-2023</t>
        </is>
      </c>
      <c r="B6146" s="1" t="n">
        <v>45013</v>
      </c>
      <c r="C6146" s="1" t="n">
        <v>45182</v>
      </c>
      <c r="D6146" t="inlineStr">
        <is>
          <t>JÄMTLANDS LÄN</t>
        </is>
      </c>
      <c r="E6146" t="inlineStr">
        <is>
          <t>BRÄCKE</t>
        </is>
      </c>
      <c r="F6146" t="inlineStr">
        <is>
          <t>SCA</t>
        </is>
      </c>
      <c r="G6146" t="n">
        <v>18.2</v>
      </c>
      <c r="H6146" t="n">
        <v>0</v>
      </c>
      <c r="I6146" t="n">
        <v>0</v>
      </c>
      <c r="J6146" t="n">
        <v>0</v>
      </c>
      <c r="K6146" t="n">
        <v>0</v>
      </c>
      <c r="L6146" t="n">
        <v>0</v>
      </c>
      <c r="M6146" t="n">
        <v>0</v>
      </c>
      <c r="N6146" t="n">
        <v>0</v>
      </c>
      <c r="O6146" t="n">
        <v>0</v>
      </c>
      <c r="P6146" t="n">
        <v>0</v>
      </c>
      <c r="Q6146" t="n">
        <v>0</v>
      </c>
      <c r="R6146" s="2" t="inlineStr"/>
    </row>
    <row r="6147" ht="15" customHeight="1">
      <c r="A6147" t="inlineStr">
        <is>
          <t>A 14975-2023</t>
        </is>
      </c>
      <c r="B6147" s="1" t="n">
        <v>45013</v>
      </c>
      <c r="C6147" s="1" t="n">
        <v>45182</v>
      </c>
      <c r="D6147" t="inlineStr">
        <is>
          <t>JÄMTLANDS LÄN</t>
        </is>
      </c>
      <c r="E6147" t="inlineStr">
        <is>
          <t>STRÖMSUND</t>
        </is>
      </c>
      <c r="G6147" t="n">
        <v>10.6</v>
      </c>
      <c r="H6147" t="n">
        <v>0</v>
      </c>
      <c r="I6147" t="n">
        <v>0</v>
      </c>
      <c r="J6147" t="n">
        <v>0</v>
      </c>
      <c r="K6147" t="n">
        <v>0</v>
      </c>
      <c r="L6147" t="n">
        <v>0</v>
      </c>
      <c r="M6147" t="n">
        <v>0</v>
      </c>
      <c r="N6147" t="n">
        <v>0</v>
      </c>
      <c r="O6147" t="n">
        <v>0</v>
      </c>
      <c r="P6147" t="n">
        <v>0</v>
      </c>
      <c r="Q6147" t="n">
        <v>0</v>
      </c>
      <c r="R6147" s="2" t="inlineStr"/>
    </row>
    <row r="6148" ht="15" customHeight="1">
      <c r="A6148" t="inlineStr">
        <is>
          <t>A 14869-2023</t>
        </is>
      </c>
      <c r="B6148" s="1" t="n">
        <v>45015</v>
      </c>
      <c r="C6148" s="1" t="n">
        <v>45182</v>
      </c>
      <c r="D6148" t="inlineStr">
        <is>
          <t>JÄMTLANDS LÄN</t>
        </is>
      </c>
      <c r="E6148" t="inlineStr">
        <is>
          <t>RAGUNDA</t>
        </is>
      </c>
      <c r="F6148" t="inlineStr">
        <is>
          <t>SCA</t>
        </is>
      </c>
      <c r="G6148" t="n">
        <v>3</v>
      </c>
      <c r="H6148" t="n">
        <v>0</v>
      </c>
      <c r="I6148" t="n">
        <v>0</v>
      </c>
      <c r="J6148" t="n">
        <v>0</v>
      </c>
      <c r="K6148" t="n">
        <v>0</v>
      </c>
      <c r="L6148" t="n">
        <v>0</v>
      </c>
      <c r="M6148" t="n">
        <v>0</v>
      </c>
      <c r="N6148" t="n">
        <v>0</v>
      </c>
      <c r="O6148" t="n">
        <v>0</v>
      </c>
      <c r="P6148" t="n">
        <v>0</v>
      </c>
      <c r="Q6148" t="n">
        <v>0</v>
      </c>
      <c r="R6148" s="2" t="inlineStr"/>
    </row>
    <row r="6149" ht="15" customHeight="1">
      <c r="A6149" t="inlineStr">
        <is>
          <t>A 14868-2023</t>
        </is>
      </c>
      <c r="B6149" s="1" t="n">
        <v>45015</v>
      </c>
      <c r="C6149" s="1" t="n">
        <v>45182</v>
      </c>
      <c r="D6149" t="inlineStr">
        <is>
          <t>JÄMTLANDS LÄN</t>
        </is>
      </c>
      <c r="E6149" t="inlineStr">
        <is>
          <t>RAGUNDA</t>
        </is>
      </c>
      <c r="F6149" t="inlineStr">
        <is>
          <t>SCA</t>
        </is>
      </c>
      <c r="G6149" t="n">
        <v>7</v>
      </c>
      <c r="H6149" t="n">
        <v>0</v>
      </c>
      <c r="I6149" t="n">
        <v>0</v>
      </c>
      <c r="J6149" t="n">
        <v>0</v>
      </c>
      <c r="K6149" t="n">
        <v>0</v>
      </c>
      <c r="L6149" t="n">
        <v>0</v>
      </c>
      <c r="M6149" t="n">
        <v>0</v>
      </c>
      <c r="N6149" t="n">
        <v>0</v>
      </c>
      <c r="O6149" t="n">
        <v>0</v>
      </c>
      <c r="P6149" t="n">
        <v>0</v>
      </c>
      <c r="Q6149" t="n">
        <v>0</v>
      </c>
      <c r="R6149" s="2" t="inlineStr"/>
    </row>
    <row r="6150" ht="15" customHeight="1">
      <c r="A6150" t="inlineStr">
        <is>
          <t>A 15064-2023</t>
        </is>
      </c>
      <c r="B6150" s="1" t="n">
        <v>45015</v>
      </c>
      <c r="C6150" s="1" t="n">
        <v>45182</v>
      </c>
      <c r="D6150" t="inlineStr">
        <is>
          <t>JÄMTLANDS LÄN</t>
        </is>
      </c>
      <c r="E6150" t="inlineStr">
        <is>
          <t>STRÖMSUND</t>
        </is>
      </c>
      <c r="G6150" t="n">
        <v>4.4</v>
      </c>
      <c r="H6150" t="n">
        <v>0</v>
      </c>
      <c r="I6150" t="n">
        <v>0</v>
      </c>
      <c r="J6150" t="n">
        <v>0</v>
      </c>
      <c r="K6150" t="n">
        <v>0</v>
      </c>
      <c r="L6150" t="n">
        <v>0</v>
      </c>
      <c r="M6150" t="n">
        <v>0</v>
      </c>
      <c r="N6150" t="n">
        <v>0</v>
      </c>
      <c r="O6150" t="n">
        <v>0</v>
      </c>
      <c r="P6150" t="n">
        <v>0</v>
      </c>
      <c r="Q6150" t="n">
        <v>0</v>
      </c>
      <c r="R6150" s="2" t="inlineStr"/>
    </row>
    <row r="6151" ht="15" customHeight="1">
      <c r="A6151" t="inlineStr">
        <is>
          <t>A 15078-2023</t>
        </is>
      </c>
      <c r="B6151" s="1" t="n">
        <v>45015</v>
      </c>
      <c r="C6151" s="1" t="n">
        <v>45182</v>
      </c>
      <c r="D6151" t="inlineStr">
        <is>
          <t>JÄMTLANDS LÄN</t>
        </is>
      </c>
      <c r="E6151" t="inlineStr">
        <is>
          <t>RAGUNDA</t>
        </is>
      </c>
      <c r="G6151" t="n">
        <v>0.6</v>
      </c>
      <c r="H6151" t="n">
        <v>0</v>
      </c>
      <c r="I6151" t="n">
        <v>0</v>
      </c>
      <c r="J6151" t="n">
        <v>0</v>
      </c>
      <c r="K6151" t="n">
        <v>0</v>
      </c>
      <c r="L6151" t="n">
        <v>0</v>
      </c>
      <c r="M6151" t="n">
        <v>0</v>
      </c>
      <c r="N6151" t="n">
        <v>0</v>
      </c>
      <c r="O6151" t="n">
        <v>0</v>
      </c>
      <c r="P6151" t="n">
        <v>0</v>
      </c>
      <c r="Q6151" t="n">
        <v>0</v>
      </c>
      <c r="R6151" s="2" t="inlineStr"/>
    </row>
    <row r="6152" ht="15" customHeight="1">
      <c r="A6152" t="inlineStr">
        <is>
          <t>A 15077-2023</t>
        </is>
      </c>
      <c r="B6152" s="1" t="n">
        <v>45015</v>
      </c>
      <c r="C6152" s="1" t="n">
        <v>45182</v>
      </c>
      <c r="D6152" t="inlineStr">
        <is>
          <t>JÄMTLANDS LÄN</t>
        </is>
      </c>
      <c r="E6152" t="inlineStr">
        <is>
          <t>RAGUNDA</t>
        </is>
      </c>
      <c r="G6152" t="n">
        <v>2.9</v>
      </c>
      <c r="H6152" t="n">
        <v>0</v>
      </c>
      <c r="I6152" t="n">
        <v>0</v>
      </c>
      <c r="J6152" t="n">
        <v>0</v>
      </c>
      <c r="K6152" t="n">
        <v>0</v>
      </c>
      <c r="L6152" t="n">
        <v>0</v>
      </c>
      <c r="M6152" t="n">
        <v>0</v>
      </c>
      <c r="N6152" t="n">
        <v>0</v>
      </c>
      <c r="O6152" t="n">
        <v>0</v>
      </c>
      <c r="P6152" t="n">
        <v>0</v>
      </c>
      <c r="Q6152" t="n">
        <v>0</v>
      </c>
      <c r="R6152" s="2" t="inlineStr"/>
    </row>
    <row r="6153" ht="15" customHeight="1">
      <c r="A6153" t="inlineStr">
        <is>
          <t>A 15409-2023</t>
        </is>
      </c>
      <c r="B6153" s="1" t="n">
        <v>45016</v>
      </c>
      <c r="C6153" s="1" t="n">
        <v>45182</v>
      </c>
      <c r="D6153" t="inlineStr">
        <is>
          <t>JÄMTLANDS LÄN</t>
        </is>
      </c>
      <c r="E6153" t="inlineStr">
        <is>
          <t>BERG</t>
        </is>
      </c>
      <c r="G6153" t="n">
        <v>10.7</v>
      </c>
      <c r="H6153" t="n">
        <v>0</v>
      </c>
      <c r="I6153" t="n">
        <v>0</v>
      </c>
      <c r="J6153" t="n">
        <v>0</v>
      </c>
      <c r="K6153" t="n">
        <v>0</v>
      </c>
      <c r="L6153" t="n">
        <v>0</v>
      </c>
      <c r="M6153" t="n">
        <v>0</v>
      </c>
      <c r="N6153" t="n">
        <v>0</v>
      </c>
      <c r="O6153" t="n">
        <v>0</v>
      </c>
      <c r="P6153" t="n">
        <v>0</v>
      </c>
      <c r="Q6153" t="n">
        <v>0</v>
      </c>
      <c r="R6153" s="2" t="inlineStr"/>
    </row>
    <row r="6154" ht="15" customHeight="1">
      <c r="A6154" t="inlineStr">
        <is>
          <t>A 15345-2023</t>
        </is>
      </c>
      <c r="B6154" s="1" t="n">
        <v>45016</v>
      </c>
      <c r="C6154" s="1" t="n">
        <v>45182</v>
      </c>
      <c r="D6154" t="inlineStr">
        <is>
          <t>JÄMTLANDS LÄN</t>
        </is>
      </c>
      <c r="E6154" t="inlineStr">
        <is>
          <t>RAGUNDA</t>
        </is>
      </c>
      <c r="G6154" t="n">
        <v>19.7</v>
      </c>
      <c r="H6154" t="n">
        <v>0</v>
      </c>
      <c r="I6154" t="n">
        <v>0</v>
      </c>
      <c r="J6154" t="n">
        <v>0</v>
      </c>
      <c r="K6154" t="n">
        <v>0</v>
      </c>
      <c r="L6154" t="n">
        <v>0</v>
      </c>
      <c r="M6154" t="n">
        <v>0</v>
      </c>
      <c r="N6154" t="n">
        <v>0</v>
      </c>
      <c r="O6154" t="n">
        <v>0</v>
      </c>
      <c r="P6154" t="n">
        <v>0</v>
      </c>
      <c r="Q6154" t="n">
        <v>0</v>
      </c>
      <c r="R6154" s="2" t="inlineStr"/>
    </row>
    <row r="6155" ht="15" customHeight="1">
      <c r="A6155" t="inlineStr">
        <is>
          <t>A 15368-2023</t>
        </is>
      </c>
      <c r="B6155" s="1" t="n">
        <v>45016</v>
      </c>
      <c r="C6155" s="1" t="n">
        <v>45182</v>
      </c>
      <c r="D6155" t="inlineStr">
        <is>
          <t>JÄMTLANDS LÄN</t>
        </is>
      </c>
      <c r="E6155" t="inlineStr">
        <is>
          <t>RAGUNDA</t>
        </is>
      </c>
      <c r="G6155" t="n">
        <v>13</v>
      </c>
      <c r="H6155" t="n">
        <v>0</v>
      </c>
      <c r="I6155" t="n">
        <v>0</v>
      </c>
      <c r="J6155" t="n">
        <v>0</v>
      </c>
      <c r="K6155" t="n">
        <v>0</v>
      </c>
      <c r="L6155" t="n">
        <v>0</v>
      </c>
      <c r="M6155" t="n">
        <v>0</v>
      </c>
      <c r="N6155" t="n">
        <v>0</v>
      </c>
      <c r="O6155" t="n">
        <v>0</v>
      </c>
      <c r="P6155" t="n">
        <v>0</v>
      </c>
      <c r="Q6155" t="n">
        <v>0</v>
      </c>
      <c r="R6155" s="2" t="inlineStr"/>
    </row>
    <row r="6156" ht="15" customHeight="1">
      <c r="A6156" t="inlineStr">
        <is>
          <t>A 15207-2023</t>
        </is>
      </c>
      <c r="B6156" s="1" t="n">
        <v>45018</v>
      </c>
      <c r="C6156" s="1" t="n">
        <v>45182</v>
      </c>
      <c r="D6156" t="inlineStr">
        <is>
          <t>JÄMTLANDS LÄN</t>
        </is>
      </c>
      <c r="E6156" t="inlineStr">
        <is>
          <t>STRÖMSUND</t>
        </is>
      </c>
      <c r="G6156" t="n">
        <v>1.8</v>
      </c>
      <c r="H6156" t="n">
        <v>0</v>
      </c>
      <c r="I6156" t="n">
        <v>0</v>
      </c>
      <c r="J6156" t="n">
        <v>0</v>
      </c>
      <c r="K6156" t="n">
        <v>0</v>
      </c>
      <c r="L6156" t="n">
        <v>0</v>
      </c>
      <c r="M6156" t="n">
        <v>0</v>
      </c>
      <c r="N6156" t="n">
        <v>0</v>
      </c>
      <c r="O6156" t="n">
        <v>0</v>
      </c>
      <c r="P6156" t="n">
        <v>0</v>
      </c>
      <c r="Q6156" t="n">
        <v>0</v>
      </c>
      <c r="R6156" s="2" t="inlineStr"/>
    </row>
    <row r="6157" ht="15" customHeight="1">
      <c r="A6157" t="inlineStr">
        <is>
          <t>A 15461-2023</t>
        </is>
      </c>
      <c r="B6157" s="1" t="n">
        <v>45019</v>
      </c>
      <c r="C6157" s="1" t="n">
        <v>45182</v>
      </c>
      <c r="D6157" t="inlineStr">
        <is>
          <t>JÄMTLANDS LÄN</t>
        </is>
      </c>
      <c r="E6157" t="inlineStr">
        <is>
          <t>STRÖMSUND</t>
        </is>
      </c>
      <c r="G6157" t="n">
        <v>13.9</v>
      </c>
      <c r="H6157" t="n">
        <v>0</v>
      </c>
      <c r="I6157" t="n">
        <v>0</v>
      </c>
      <c r="J6157" t="n">
        <v>0</v>
      </c>
      <c r="K6157" t="n">
        <v>0</v>
      </c>
      <c r="L6157" t="n">
        <v>0</v>
      </c>
      <c r="M6157" t="n">
        <v>0</v>
      </c>
      <c r="N6157" t="n">
        <v>0</v>
      </c>
      <c r="O6157" t="n">
        <v>0</v>
      </c>
      <c r="P6157" t="n">
        <v>0</v>
      </c>
      <c r="Q6157" t="n">
        <v>0</v>
      </c>
      <c r="R6157" s="2" t="inlineStr"/>
    </row>
    <row r="6158" ht="15" customHeight="1">
      <c r="A6158" t="inlineStr">
        <is>
          <t>A 15457-2023</t>
        </is>
      </c>
      <c r="B6158" s="1" t="n">
        <v>45019</v>
      </c>
      <c r="C6158" s="1" t="n">
        <v>45182</v>
      </c>
      <c r="D6158" t="inlineStr">
        <is>
          <t>JÄMTLANDS LÄN</t>
        </is>
      </c>
      <c r="E6158" t="inlineStr">
        <is>
          <t>STRÖMSUND</t>
        </is>
      </c>
      <c r="G6158" t="n">
        <v>17.2</v>
      </c>
      <c r="H6158" t="n">
        <v>0</v>
      </c>
      <c r="I6158" t="n">
        <v>0</v>
      </c>
      <c r="J6158" t="n">
        <v>0</v>
      </c>
      <c r="K6158" t="n">
        <v>0</v>
      </c>
      <c r="L6158" t="n">
        <v>0</v>
      </c>
      <c r="M6158" t="n">
        <v>0</v>
      </c>
      <c r="N6158" t="n">
        <v>0</v>
      </c>
      <c r="O6158" t="n">
        <v>0</v>
      </c>
      <c r="P6158" t="n">
        <v>0</v>
      </c>
      <c r="Q6158" t="n">
        <v>0</v>
      </c>
      <c r="R6158" s="2" t="inlineStr"/>
    </row>
    <row r="6159" ht="15" customHeight="1">
      <c r="A6159" t="inlineStr">
        <is>
          <t>A 15595-2023</t>
        </is>
      </c>
      <c r="B6159" s="1" t="n">
        <v>45019</v>
      </c>
      <c r="C6159" s="1" t="n">
        <v>45182</v>
      </c>
      <c r="D6159" t="inlineStr">
        <is>
          <t>JÄMTLANDS LÄN</t>
        </is>
      </c>
      <c r="E6159" t="inlineStr">
        <is>
          <t>KROKOM</t>
        </is>
      </c>
      <c r="G6159" t="n">
        <v>1.9</v>
      </c>
      <c r="H6159" t="n">
        <v>0</v>
      </c>
      <c r="I6159" t="n">
        <v>0</v>
      </c>
      <c r="J6159" t="n">
        <v>0</v>
      </c>
      <c r="K6159" t="n">
        <v>0</v>
      </c>
      <c r="L6159" t="n">
        <v>0</v>
      </c>
      <c r="M6159" t="n">
        <v>0</v>
      </c>
      <c r="N6159" t="n">
        <v>0</v>
      </c>
      <c r="O6159" t="n">
        <v>0</v>
      </c>
      <c r="P6159" t="n">
        <v>0</v>
      </c>
      <c r="Q6159" t="n">
        <v>0</v>
      </c>
      <c r="R6159" s="2" t="inlineStr"/>
    </row>
    <row r="6160" ht="15" customHeight="1">
      <c r="A6160" t="inlineStr">
        <is>
          <t>A 15455-2023</t>
        </is>
      </c>
      <c r="B6160" s="1" t="n">
        <v>45019</v>
      </c>
      <c r="C6160" s="1" t="n">
        <v>45182</v>
      </c>
      <c r="D6160" t="inlineStr">
        <is>
          <t>JÄMTLANDS LÄN</t>
        </is>
      </c>
      <c r="E6160" t="inlineStr">
        <is>
          <t>STRÖMSUND</t>
        </is>
      </c>
      <c r="G6160" t="n">
        <v>20.3</v>
      </c>
      <c r="H6160" t="n">
        <v>0</v>
      </c>
      <c r="I6160" t="n">
        <v>0</v>
      </c>
      <c r="J6160" t="n">
        <v>0</v>
      </c>
      <c r="K6160" t="n">
        <v>0</v>
      </c>
      <c r="L6160" t="n">
        <v>0</v>
      </c>
      <c r="M6160" t="n">
        <v>0</v>
      </c>
      <c r="N6160" t="n">
        <v>0</v>
      </c>
      <c r="O6160" t="n">
        <v>0</v>
      </c>
      <c r="P6160" t="n">
        <v>0</v>
      </c>
      <c r="Q6160" t="n">
        <v>0</v>
      </c>
      <c r="R6160" s="2" t="inlineStr"/>
    </row>
    <row r="6161" ht="15" customHeight="1">
      <c r="A6161" t="inlineStr">
        <is>
          <t>A 15430-2023</t>
        </is>
      </c>
      <c r="B6161" s="1" t="n">
        <v>45020</v>
      </c>
      <c r="C6161" s="1" t="n">
        <v>45182</v>
      </c>
      <c r="D6161" t="inlineStr">
        <is>
          <t>JÄMTLANDS LÄN</t>
        </is>
      </c>
      <c r="E6161" t="inlineStr">
        <is>
          <t>KROKOM</t>
        </is>
      </c>
      <c r="G6161" t="n">
        <v>31.8</v>
      </c>
      <c r="H6161" t="n">
        <v>0</v>
      </c>
      <c r="I6161" t="n">
        <v>0</v>
      </c>
      <c r="J6161" t="n">
        <v>0</v>
      </c>
      <c r="K6161" t="n">
        <v>0</v>
      </c>
      <c r="L6161" t="n">
        <v>0</v>
      </c>
      <c r="M6161" t="n">
        <v>0</v>
      </c>
      <c r="N6161" t="n">
        <v>0</v>
      </c>
      <c r="O6161" t="n">
        <v>0</v>
      </c>
      <c r="P6161" t="n">
        <v>0</v>
      </c>
      <c r="Q6161" t="n">
        <v>0</v>
      </c>
      <c r="R6161" s="2" t="inlineStr"/>
    </row>
    <row r="6162" ht="15" customHeight="1">
      <c r="A6162" t="inlineStr">
        <is>
          <t>A 15747-2023</t>
        </is>
      </c>
      <c r="B6162" s="1" t="n">
        <v>45020</v>
      </c>
      <c r="C6162" s="1" t="n">
        <v>45182</v>
      </c>
      <c r="D6162" t="inlineStr">
        <is>
          <t>JÄMTLANDS LÄN</t>
        </is>
      </c>
      <c r="E6162" t="inlineStr">
        <is>
          <t>HÄRJEDALEN</t>
        </is>
      </c>
      <c r="G6162" t="n">
        <v>0.1</v>
      </c>
      <c r="H6162" t="n">
        <v>0</v>
      </c>
      <c r="I6162" t="n">
        <v>0</v>
      </c>
      <c r="J6162" t="n">
        <v>0</v>
      </c>
      <c r="K6162" t="n">
        <v>0</v>
      </c>
      <c r="L6162" t="n">
        <v>0</v>
      </c>
      <c r="M6162" t="n">
        <v>0</v>
      </c>
      <c r="N6162" t="n">
        <v>0</v>
      </c>
      <c r="O6162" t="n">
        <v>0</v>
      </c>
      <c r="P6162" t="n">
        <v>0</v>
      </c>
      <c r="Q6162" t="n">
        <v>0</v>
      </c>
      <c r="R6162" s="2" t="inlineStr"/>
    </row>
    <row r="6163" ht="15" customHeight="1">
      <c r="A6163" t="inlineStr">
        <is>
          <t>A 15813-2023</t>
        </is>
      </c>
      <c r="B6163" s="1" t="n">
        <v>45021</v>
      </c>
      <c r="C6163" s="1" t="n">
        <v>45182</v>
      </c>
      <c r="D6163" t="inlineStr">
        <is>
          <t>JÄMTLANDS LÄN</t>
        </is>
      </c>
      <c r="E6163" t="inlineStr">
        <is>
          <t>BRÄCKE</t>
        </is>
      </c>
      <c r="F6163" t="inlineStr">
        <is>
          <t>SCA</t>
        </is>
      </c>
      <c r="G6163" t="n">
        <v>18.2</v>
      </c>
      <c r="H6163" t="n">
        <v>0</v>
      </c>
      <c r="I6163" t="n">
        <v>0</v>
      </c>
      <c r="J6163" t="n">
        <v>0</v>
      </c>
      <c r="K6163" t="n">
        <v>0</v>
      </c>
      <c r="L6163" t="n">
        <v>0</v>
      </c>
      <c r="M6163" t="n">
        <v>0</v>
      </c>
      <c r="N6163" t="n">
        <v>0</v>
      </c>
      <c r="O6163" t="n">
        <v>0</v>
      </c>
      <c r="P6163" t="n">
        <v>0</v>
      </c>
      <c r="Q6163" t="n">
        <v>0</v>
      </c>
      <c r="R6163" s="2" t="inlineStr"/>
    </row>
    <row r="6164" ht="15" customHeight="1">
      <c r="A6164" t="inlineStr">
        <is>
          <t>A 15818-2023</t>
        </is>
      </c>
      <c r="B6164" s="1" t="n">
        <v>45021</v>
      </c>
      <c r="C6164" s="1" t="n">
        <v>45182</v>
      </c>
      <c r="D6164" t="inlineStr">
        <is>
          <t>JÄMTLANDS LÄN</t>
        </is>
      </c>
      <c r="E6164" t="inlineStr">
        <is>
          <t>STRÖMSUND</t>
        </is>
      </c>
      <c r="G6164" t="n">
        <v>17.9</v>
      </c>
      <c r="H6164" t="n">
        <v>0</v>
      </c>
      <c r="I6164" t="n">
        <v>0</v>
      </c>
      <c r="J6164" t="n">
        <v>0</v>
      </c>
      <c r="K6164" t="n">
        <v>0</v>
      </c>
      <c r="L6164" t="n">
        <v>0</v>
      </c>
      <c r="M6164" t="n">
        <v>0</v>
      </c>
      <c r="N6164" t="n">
        <v>0</v>
      </c>
      <c r="O6164" t="n">
        <v>0</v>
      </c>
      <c r="P6164" t="n">
        <v>0</v>
      </c>
      <c r="Q6164" t="n">
        <v>0</v>
      </c>
      <c r="R6164" s="2" t="inlineStr"/>
    </row>
    <row r="6165" ht="15" customHeight="1">
      <c r="A6165" t="inlineStr">
        <is>
          <t>A 15934-2023</t>
        </is>
      </c>
      <c r="B6165" s="1" t="n">
        <v>45022</v>
      </c>
      <c r="C6165" s="1" t="n">
        <v>45182</v>
      </c>
      <c r="D6165" t="inlineStr">
        <is>
          <t>JÄMTLANDS LÄN</t>
        </is>
      </c>
      <c r="E6165" t="inlineStr">
        <is>
          <t>KROKOM</t>
        </is>
      </c>
      <c r="G6165" t="n">
        <v>3.9</v>
      </c>
      <c r="H6165" t="n">
        <v>0</v>
      </c>
      <c r="I6165" t="n">
        <v>0</v>
      </c>
      <c r="J6165" t="n">
        <v>0</v>
      </c>
      <c r="K6165" t="n">
        <v>0</v>
      </c>
      <c r="L6165" t="n">
        <v>0</v>
      </c>
      <c r="M6165" t="n">
        <v>0</v>
      </c>
      <c r="N6165" t="n">
        <v>0</v>
      </c>
      <c r="O6165" t="n">
        <v>0</v>
      </c>
      <c r="P6165" t="n">
        <v>0</v>
      </c>
      <c r="Q6165" t="n">
        <v>0</v>
      </c>
      <c r="R6165" s="2" t="inlineStr"/>
    </row>
    <row r="6166" ht="15" customHeight="1">
      <c r="A6166" t="inlineStr">
        <is>
          <t>A 15984-2023</t>
        </is>
      </c>
      <c r="B6166" s="1" t="n">
        <v>45022</v>
      </c>
      <c r="C6166" s="1" t="n">
        <v>45182</v>
      </c>
      <c r="D6166" t="inlineStr">
        <is>
          <t>JÄMTLANDS LÄN</t>
        </is>
      </c>
      <c r="E6166" t="inlineStr">
        <is>
          <t>ÖSTERSUND</t>
        </is>
      </c>
      <c r="F6166" t="inlineStr">
        <is>
          <t>SCA</t>
        </is>
      </c>
      <c r="G6166" t="n">
        <v>10.1</v>
      </c>
      <c r="H6166" t="n">
        <v>0</v>
      </c>
      <c r="I6166" t="n">
        <v>0</v>
      </c>
      <c r="J6166" t="n">
        <v>0</v>
      </c>
      <c r="K6166" t="n">
        <v>0</v>
      </c>
      <c r="L6166" t="n">
        <v>0</v>
      </c>
      <c r="M6166" t="n">
        <v>0</v>
      </c>
      <c r="N6166" t="n">
        <v>0</v>
      </c>
      <c r="O6166" t="n">
        <v>0</v>
      </c>
      <c r="P6166" t="n">
        <v>0</v>
      </c>
      <c r="Q6166" t="n">
        <v>0</v>
      </c>
      <c r="R6166" s="2" t="inlineStr"/>
    </row>
    <row r="6167" ht="15" customHeight="1">
      <c r="A6167" t="inlineStr">
        <is>
          <t>A 15885-2023</t>
        </is>
      </c>
      <c r="B6167" s="1" t="n">
        <v>45022</v>
      </c>
      <c r="C6167" s="1" t="n">
        <v>45182</v>
      </c>
      <c r="D6167" t="inlineStr">
        <is>
          <t>JÄMTLANDS LÄN</t>
        </is>
      </c>
      <c r="E6167" t="inlineStr">
        <is>
          <t>KROKOM</t>
        </is>
      </c>
      <c r="G6167" t="n">
        <v>2.3</v>
      </c>
      <c r="H6167" t="n">
        <v>0</v>
      </c>
      <c r="I6167" t="n">
        <v>0</v>
      </c>
      <c r="J6167" t="n">
        <v>0</v>
      </c>
      <c r="K6167" t="n">
        <v>0</v>
      </c>
      <c r="L6167" t="n">
        <v>0</v>
      </c>
      <c r="M6167" t="n">
        <v>0</v>
      </c>
      <c r="N6167" t="n">
        <v>0</v>
      </c>
      <c r="O6167" t="n">
        <v>0</v>
      </c>
      <c r="P6167" t="n">
        <v>0</v>
      </c>
      <c r="Q6167" t="n">
        <v>0</v>
      </c>
      <c r="R6167" s="2" t="inlineStr"/>
    </row>
    <row r="6168" ht="15" customHeight="1">
      <c r="A6168" t="inlineStr">
        <is>
          <t>A 15892-2023</t>
        </is>
      </c>
      <c r="B6168" s="1" t="n">
        <v>45022</v>
      </c>
      <c r="C6168" s="1" t="n">
        <v>45182</v>
      </c>
      <c r="D6168" t="inlineStr">
        <is>
          <t>JÄMTLANDS LÄN</t>
        </is>
      </c>
      <c r="E6168" t="inlineStr">
        <is>
          <t>ÅRE</t>
        </is>
      </c>
      <c r="G6168" t="n">
        <v>16.1</v>
      </c>
      <c r="H6168" t="n">
        <v>0</v>
      </c>
      <c r="I6168" t="n">
        <v>0</v>
      </c>
      <c r="J6168" t="n">
        <v>0</v>
      </c>
      <c r="K6168" t="n">
        <v>0</v>
      </c>
      <c r="L6168" t="n">
        <v>0</v>
      </c>
      <c r="M6168" t="n">
        <v>0</v>
      </c>
      <c r="N6168" t="n">
        <v>0</v>
      </c>
      <c r="O6168" t="n">
        <v>0</v>
      </c>
      <c r="P6168" t="n">
        <v>0</v>
      </c>
      <c r="Q6168" t="n">
        <v>0</v>
      </c>
      <c r="R6168" s="2" t="inlineStr"/>
    </row>
    <row r="6169" ht="15" customHeight="1">
      <c r="A6169" t="inlineStr">
        <is>
          <t>A 15884-2023</t>
        </is>
      </c>
      <c r="B6169" s="1" t="n">
        <v>45022</v>
      </c>
      <c r="C6169" s="1" t="n">
        <v>45182</v>
      </c>
      <c r="D6169" t="inlineStr">
        <is>
          <t>JÄMTLANDS LÄN</t>
        </is>
      </c>
      <c r="E6169" t="inlineStr">
        <is>
          <t>ÅRE</t>
        </is>
      </c>
      <c r="G6169" t="n">
        <v>1.5</v>
      </c>
      <c r="H6169" t="n">
        <v>0</v>
      </c>
      <c r="I6169" t="n">
        <v>0</v>
      </c>
      <c r="J6169" t="n">
        <v>0</v>
      </c>
      <c r="K6169" t="n">
        <v>0</v>
      </c>
      <c r="L6169" t="n">
        <v>0</v>
      </c>
      <c r="M6169" t="n">
        <v>0</v>
      </c>
      <c r="N6169" t="n">
        <v>0</v>
      </c>
      <c r="O6169" t="n">
        <v>0</v>
      </c>
      <c r="P6169" t="n">
        <v>0</v>
      </c>
      <c r="Q6169" t="n">
        <v>0</v>
      </c>
      <c r="R6169" s="2" t="inlineStr"/>
    </row>
    <row r="6170" ht="15" customHeight="1">
      <c r="A6170" t="inlineStr">
        <is>
          <t>A 16491-2023</t>
        </is>
      </c>
      <c r="B6170" s="1" t="n">
        <v>45027</v>
      </c>
      <c r="C6170" s="1" t="n">
        <v>45182</v>
      </c>
      <c r="D6170" t="inlineStr">
        <is>
          <t>JÄMTLANDS LÄN</t>
        </is>
      </c>
      <c r="E6170" t="inlineStr">
        <is>
          <t>BERG</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16180-2023</t>
        </is>
      </c>
      <c r="B6171" s="1" t="n">
        <v>45027</v>
      </c>
      <c r="C6171" s="1" t="n">
        <v>45182</v>
      </c>
      <c r="D6171" t="inlineStr">
        <is>
          <t>JÄMTLANDS LÄN</t>
        </is>
      </c>
      <c r="E6171" t="inlineStr">
        <is>
          <t>BRÄCKE</t>
        </is>
      </c>
      <c r="G6171" t="n">
        <v>4.9</v>
      </c>
      <c r="H6171" t="n">
        <v>0</v>
      </c>
      <c r="I6171" t="n">
        <v>0</v>
      </c>
      <c r="J6171" t="n">
        <v>0</v>
      </c>
      <c r="K6171" t="n">
        <v>0</v>
      </c>
      <c r="L6171" t="n">
        <v>0</v>
      </c>
      <c r="M6171" t="n">
        <v>0</v>
      </c>
      <c r="N6171" t="n">
        <v>0</v>
      </c>
      <c r="O6171" t="n">
        <v>0</v>
      </c>
      <c r="P6171" t="n">
        <v>0</v>
      </c>
      <c r="Q6171" t="n">
        <v>0</v>
      </c>
      <c r="R6171" s="2" t="inlineStr"/>
    </row>
    <row r="6172" ht="15" customHeight="1">
      <c r="A6172" t="inlineStr">
        <is>
          <t>A 16649-2023</t>
        </is>
      </c>
      <c r="B6172" s="1" t="n">
        <v>45028</v>
      </c>
      <c r="C6172" s="1" t="n">
        <v>45182</v>
      </c>
      <c r="D6172" t="inlineStr">
        <is>
          <t>JÄMTLANDS LÄN</t>
        </is>
      </c>
      <c r="E6172" t="inlineStr">
        <is>
          <t>BRÄCKE</t>
        </is>
      </c>
      <c r="G6172" t="n">
        <v>6.2</v>
      </c>
      <c r="H6172" t="n">
        <v>0</v>
      </c>
      <c r="I6172" t="n">
        <v>0</v>
      </c>
      <c r="J6172" t="n">
        <v>0</v>
      </c>
      <c r="K6172" t="n">
        <v>0</v>
      </c>
      <c r="L6172" t="n">
        <v>0</v>
      </c>
      <c r="M6172" t="n">
        <v>0</v>
      </c>
      <c r="N6172" t="n">
        <v>0</v>
      </c>
      <c r="O6172" t="n">
        <v>0</v>
      </c>
      <c r="P6172" t="n">
        <v>0</v>
      </c>
      <c r="Q6172" t="n">
        <v>0</v>
      </c>
      <c r="R6172" s="2" t="inlineStr"/>
    </row>
    <row r="6173" ht="15" customHeight="1">
      <c r="A6173" t="inlineStr">
        <is>
          <t>A 16232-2023</t>
        </is>
      </c>
      <c r="B6173" s="1" t="n">
        <v>45028</v>
      </c>
      <c r="C6173" s="1" t="n">
        <v>45182</v>
      </c>
      <c r="D6173" t="inlineStr">
        <is>
          <t>JÄMTLANDS LÄN</t>
        </is>
      </c>
      <c r="E6173" t="inlineStr">
        <is>
          <t>BRÄCKE</t>
        </is>
      </c>
      <c r="G6173" t="n">
        <v>16.2</v>
      </c>
      <c r="H6173" t="n">
        <v>0</v>
      </c>
      <c r="I6173" t="n">
        <v>0</v>
      </c>
      <c r="J6173" t="n">
        <v>0</v>
      </c>
      <c r="K6173" t="n">
        <v>0</v>
      </c>
      <c r="L6173" t="n">
        <v>0</v>
      </c>
      <c r="M6173" t="n">
        <v>0</v>
      </c>
      <c r="N6173" t="n">
        <v>0</v>
      </c>
      <c r="O6173" t="n">
        <v>0</v>
      </c>
      <c r="P6173" t="n">
        <v>0</v>
      </c>
      <c r="Q6173" t="n">
        <v>0</v>
      </c>
      <c r="R6173" s="2" t="inlineStr"/>
    </row>
    <row r="6174" ht="15" customHeight="1">
      <c r="A6174" t="inlineStr">
        <is>
          <t>A 16322-2023</t>
        </is>
      </c>
      <c r="B6174" s="1" t="n">
        <v>45028</v>
      </c>
      <c r="C6174" s="1" t="n">
        <v>45182</v>
      </c>
      <c r="D6174" t="inlineStr">
        <is>
          <t>JÄMTLANDS LÄN</t>
        </is>
      </c>
      <c r="E6174" t="inlineStr">
        <is>
          <t>ÖSTERSUND</t>
        </is>
      </c>
      <c r="G6174" t="n">
        <v>3.5</v>
      </c>
      <c r="H6174" t="n">
        <v>0</v>
      </c>
      <c r="I6174" t="n">
        <v>0</v>
      </c>
      <c r="J6174" t="n">
        <v>0</v>
      </c>
      <c r="K6174" t="n">
        <v>0</v>
      </c>
      <c r="L6174" t="n">
        <v>0</v>
      </c>
      <c r="M6174" t="n">
        <v>0</v>
      </c>
      <c r="N6174" t="n">
        <v>0</v>
      </c>
      <c r="O6174" t="n">
        <v>0</v>
      </c>
      <c r="P6174" t="n">
        <v>0</v>
      </c>
      <c r="Q6174" t="n">
        <v>0</v>
      </c>
      <c r="R6174" s="2" t="inlineStr"/>
    </row>
    <row r="6175" ht="15" customHeight="1">
      <c r="A6175" t="inlineStr">
        <is>
          <t>A 16364-2023</t>
        </is>
      </c>
      <c r="B6175" s="1" t="n">
        <v>45028</v>
      </c>
      <c r="C6175" s="1" t="n">
        <v>45182</v>
      </c>
      <c r="D6175" t="inlineStr">
        <is>
          <t>JÄMTLANDS LÄN</t>
        </is>
      </c>
      <c r="E6175" t="inlineStr">
        <is>
          <t>RAGUNDA</t>
        </is>
      </c>
      <c r="G6175" t="n">
        <v>0.5</v>
      </c>
      <c r="H6175" t="n">
        <v>0</v>
      </c>
      <c r="I6175" t="n">
        <v>0</v>
      </c>
      <c r="J6175" t="n">
        <v>0</v>
      </c>
      <c r="K6175" t="n">
        <v>0</v>
      </c>
      <c r="L6175" t="n">
        <v>0</v>
      </c>
      <c r="M6175" t="n">
        <v>0</v>
      </c>
      <c r="N6175" t="n">
        <v>0</v>
      </c>
      <c r="O6175" t="n">
        <v>0</v>
      </c>
      <c r="P6175" t="n">
        <v>0</v>
      </c>
      <c r="Q6175" t="n">
        <v>0</v>
      </c>
      <c r="R6175" s="2" t="inlineStr"/>
    </row>
    <row r="6176" ht="15" customHeight="1">
      <c r="A6176" t="inlineStr">
        <is>
          <t>A 16666-2023</t>
        </is>
      </c>
      <c r="B6176" s="1" t="n">
        <v>45028</v>
      </c>
      <c r="C6176" s="1" t="n">
        <v>45182</v>
      </c>
      <c r="D6176" t="inlineStr">
        <is>
          <t>JÄMTLANDS LÄN</t>
        </is>
      </c>
      <c r="E6176" t="inlineStr">
        <is>
          <t>ÖSTERSUND</t>
        </is>
      </c>
      <c r="G6176" t="n">
        <v>2.4</v>
      </c>
      <c r="H6176" t="n">
        <v>0</v>
      </c>
      <c r="I6176" t="n">
        <v>0</v>
      </c>
      <c r="J6176" t="n">
        <v>0</v>
      </c>
      <c r="K6176" t="n">
        <v>0</v>
      </c>
      <c r="L6176" t="n">
        <v>0</v>
      </c>
      <c r="M6176" t="n">
        <v>0</v>
      </c>
      <c r="N6176" t="n">
        <v>0</v>
      </c>
      <c r="O6176" t="n">
        <v>0</v>
      </c>
      <c r="P6176" t="n">
        <v>0</v>
      </c>
      <c r="Q6176" t="n">
        <v>0</v>
      </c>
      <c r="R6176" s="2" t="inlineStr"/>
    </row>
    <row r="6177" ht="15" customHeight="1">
      <c r="A6177" t="inlineStr">
        <is>
          <t>A 16682-2023</t>
        </is>
      </c>
      <c r="B6177" s="1" t="n">
        <v>45028</v>
      </c>
      <c r="C6177" s="1" t="n">
        <v>45182</v>
      </c>
      <c r="D6177" t="inlineStr">
        <is>
          <t>JÄMTLANDS LÄN</t>
        </is>
      </c>
      <c r="E6177" t="inlineStr">
        <is>
          <t>ÖSTERSUND</t>
        </is>
      </c>
      <c r="G6177" t="n">
        <v>7.9</v>
      </c>
      <c r="H6177" t="n">
        <v>0</v>
      </c>
      <c r="I6177" t="n">
        <v>0</v>
      </c>
      <c r="J6177" t="n">
        <v>0</v>
      </c>
      <c r="K6177" t="n">
        <v>0</v>
      </c>
      <c r="L6177" t="n">
        <v>0</v>
      </c>
      <c r="M6177" t="n">
        <v>0</v>
      </c>
      <c r="N6177" t="n">
        <v>0</v>
      </c>
      <c r="O6177" t="n">
        <v>0</v>
      </c>
      <c r="P6177" t="n">
        <v>0</v>
      </c>
      <c r="Q6177" t="n">
        <v>0</v>
      </c>
      <c r="R6177" s="2" t="inlineStr"/>
    </row>
    <row r="6178" ht="15" customHeight="1">
      <c r="A6178" t="inlineStr">
        <is>
          <t>A 16640-2023</t>
        </is>
      </c>
      <c r="B6178" s="1" t="n">
        <v>45028</v>
      </c>
      <c r="C6178" s="1" t="n">
        <v>45182</v>
      </c>
      <c r="D6178" t="inlineStr">
        <is>
          <t>JÄMTLANDS LÄN</t>
        </is>
      </c>
      <c r="E6178" t="inlineStr">
        <is>
          <t>BERG</t>
        </is>
      </c>
      <c r="G6178" t="n">
        <v>17.9</v>
      </c>
      <c r="H6178" t="n">
        <v>0</v>
      </c>
      <c r="I6178" t="n">
        <v>0</v>
      </c>
      <c r="J6178" t="n">
        <v>0</v>
      </c>
      <c r="K6178" t="n">
        <v>0</v>
      </c>
      <c r="L6178" t="n">
        <v>0</v>
      </c>
      <c r="M6178" t="n">
        <v>0</v>
      </c>
      <c r="N6178" t="n">
        <v>0</v>
      </c>
      <c r="O6178" t="n">
        <v>0</v>
      </c>
      <c r="P6178" t="n">
        <v>0</v>
      </c>
      <c r="Q6178" t="n">
        <v>0</v>
      </c>
      <c r="R6178" s="2" t="inlineStr"/>
    </row>
    <row r="6179" ht="15" customHeight="1">
      <c r="A6179" t="inlineStr">
        <is>
          <t>A 16574-2023</t>
        </is>
      </c>
      <c r="B6179" s="1" t="n">
        <v>45029</v>
      </c>
      <c r="C6179" s="1" t="n">
        <v>45182</v>
      </c>
      <c r="D6179" t="inlineStr">
        <is>
          <t>JÄMTLANDS LÄN</t>
        </is>
      </c>
      <c r="E6179" t="inlineStr">
        <is>
          <t>BRÄCKE</t>
        </is>
      </c>
      <c r="F6179" t="inlineStr">
        <is>
          <t>SCA</t>
        </is>
      </c>
      <c r="G6179" t="n">
        <v>3.4</v>
      </c>
      <c r="H6179" t="n">
        <v>0</v>
      </c>
      <c r="I6179" t="n">
        <v>0</v>
      </c>
      <c r="J6179" t="n">
        <v>0</v>
      </c>
      <c r="K6179" t="n">
        <v>0</v>
      </c>
      <c r="L6179" t="n">
        <v>0</v>
      </c>
      <c r="M6179" t="n">
        <v>0</v>
      </c>
      <c r="N6179" t="n">
        <v>0</v>
      </c>
      <c r="O6179" t="n">
        <v>0</v>
      </c>
      <c r="P6179" t="n">
        <v>0</v>
      </c>
      <c r="Q6179" t="n">
        <v>0</v>
      </c>
      <c r="R6179" s="2" t="inlineStr"/>
    </row>
    <row r="6180" ht="15" customHeight="1">
      <c r="A6180" t="inlineStr">
        <is>
          <t>A 16566-2023</t>
        </is>
      </c>
      <c r="B6180" s="1" t="n">
        <v>45029</v>
      </c>
      <c r="C6180" s="1" t="n">
        <v>45182</v>
      </c>
      <c r="D6180" t="inlineStr">
        <is>
          <t>JÄMTLANDS LÄN</t>
        </is>
      </c>
      <c r="E6180" t="inlineStr">
        <is>
          <t>KROKOM</t>
        </is>
      </c>
      <c r="F6180" t="inlineStr">
        <is>
          <t>SCA</t>
        </is>
      </c>
      <c r="G6180" t="n">
        <v>11.9</v>
      </c>
      <c r="H6180" t="n">
        <v>0</v>
      </c>
      <c r="I6180" t="n">
        <v>0</v>
      </c>
      <c r="J6180" t="n">
        <v>0</v>
      </c>
      <c r="K6180" t="n">
        <v>0</v>
      </c>
      <c r="L6180" t="n">
        <v>0</v>
      </c>
      <c r="M6180" t="n">
        <v>0</v>
      </c>
      <c r="N6180" t="n">
        <v>0</v>
      </c>
      <c r="O6180" t="n">
        <v>0</v>
      </c>
      <c r="P6180" t="n">
        <v>0</v>
      </c>
      <c r="Q6180" t="n">
        <v>0</v>
      </c>
      <c r="R6180" s="2" t="inlineStr"/>
    </row>
    <row r="6181" ht="15" customHeight="1">
      <c r="A6181" t="inlineStr">
        <is>
          <t>A 16752-2023</t>
        </is>
      </c>
      <c r="B6181" s="1" t="n">
        <v>45030</v>
      </c>
      <c r="C6181" s="1" t="n">
        <v>45182</v>
      </c>
      <c r="D6181" t="inlineStr">
        <is>
          <t>JÄMTLANDS LÄN</t>
        </is>
      </c>
      <c r="E6181" t="inlineStr">
        <is>
          <t>BRÄCKE</t>
        </is>
      </c>
      <c r="G6181" t="n">
        <v>0.9</v>
      </c>
      <c r="H6181" t="n">
        <v>0</v>
      </c>
      <c r="I6181" t="n">
        <v>0</v>
      </c>
      <c r="J6181" t="n">
        <v>0</v>
      </c>
      <c r="K6181" t="n">
        <v>0</v>
      </c>
      <c r="L6181" t="n">
        <v>0</v>
      </c>
      <c r="M6181" t="n">
        <v>0</v>
      </c>
      <c r="N6181" t="n">
        <v>0</v>
      </c>
      <c r="O6181" t="n">
        <v>0</v>
      </c>
      <c r="P6181" t="n">
        <v>0</v>
      </c>
      <c r="Q6181" t="n">
        <v>0</v>
      </c>
      <c r="R6181" s="2" t="inlineStr"/>
    </row>
    <row r="6182" ht="15" customHeight="1">
      <c r="A6182" t="inlineStr">
        <is>
          <t>A 16751-2023</t>
        </is>
      </c>
      <c r="B6182" s="1" t="n">
        <v>45030</v>
      </c>
      <c r="C6182" s="1" t="n">
        <v>45182</v>
      </c>
      <c r="D6182" t="inlineStr">
        <is>
          <t>JÄMTLANDS LÄN</t>
        </is>
      </c>
      <c r="E6182" t="inlineStr">
        <is>
          <t>BRÄCKE</t>
        </is>
      </c>
      <c r="G6182" t="n">
        <v>5.3</v>
      </c>
      <c r="H6182" t="n">
        <v>0</v>
      </c>
      <c r="I6182" t="n">
        <v>0</v>
      </c>
      <c r="J6182" t="n">
        <v>0</v>
      </c>
      <c r="K6182" t="n">
        <v>0</v>
      </c>
      <c r="L6182" t="n">
        <v>0</v>
      </c>
      <c r="M6182" t="n">
        <v>0</v>
      </c>
      <c r="N6182" t="n">
        <v>0</v>
      </c>
      <c r="O6182" t="n">
        <v>0</v>
      </c>
      <c r="P6182" t="n">
        <v>0</v>
      </c>
      <c r="Q6182" t="n">
        <v>0</v>
      </c>
      <c r="R6182" s="2" t="inlineStr"/>
    </row>
    <row r="6183" ht="15" customHeight="1">
      <c r="A6183" t="inlineStr">
        <is>
          <t>A 17334-2023</t>
        </is>
      </c>
      <c r="B6183" s="1" t="n">
        <v>45033</v>
      </c>
      <c r="C6183" s="1" t="n">
        <v>45182</v>
      </c>
      <c r="D6183" t="inlineStr">
        <is>
          <t>JÄMTLANDS LÄN</t>
        </is>
      </c>
      <c r="E6183" t="inlineStr">
        <is>
          <t>STRÖMSUND</t>
        </is>
      </c>
      <c r="G6183" t="n">
        <v>4.9</v>
      </c>
      <c r="H6183" t="n">
        <v>0</v>
      </c>
      <c r="I6183" t="n">
        <v>0</v>
      </c>
      <c r="J6183" t="n">
        <v>0</v>
      </c>
      <c r="K6183" t="n">
        <v>0</v>
      </c>
      <c r="L6183" t="n">
        <v>0</v>
      </c>
      <c r="M6183" t="n">
        <v>0</v>
      </c>
      <c r="N6183" t="n">
        <v>0</v>
      </c>
      <c r="O6183" t="n">
        <v>0</v>
      </c>
      <c r="P6183" t="n">
        <v>0</v>
      </c>
      <c r="Q6183" t="n">
        <v>0</v>
      </c>
      <c r="R6183" s="2" t="inlineStr"/>
    </row>
    <row r="6184" ht="15" customHeight="1">
      <c r="A6184" t="inlineStr">
        <is>
          <t>A 17006-2023</t>
        </is>
      </c>
      <c r="B6184" s="1" t="n">
        <v>45033</v>
      </c>
      <c r="C6184" s="1" t="n">
        <v>45182</v>
      </c>
      <c r="D6184" t="inlineStr">
        <is>
          <t>JÄMTLANDS LÄN</t>
        </is>
      </c>
      <c r="E6184" t="inlineStr">
        <is>
          <t>STRÖMSUND</t>
        </is>
      </c>
      <c r="F6184" t="inlineStr">
        <is>
          <t>SCA</t>
        </is>
      </c>
      <c r="G6184" t="n">
        <v>13.4</v>
      </c>
      <c r="H6184" t="n">
        <v>0</v>
      </c>
      <c r="I6184" t="n">
        <v>0</v>
      </c>
      <c r="J6184" t="n">
        <v>0</v>
      </c>
      <c r="K6184" t="n">
        <v>0</v>
      </c>
      <c r="L6184" t="n">
        <v>0</v>
      </c>
      <c r="M6184" t="n">
        <v>0</v>
      </c>
      <c r="N6184" t="n">
        <v>0</v>
      </c>
      <c r="O6184" t="n">
        <v>0</v>
      </c>
      <c r="P6184" t="n">
        <v>0</v>
      </c>
      <c r="Q6184" t="n">
        <v>0</v>
      </c>
      <c r="R6184" s="2" t="inlineStr"/>
    </row>
    <row r="6185" ht="15" customHeight="1">
      <c r="A6185" t="inlineStr">
        <is>
          <t>A 17248-2023</t>
        </is>
      </c>
      <c r="B6185" s="1" t="n">
        <v>45033</v>
      </c>
      <c r="C6185" s="1" t="n">
        <v>45182</v>
      </c>
      <c r="D6185" t="inlineStr">
        <is>
          <t>JÄMTLANDS LÄN</t>
        </is>
      </c>
      <c r="E6185" t="inlineStr">
        <is>
          <t>RAGUNDA</t>
        </is>
      </c>
      <c r="G6185" t="n">
        <v>3</v>
      </c>
      <c r="H6185" t="n">
        <v>0</v>
      </c>
      <c r="I6185" t="n">
        <v>0</v>
      </c>
      <c r="J6185" t="n">
        <v>0</v>
      </c>
      <c r="K6185" t="n">
        <v>0</v>
      </c>
      <c r="L6185" t="n">
        <v>0</v>
      </c>
      <c r="M6185" t="n">
        <v>0</v>
      </c>
      <c r="N6185" t="n">
        <v>0</v>
      </c>
      <c r="O6185" t="n">
        <v>0</v>
      </c>
      <c r="P6185" t="n">
        <v>0</v>
      </c>
      <c r="Q6185" t="n">
        <v>0</v>
      </c>
      <c r="R6185" s="2" t="inlineStr"/>
    </row>
    <row r="6186" ht="15" customHeight="1">
      <c r="A6186" t="inlineStr">
        <is>
          <t>A 16982-2023</t>
        </is>
      </c>
      <c r="B6186" s="1" t="n">
        <v>45033</v>
      </c>
      <c r="C6186" s="1" t="n">
        <v>45182</v>
      </c>
      <c r="D6186" t="inlineStr">
        <is>
          <t>JÄMTLANDS LÄN</t>
        </is>
      </c>
      <c r="E6186" t="inlineStr">
        <is>
          <t>BRÄCKE</t>
        </is>
      </c>
      <c r="G6186" t="n">
        <v>12.9</v>
      </c>
      <c r="H6186" t="n">
        <v>0</v>
      </c>
      <c r="I6186" t="n">
        <v>0</v>
      </c>
      <c r="J6186" t="n">
        <v>0</v>
      </c>
      <c r="K6186" t="n">
        <v>0</v>
      </c>
      <c r="L6186" t="n">
        <v>0</v>
      </c>
      <c r="M6186" t="n">
        <v>0</v>
      </c>
      <c r="N6186" t="n">
        <v>0</v>
      </c>
      <c r="O6186" t="n">
        <v>0</v>
      </c>
      <c r="P6186" t="n">
        <v>0</v>
      </c>
      <c r="Q6186" t="n">
        <v>0</v>
      </c>
      <c r="R6186" s="2" t="inlineStr"/>
    </row>
    <row r="6187" ht="15" customHeight="1">
      <c r="A6187" t="inlineStr">
        <is>
          <t>A 17338-2023</t>
        </is>
      </c>
      <c r="B6187" s="1" t="n">
        <v>45033</v>
      </c>
      <c r="C6187" s="1" t="n">
        <v>45182</v>
      </c>
      <c r="D6187" t="inlineStr">
        <is>
          <t>JÄMTLANDS LÄN</t>
        </is>
      </c>
      <c r="E6187" t="inlineStr">
        <is>
          <t>STRÖMSUND</t>
        </is>
      </c>
      <c r="G6187" t="n">
        <v>0.9</v>
      </c>
      <c r="H6187" t="n">
        <v>0</v>
      </c>
      <c r="I6187" t="n">
        <v>0</v>
      </c>
      <c r="J6187" t="n">
        <v>0</v>
      </c>
      <c r="K6187" t="n">
        <v>0</v>
      </c>
      <c r="L6187" t="n">
        <v>0</v>
      </c>
      <c r="M6187" t="n">
        <v>0</v>
      </c>
      <c r="N6187" t="n">
        <v>0</v>
      </c>
      <c r="O6187" t="n">
        <v>0</v>
      </c>
      <c r="P6187" t="n">
        <v>0</v>
      </c>
      <c r="Q6187" t="n">
        <v>0</v>
      </c>
      <c r="R6187" s="2" t="inlineStr"/>
    </row>
    <row r="6188" ht="15" customHeight="1">
      <c r="A6188" t="inlineStr">
        <is>
          <t>A 17337-2023</t>
        </is>
      </c>
      <c r="B6188" s="1" t="n">
        <v>45033</v>
      </c>
      <c r="C6188" s="1" t="n">
        <v>45182</v>
      </c>
      <c r="D6188" t="inlineStr">
        <is>
          <t>JÄMTLANDS LÄN</t>
        </is>
      </c>
      <c r="E6188" t="inlineStr">
        <is>
          <t>STRÖMSUND</t>
        </is>
      </c>
      <c r="G6188" t="n">
        <v>1</v>
      </c>
      <c r="H6188" t="n">
        <v>0</v>
      </c>
      <c r="I6188" t="n">
        <v>0</v>
      </c>
      <c r="J6188" t="n">
        <v>0</v>
      </c>
      <c r="K6188" t="n">
        <v>0</v>
      </c>
      <c r="L6188" t="n">
        <v>0</v>
      </c>
      <c r="M6188" t="n">
        <v>0</v>
      </c>
      <c r="N6188" t="n">
        <v>0</v>
      </c>
      <c r="O6188" t="n">
        <v>0</v>
      </c>
      <c r="P6188" t="n">
        <v>0</v>
      </c>
      <c r="Q6188" t="n">
        <v>0</v>
      </c>
      <c r="R6188" s="2" t="inlineStr"/>
    </row>
    <row r="6189" ht="15" customHeight="1">
      <c r="A6189" t="inlineStr">
        <is>
          <t>A 17134-2023</t>
        </is>
      </c>
      <c r="B6189" s="1" t="n">
        <v>45034</v>
      </c>
      <c r="C6189" s="1" t="n">
        <v>45182</v>
      </c>
      <c r="D6189" t="inlineStr">
        <is>
          <t>JÄMTLANDS LÄN</t>
        </is>
      </c>
      <c r="E6189" t="inlineStr">
        <is>
          <t>HÄRJEDALEN</t>
        </is>
      </c>
      <c r="G6189" t="n">
        <v>2.4</v>
      </c>
      <c r="H6189" t="n">
        <v>0</v>
      </c>
      <c r="I6189" t="n">
        <v>0</v>
      </c>
      <c r="J6189" t="n">
        <v>0</v>
      </c>
      <c r="K6189" t="n">
        <v>0</v>
      </c>
      <c r="L6189" t="n">
        <v>0</v>
      </c>
      <c r="M6189" t="n">
        <v>0</v>
      </c>
      <c r="N6189" t="n">
        <v>0</v>
      </c>
      <c r="O6189" t="n">
        <v>0</v>
      </c>
      <c r="P6189" t="n">
        <v>0</v>
      </c>
      <c r="Q6189" t="n">
        <v>0</v>
      </c>
      <c r="R6189" s="2" t="inlineStr"/>
    </row>
    <row r="6190" ht="15" customHeight="1">
      <c r="A6190" t="inlineStr">
        <is>
          <t>A 17153-2023</t>
        </is>
      </c>
      <c r="B6190" s="1" t="n">
        <v>45034</v>
      </c>
      <c r="C6190" s="1" t="n">
        <v>45182</v>
      </c>
      <c r="D6190" t="inlineStr">
        <is>
          <t>JÄMTLANDS LÄN</t>
        </is>
      </c>
      <c r="E6190" t="inlineStr">
        <is>
          <t>HÄRJEDALEN</t>
        </is>
      </c>
      <c r="G6190" t="n">
        <v>5.6</v>
      </c>
      <c r="H6190" t="n">
        <v>0</v>
      </c>
      <c r="I6190" t="n">
        <v>0</v>
      </c>
      <c r="J6190" t="n">
        <v>0</v>
      </c>
      <c r="K6190" t="n">
        <v>0</v>
      </c>
      <c r="L6190" t="n">
        <v>0</v>
      </c>
      <c r="M6190" t="n">
        <v>0</v>
      </c>
      <c r="N6190" t="n">
        <v>0</v>
      </c>
      <c r="O6190" t="n">
        <v>0</v>
      </c>
      <c r="P6190" t="n">
        <v>0</v>
      </c>
      <c r="Q6190" t="n">
        <v>0</v>
      </c>
      <c r="R6190" s="2" t="inlineStr"/>
    </row>
    <row r="6191" ht="15" customHeight="1">
      <c r="A6191" t="inlineStr">
        <is>
          <t>A 17122-2023</t>
        </is>
      </c>
      <c r="B6191" s="1" t="n">
        <v>45034</v>
      </c>
      <c r="C6191" s="1" t="n">
        <v>45182</v>
      </c>
      <c r="D6191" t="inlineStr">
        <is>
          <t>JÄMTLANDS LÄN</t>
        </is>
      </c>
      <c r="E6191" t="inlineStr">
        <is>
          <t>HÄRJEDALEN</t>
        </is>
      </c>
      <c r="G6191" t="n">
        <v>3.8</v>
      </c>
      <c r="H6191" t="n">
        <v>0</v>
      </c>
      <c r="I6191" t="n">
        <v>0</v>
      </c>
      <c r="J6191" t="n">
        <v>0</v>
      </c>
      <c r="K6191" t="n">
        <v>0</v>
      </c>
      <c r="L6191" t="n">
        <v>0</v>
      </c>
      <c r="M6191" t="n">
        <v>0</v>
      </c>
      <c r="N6191" t="n">
        <v>0</v>
      </c>
      <c r="O6191" t="n">
        <v>0</v>
      </c>
      <c r="P6191" t="n">
        <v>0</v>
      </c>
      <c r="Q6191" t="n">
        <v>0</v>
      </c>
      <c r="R6191" s="2" t="inlineStr"/>
    </row>
    <row r="6192" ht="15" customHeight="1">
      <c r="A6192" t="inlineStr">
        <is>
          <t>A 17145-2023</t>
        </is>
      </c>
      <c r="B6192" s="1" t="n">
        <v>45034</v>
      </c>
      <c r="C6192" s="1" t="n">
        <v>45182</v>
      </c>
      <c r="D6192" t="inlineStr">
        <is>
          <t>JÄMTLANDS LÄN</t>
        </is>
      </c>
      <c r="E6192" t="inlineStr">
        <is>
          <t>HÄRJEDALEN</t>
        </is>
      </c>
      <c r="G6192" t="n">
        <v>4.6</v>
      </c>
      <c r="H6192" t="n">
        <v>0</v>
      </c>
      <c r="I6192" t="n">
        <v>0</v>
      </c>
      <c r="J6192" t="n">
        <v>0</v>
      </c>
      <c r="K6192" t="n">
        <v>0</v>
      </c>
      <c r="L6192" t="n">
        <v>0</v>
      </c>
      <c r="M6192" t="n">
        <v>0</v>
      </c>
      <c r="N6192" t="n">
        <v>0</v>
      </c>
      <c r="O6192" t="n">
        <v>0</v>
      </c>
      <c r="P6192" t="n">
        <v>0</v>
      </c>
      <c r="Q6192" t="n">
        <v>0</v>
      </c>
      <c r="R6192" s="2" t="inlineStr"/>
    </row>
    <row r="6193" ht="15" customHeight="1">
      <c r="A6193" t="inlineStr">
        <is>
          <t>A 17118-2023</t>
        </is>
      </c>
      <c r="B6193" s="1" t="n">
        <v>45034</v>
      </c>
      <c r="C6193" s="1" t="n">
        <v>45182</v>
      </c>
      <c r="D6193" t="inlineStr">
        <is>
          <t>JÄMTLANDS LÄN</t>
        </is>
      </c>
      <c r="E6193" t="inlineStr">
        <is>
          <t>HÄRJEDALEN</t>
        </is>
      </c>
      <c r="G6193" t="n">
        <v>0.6</v>
      </c>
      <c r="H6193" t="n">
        <v>0</v>
      </c>
      <c r="I6193" t="n">
        <v>0</v>
      </c>
      <c r="J6193" t="n">
        <v>0</v>
      </c>
      <c r="K6193" t="n">
        <v>0</v>
      </c>
      <c r="L6193" t="n">
        <v>0</v>
      </c>
      <c r="M6193" t="n">
        <v>0</v>
      </c>
      <c r="N6193" t="n">
        <v>0</v>
      </c>
      <c r="O6193" t="n">
        <v>0</v>
      </c>
      <c r="P6193" t="n">
        <v>0</v>
      </c>
      <c r="Q6193" t="n">
        <v>0</v>
      </c>
      <c r="R6193" s="2" t="inlineStr"/>
    </row>
    <row r="6194" ht="15" customHeight="1">
      <c r="A6194" t="inlineStr">
        <is>
          <t>A 17209-2023</t>
        </is>
      </c>
      <c r="B6194" s="1" t="n">
        <v>45034</v>
      </c>
      <c r="C6194" s="1" t="n">
        <v>45182</v>
      </c>
      <c r="D6194" t="inlineStr">
        <is>
          <t>JÄMTLANDS LÄN</t>
        </is>
      </c>
      <c r="E6194" t="inlineStr">
        <is>
          <t>BRÄCKE</t>
        </is>
      </c>
      <c r="G6194" t="n">
        <v>11.1</v>
      </c>
      <c r="H6194" t="n">
        <v>0</v>
      </c>
      <c r="I6194" t="n">
        <v>0</v>
      </c>
      <c r="J6194" t="n">
        <v>0</v>
      </c>
      <c r="K6194" t="n">
        <v>0</v>
      </c>
      <c r="L6194" t="n">
        <v>0</v>
      </c>
      <c r="M6194" t="n">
        <v>0</v>
      </c>
      <c r="N6194" t="n">
        <v>0</v>
      </c>
      <c r="O6194" t="n">
        <v>0</v>
      </c>
      <c r="P6194" t="n">
        <v>0</v>
      </c>
      <c r="Q6194" t="n">
        <v>0</v>
      </c>
      <c r="R6194" s="2" t="inlineStr"/>
    </row>
    <row r="6195" ht="15" customHeight="1">
      <c r="A6195" t="inlineStr">
        <is>
          <t>A 17223-2023</t>
        </is>
      </c>
      <c r="B6195" s="1" t="n">
        <v>45034</v>
      </c>
      <c r="C6195" s="1" t="n">
        <v>45182</v>
      </c>
      <c r="D6195" t="inlineStr">
        <is>
          <t>JÄMTLANDS LÄN</t>
        </is>
      </c>
      <c r="E6195" t="inlineStr">
        <is>
          <t>BRÄCKE</t>
        </is>
      </c>
      <c r="F6195" t="inlineStr">
        <is>
          <t>SCA</t>
        </is>
      </c>
      <c r="G6195" t="n">
        <v>6.4</v>
      </c>
      <c r="H6195" t="n">
        <v>0</v>
      </c>
      <c r="I6195" t="n">
        <v>0</v>
      </c>
      <c r="J6195" t="n">
        <v>0</v>
      </c>
      <c r="K6195" t="n">
        <v>0</v>
      </c>
      <c r="L6195" t="n">
        <v>0</v>
      </c>
      <c r="M6195" t="n">
        <v>0</v>
      </c>
      <c r="N6195" t="n">
        <v>0</v>
      </c>
      <c r="O6195" t="n">
        <v>0</v>
      </c>
      <c r="P6195" t="n">
        <v>0</v>
      </c>
      <c r="Q6195" t="n">
        <v>0</v>
      </c>
      <c r="R6195" s="2" t="inlineStr"/>
    </row>
    <row r="6196" ht="15" customHeight="1">
      <c r="A6196" t="inlineStr">
        <is>
          <t>A 17559-2023</t>
        </is>
      </c>
      <c r="B6196" s="1" t="n">
        <v>45034</v>
      </c>
      <c r="C6196" s="1" t="n">
        <v>45182</v>
      </c>
      <c r="D6196" t="inlineStr">
        <is>
          <t>JÄMTLANDS LÄN</t>
        </is>
      </c>
      <c r="E6196" t="inlineStr">
        <is>
          <t>RAGUNDA</t>
        </is>
      </c>
      <c r="G6196" t="n">
        <v>7.5</v>
      </c>
      <c r="H6196" t="n">
        <v>0</v>
      </c>
      <c r="I6196" t="n">
        <v>0</v>
      </c>
      <c r="J6196" t="n">
        <v>0</v>
      </c>
      <c r="K6196" t="n">
        <v>0</v>
      </c>
      <c r="L6196" t="n">
        <v>0</v>
      </c>
      <c r="M6196" t="n">
        <v>0</v>
      </c>
      <c r="N6196" t="n">
        <v>0</v>
      </c>
      <c r="O6196" t="n">
        <v>0</v>
      </c>
      <c r="P6196" t="n">
        <v>0</v>
      </c>
      <c r="Q6196" t="n">
        <v>0</v>
      </c>
      <c r="R6196" s="2" t="inlineStr"/>
    </row>
    <row r="6197" ht="15" customHeight="1">
      <c r="A6197" t="inlineStr">
        <is>
          <t>A 17105-2023</t>
        </is>
      </c>
      <c r="B6197" s="1" t="n">
        <v>45034</v>
      </c>
      <c r="C6197" s="1" t="n">
        <v>45182</v>
      </c>
      <c r="D6197" t="inlineStr">
        <is>
          <t>JÄMTLANDS LÄN</t>
        </is>
      </c>
      <c r="E6197" t="inlineStr">
        <is>
          <t>HÄRJEDALEN</t>
        </is>
      </c>
      <c r="G6197" t="n">
        <v>1.2</v>
      </c>
      <c r="H6197" t="n">
        <v>0</v>
      </c>
      <c r="I6197" t="n">
        <v>0</v>
      </c>
      <c r="J6197" t="n">
        <v>0</v>
      </c>
      <c r="K6197" t="n">
        <v>0</v>
      </c>
      <c r="L6197" t="n">
        <v>0</v>
      </c>
      <c r="M6197" t="n">
        <v>0</v>
      </c>
      <c r="N6197" t="n">
        <v>0</v>
      </c>
      <c r="O6197" t="n">
        <v>0</v>
      </c>
      <c r="P6197" t="n">
        <v>0</v>
      </c>
      <c r="Q6197" t="n">
        <v>0</v>
      </c>
      <c r="R6197" s="2" t="inlineStr"/>
    </row>
    <row r="6198" ht="15" customHeight="1">
      <c r="A6198" t="inlineStr">
        <is>
          <t>A 17121-2023</t>
        </is>
      </c>
      <c r="B6198" s="1" t="n">
        <v>45034</v>
      </c>
      <c r="C6198" s="1" t="n">
        <v>45182</v>
      </c>
      <c r="D6198" t="inlineStr">
        <is>
          <t>JÄMTLANDS LÄN</t>
        </is>
      </c>
      <c r="E6198" t="inlineStr">
        <is>
          <t>HÄRJEDALEN</t>
        </is>
      </c>
      <c r="G6198" t="n">
        <v>6.4</v>
      </c>
      <c r="H6198" t="n">
        <v>0</v>
      </c>
      <c r="I6198" t="n">
        <v>0</v>
      </c>
      <c r="J6198" t="n">
        <v>0</v>
      </c>
      <c r="K6198" t="n">
        <v>0</v>
      </c>
      <c r="L6198" t="n">
        <v>0</v>
      </c>
      <c r="M6198" t="n">
        <v>0</v>
      </c>
      <c r="N6198" t="n">
        <v>0</v>
      </c>
      <c r="O6198" t="n">
        <v>0</v>
      </c>
      <c r="P6198" t="n">
        <v>0</v>
      </c>
      <c r="Q6198" t="n">
        <v>0</v>
      </c>
      <c r="R6198" s="2" t="inlineStr"/>
    </row>
    <row r="6199" ht="15" customHeight="1">
      <c r="A6199" t="inlineStr">
        <is>
          <t>A 17555-2023</t>
        </is>
      </c>
      <c r="B6199" s="1" t="n">
        <v>45034</v>
      </c>
      <c r="C6199" s="1" t="n">
        <v>45182</v>
      </c>
      <c r="D6199" t="inlineStr">
        <is>
          <t>JÄMTLANDS LÄN</t>
        </is>
      </c>
      <c r="E6199" t="inlineStr">
        <is>
          <t>KROKOM</t>
        </is>
      </c>
      <c r="G6199" t="n">
        <v>7.1</v>
      </c>
      <c r="H6199" t="n">
        <v>0</v>
      </c>
      <c r="I6199" t="n">
        <v>0</v>
      </c>
      <c r="J6199" t="n">
        <v>0</v>
      </c>
      <c r="K6199" t="n">
        <v>0</v>
      </c>
      <c r="L6199" t="n">
        <v>0</v>
      </c>
      <c r="M6199" t="n">
        <v>0</v>
      </c>
      <c r="N6199" t="n">
        <v>0</v>
      </c>
      <c r="O6199" t="n">
        <v>0</v>
      </c>
      <c r="P6199" t="n">
        <v>0</v>
      </c>
      <c r="Q6199" t="n">
        <v>0</v>
      </c>
      <c r="R6199" s="2" t="inlineStr"/>
    </row>
    <row r="6200" ht="15" customHeight="1">
      <c r="A6200" t="inlineStr">
        <is>
          <t>A 17566-2023</t>
        </is>
      </c>
      <c r="B6200" s="1" t="n">
        <v>45034</v>
      </c>
      <c r="C6200" s="1" t="n">
        <v>45182</v>
      </c>
      <c r="D6200" t="inlineStr">
        <is>
          <t>JÄMTLANDS LÄN</t>
        </is>
      </c>
      <c r="E6200" t="inlineStr">
        <is>
          <t>ÅRE</t>
        </is>
      </c>
      <c r="G6200" t="n">
        <v>4.8</v>
      </c>
      <c r="H6200" t="n">
        <v>0</v>
      </c>
      <c r="I6200" t="n">
        <v>0</v>
      </c>
      <c r="J6200" t="n">
        <v>0</v>
      </c>
      <c r="K6200" t="n">
        <v>0</v>
      </c>
      <c r="L6200" t="n">
        <v>0</v>
      </c>
      <c r="M6200" t="n">
        <v>0</v>
      </c>
      <c r="N6200" t="n">
        <v>0</v>
      </c>
      <c r="O6200" t="n">
        <v>0</v>
      </c>
      <c r="P6200" t="n">
        <v>0</v>
      </c>
      <c r="Q6200" t="n">
        <v>0</v>
      </c>
      <c r="R6200" s="2" t="inlineStr"/>
    </row>
    <row r="6201" ht="15" customHeight="1">
      <c r="A6201" t="inlineStr">
        <is>
          <t>A 17232-2023</t>
        </is>
      </c>
      <c r="B6201" s="1" t="n">
        <v>45035</v>
      </c>
      <c r="C6201" s="1" t="n">
        <v>45182</v>
      </c>
      <c r="D6201" t="inlineStr">
        <is>
          <t>JÄMTLANDS LÄN</t>
        </is>
      </c>
      <c r="E6201" t="inlineStr">
        <is>
          <t>HÄRJEDALEN</t>
        </is>
      </c>
      <c r="G6201" t="n">
        <v>6.9</v>
      </c>
      <c r="H6201" t="n">
        <v>0</v>
      </c>
      <c r="I6201" t="n">
        <v>0</v>
      </c>
      <c r="J6201" t="n">
        <v>0</v>
      </c>
      <c r="K6201" t="n">
        <v>0</v>
      </c>
      <c r="L6201" t="n">
        <v>0</v>
      </c>
      <c r="M6201" t="n">
        <v>0</v>
      </c>
      <c r="N6201" t="n">
        <v>0</v>
      </c>
      <c r="O6201" t="n">
        <v>0</v>
      </c>
      <c r="P6201" t="n">
        <v>0</v>
      </c>
      <c r="Q6201" t="n">
        <v>0</v>
      </c>
      <c r="R6201" s="2" t="inlineStr"/>
    </row>
    <row r="6202" ht="15" customHeight="1">
      <c r="A6202" t="inlineStr">
        <is>
          <t>A 17383-2023</t>
        </is>
      </c>
      <c r="B6202" s="1" t="n">
        <v>45035</v>
      </c>
      <c r="C6202" s="1" t="n">
        <v>45182</v>
      </c>
      <c r="D6202" t="inlineStr">
        <is>
          <t>JÄMTLANDS LÄN</t>
        </is>
      </c>
      <c r="E6202" t="inlineStr">
        <is>
          <t>KROKOM</t>
        </is>
      </c>
      <c r="G6202" t="n">
        <v>8.300000000000001</v>
      </c>
      <c r="H6202" t="n">
        <v>0</v>
      </c>
      <c r="I6202" t="n">
        <v>0</v>
      </c>
      <c r="J6202" t="n">
        <v>0</v>
      </c>
      <c r="K6202" t="n">
        <v>0</v>
      </c>
      <c r="L6202" t="n">
        <v>0</v>
      </c>
      <c r="M6202" t="n">
        <v>0</v>
      </c>
      <c r="N6202" t="n">
        <v>0</v>
      </c>
      <c r="O6202" t="n">
        <v>0</v>
      </c>
      <c r="P6202" t="n">
        <v>0</v>
      </c>
      <c r="Q6202" t="n">
        <v>0</v>
      </c>
      <c r="R6202" s="2" t="inlineStr"/>
    </row>
    <row r="6203" ht="15" customHeight="1">
      <c r="A6203" t="inlineStr">
        <is>
          <t>A 17433-2023</t>
        </is>
      </c>
      <c r="B6203" s="1" t="n">
        <v>45035</v>
      </c>
      <c r="C6203" s="1" t="n">
        <v>45182</v>
      </c>
      <c r="D6203" t="inlineStr">
        <is>
          <t>JÄMTLANDS LÄN</t>
        </is>
      </c>
      <c r="E6203" t="inlineStr">
        <is>
          <t>STRÖMSUND</t>
        </is>
      </c>
      <c r="G6203" t="n">
        <v>15.6</v>
      </c>
      <c r="H6203" t="n">
        <v>0</v>
      </c>
      <c r="I6203" t="n">
        <v>0</v>
      </c>
      <c r="J6203" t="n">
        <v>0</v>
      </c>
      <c r="K6203" t="n">
        <v>0</v>
      </c>
      <c r="L6203" t="n">
        <v>0</v>
      </c>
      <c r="M6203" t="n">
        <v>0</v>
      </c>
      <c r="N6203" t="n">
        <v>0</v>
      </c>
      <c r="O6203" t="n">
        <v>0</v>
      </c>
      <c r="P6203" t="n">
        <v>0</v>
      </c>
      <c r="Q6203" t="n">
        <v>0</v>
      </c>
      <c r="R6203" s="2" t="inlineStr"/>
    </row>
    <row r="6204" ht="15" customHeight="1">
      <c r="A6204" t="inlineStr">
        <is>
          <t>A 17238-2023</t>
        </is>
      </c>
      <c r="B6204" s="1" t="n">
        <v>45035</v>
      </c>
      <c r="C6204" s="1" t="n">
        <v>45182</v>
      </c>
      <c r="D6204" t="inlineStr">
        <is>
          <t>JÄMTLANDS LÄN</t>
        </is>
      </c>
      <c r="E6204" t="inlineStr">
        <is>
          <t>HÄRJEDALEN</t>
        </is>
      </c>
      <c r="G6204" t="n">
        <v>3.1</v>
      </c>
      <c r="H6204" t="n">
        <v>0</v>
      </c>
      <c r="I6204" t="n">
        <v>0</v>
      </c>
      <c r="J6204" t="n">
        <v>0</v>
      </c>
      <c r="K6204" t="n">
        <v>0</v>
      </c>
      <c r="L6204" t="n">
        <v>0</v>
      </c>
      <c r="M6204" t="n">
        <v>0</v>
      </c>
      <c r="N6204" t="n">
        <v>0</v>
      </c>
      <c r="O6204" t="n">
        <v>0</v>
      </c>
      <c r="P6204" t="n">
        <v>0</v>
      </c>
      <c r="Q6204" t="n">
        <v>0</v>
      </c>
      <c r="R6204" s="2" t="inlineStr"/>
    </row>
    <row r="6205" ht="15" customHeight="1">
      <c r="A6205" t="inlineStr">
        <is>
          <t>A 17368-2023</t>
        </is>
      </c>
      <c r="B6205" s="1" t="n">
        <v>45035</v>
      </c>
      <c r="C6205" s="1" t="n">
        <v>45182</v>
      </c>
      <c r="D6205" t="inlineStr">
        <is>
          <t>JÄMTLANDS LÄN</t>
        </is>
      </c>
      <c r="E6205" t="inlineStr">
        <is>
          <t>HÄRJEDALEN</t>
        </is>
      </c>
      <c r="F6205" t="inlineStr">
        <is>
          <t>Kyrkan</t>
        </is>
      </c>
      <c r="G6205" t="n">
        <v>1.3</v>
      </c>
      <c r="H6205" t="n">
        <v>0</v>
      </c>
      <c r="I6205" t="n">
        <v>0</v>
      </c>
      <c r="J6205" t="n">
        <v>0</v>
      </c>
      <c r="K6205" t="n">
        <v>0</v>
      </c>
      <c r="L6205" t="n">
        <v>0</v>
      </c>
      <c r="M6205" t="n">
        <v>0</v>
      </c>
      <c r="N6205" t="n">
        <v>0</v>
      </c>
      <c r="O6205" t="n">
        <v>0</v>
      </c>
      <c r="P6205" t="n">
        <v>0</v>
      </c>
      <c r="Q6205" t="n">
        <v>0</v>
      </c>
      <c r="R6205" s="2" t="inlineStr"/>
    </row>
    <row r="6206" ht="15" customHeight="1">
      <c r="A6206" t="inlineStr">
        <is>
          <t>A 17246-2023</t>
        </is>
      </c>
      <c r="B6206" s="1" t="n">
        <v>45035</v>
      </c>
      <c r="C6206" s="1" t="n">
        <v>45182</v>
      </c>
      <c r="D6206" t="inlineStr">
        <is>
          <t>JÄMTLANDS LÄN</t>
        </is>
      </c>
      <c r="E6206" t="inlineStr">
        <is>
          <t>HÄRJEDALEN</t>
        </is>
      </c>
      <c r="G6206" t="n">
        <v>2.4</v>
      </c>
      <c r="H6206" t="n">
        <v>0</v>
      </c>
      <c r="I6206" t="n">
        <v>0</v>
      </c>
      <c r="J6206" t="n">
        <v>0</v>
      </c>
      <c r="K6206" t="n">
        <v>0</v>
      </c>
      <c r="L6206" t="n">
        <v>0</v>
      </c>
      <c r="M6206" t="n">
        <v>0</v>
      </c>
      <c r="N6206" t="n">
        <v>0</v>
      </c>
      <c r="O6206" t="n">
        <v>0</v>
      </c>
      <c r="P6206" t="n">
        <v>0</v>
      </c>
      <c r="Q6206" t="n">
        <v>0</v>
      </c>
      <c r="R6206" s="2" t="inlineStr"/>
    </row>
    <row r="6207" ht="15" customHeight="1">
      <c r="A6207" t="inlineStr">
        <is>
          <t>A 17568-2023</t>
        </is>
      </c>
      <c r="B6207" s="1" t="n">
        <v>45036</v>
      </c>
      <c r="C6207" s="1" t="n">
        <v>45182</v>
      </c>
      <c r="D6207" t="inlineStr">
        <is>
          <t>JÄMTLANDS LÄN</t>
        </is>
      </c>
      <c r="E6207" t="inlineStr">
        <is>
          <t>BRÄCKE</t>
        </is>
      </c>
      <c r="G6207" t="n">
        <v>5</v>
      </c>
      <c r="H6207" t="n">
        <v>0</v>
      </c>
      <c r="I6207" t="n">
        <v>0</v>
      </c>
      <c r="J6207" t="n">
        <v>0</v>
      </c>
      <c r="K6207" t="n">
        <v>0</v>
      </c>
      <c r="L6207" t="n">
        <v>0</v>
      </c>
      <c r="M6207" t="n">
        <v>0</v>
      </c>
      <c r="N6207" t="n">
        <v>0</v>
      </c>
      <c r="O6207" t="n">
        <v>0</v>
      </c>
      <c r="P6207" t="n">
        <v>0</v>
      </c>
      <c r="Q6207" t="n">
        <v>0</v>
      </c>
      <c r="R6207" s="2" t="inlineStr"/>
    </row>
    <row r="6208" ht="15" customHeight="1">
      <c r="A6208" t="inlineStr">
        <is>
          <t>A 17611-2023</t>
        </is>
      </c>
      <c r="B6208" s="1" t="n">
        <v>45036</v>
      </c>
      <c r="C6208" s="1" t="n">
        <v>45182</v>
      </c>
      <c r="D6208" t="inlineStr">
        <is>
          <t>JÄMTLANDS LÄN</t>
        </is>
      </c>
      <c r="E6208" t="inlineStr">
        <is>
          <t>KROKOM</t>
        </is>
      </c>
      <c r="G6208" t="n">
        <v>7.7</v>
      </c>
      <c r="H6208" t="n">
        <v>0</v>
      </c>
      <c r="I6208" t="n">
        <v>0</v>
      </c>
      <c r="J6208" t="n">
        <v>0</v>
      </c>
      <c r="K6208" t="n">
        <v>0</v>
      </c>
      <c r="L6208" t="n">
        <v>0</v>
      </c>
      <c r="M6208" t="n">
        <v>0</v>
      </c>
      <c r="N6208" t="n">
        <v>0</v>
      </c>
      <c r="O6208" t="n">
        <v>0</v>
      </c>
      <c r="P6208" t="n">
        <v>0</v>
      </c>
      <c r="Q6208" t="n">
        <v>0</v>
      </c>
      <c r="R6208" s="2" t="inlineStr"/>
    </row>
    <row r="6209" ht="15" customHeight="1">
      <c r="A6209" t="inlineStr">
        <is>
          <t>A 17594-2023</t>
        </is>
      </c>
      <c r="B6209" s="1" t="n">
        <v>45036</v>
      </c>
      <c r="C6209" s="1" t="n">
        <v>45182</v>
      </c>
      <c r="D6209" t="inlineStr">
        <is>
          <t>JÄMTLANDS LÄN</t>
        </is>
      </c>
      <c r="E6209" t="inlineStr">
        <is>
          <t>KROKOM</t>
        </is>
      </c>
      <c r="G6209" t="n">
        <v>5.5</v>
      </c>
      <c r="H6209" t="n">
        <v>0</v>
      </c>
      <c r="I6209" t="n">
        <v>0</v>
      </c>
      <c r="J6209" t="n">
        <v>0</v>
      </c>
      <c r="K6209" t="n">
        <v>0</v>
      </c>
      <c r="L6209" t="n">
        <v>0</v>
      </c>
      <c r="M6209" t="n">
        <v>0</v>
      </c>
      <c r="N6209" t="n">
        <v>0</v>
      </c>
      <c r="O6209" t="n">
        <v>0</v>
      </c>
      <c r="P6209" t="n">
        <v>0</v>
      </c>
      <c r="Q6209" t="n">
        <v>0</v>
      </c>
      <c r="R6209" s="2" t="inlineStr"/>
    </row>
    <row r="6210" ht="15" customHeight="1">
      <c r="A6210" t="inlineStr">
        <is>
          <t>A 17602-2023</t>
        </is>
      </c>
      <c r="B6210" s="1" t="n">
        <v>45036</v>
      </c>
      <c r="C6210" s="1" t="n">
        <v>45182</v>
      </c>
      <c r="D6210" t="inlineStr">
        <is>
          <t>JÄMTLANDS LÄN</t>
        </is>
      </c>
      <c r="E6210" t="inlineStr">
        <is>
          <t>KROKOM</t>
        </is>
      </c>
      <c r="G6210" t="n">
        <v>6.9</v>
      </c>
      <c r="H6210" t="n">
        <v>0</v>
      </c>
      <c r="I6210" t="n">
        <v>0</v>
      </c>
      <c r="J6210" t="n">
        <v>0</v>
      </c>
      <c r="K6210" t="n">
        <v>0</v>
      </c>
      <c r="L6210" t="n">
        <v>0</v>
      </c>
      <c r="M6210" t="n">
        <v>0</v>
      </c>
      <c r="N6210" t="n">
        <v>0</v>
      </c>
      <c r="O6210" t="n">
        <v>0</v>
      </c>
      <c r="P6210" t="n">
        <v>0</v>
      </c>
      <c r="Q6210" t="n">
        <v>0</v>
      </c>
      <c r="R6210" s="2" t="inlineStr"/>
    </row>
    <row r="6211" ht="15" customHeight="1">
      <c r="A6211" t="inlineStr">
        <is>
          <t>A 17751-2023</t>
        </is>
      </c>
      <c r="B6211" s="1" t="n">
        <v>45036</v>
      </c>
      <c r="C6211" s="1" t="n">
        <v>45182</v>
      </c>
      <c r="D6211" t="inlineStr">
        <is>
          <t>JÄMTLANDS LÄN</t>
        </is>
      </c>
      <c r="E6211" t="inlineStr">
        <is>
          <t>KROKOM</t>
        </is>
      </c>
      <c r="G6211" t="n">
        <v>8.300000000000001</v>
      </c>
      <c r="H6211" t="n">
        <v>0</v>
      </c>
      <c r="I6211" t="n">
        <v>0</v>
      </c>
      <c r="J6211" t="n">
        <v>0</v>
      </c>
      <c r="K6211" t="n">
        <v>0</v>
      </c>
      <c r="L6211" t="n">
        <v>0</v>
      </c>
      <c r="M6211" t="n">
        <v>0</v>
      </c>
      <c r="N6211" t="n">
        <v>0</v>
      </c>
      <c r="O6211" t="n">
        <v>0</v>
      </c>
      <c r="P6211" t="n">
        <v>0</v>
      </c>
      <c r="Q6211" t="n">
        <v>0</v>
      </c>
      <c r="R6211" s="2" t="inlineStr"/>
    </row>
    <row r="6212" ht="15" customHeight="1">
      <c r="A6212" t="inlineStr">
        <is>
          <t>A 17665-2023</t>
        </is>
      </c>
      <c r="B6212" s="1" t="n">
        <v>45036</v>
      </c>
      <c r="C6212" s="1" t="n">
        <v>45182</v>
      </c>
      <c r="D6212" t="inlineStr">
        <is>
          <t>JÄMTLANDS LÄN</t>
        </is>
      </c>
      <c r="E6212" t="inlineStr">
        <is>
          <t>BRÄCKE</t>
        </is>
      </c>
      <c r="F6212" t="inlineStr">
        <is>
          <t>SCA</t>
        </is>
      </c>
      <c r="G6212" t="n">
        <v>0.9</v>
      </c>
      <c r="H6212" t="n">
        <v>0</v>
      </c>
      <c r="I6212" t="n">
        <v>0</v>
      </c>
      <c r="J6212" t="n">
        <v>0</v>
      </c>
      <c r="K6212" t="n">
        <v>0</v>
      </c>
      <c r="L6212" t="n">
        <v>0</v>
      </c>
      <c r="M6212" t="n">
        <v>0</v>
      </c>
      <c r="N6212" t="n">
        <v>0</v>
      </c>
      <c r="O6212" t="n">
        <v>0</v>
      </c>
      <c r="P6212" t="n">
        <v>0</v>
      </c>
      <c r="Q6212" t="n">
        <v>0</v>
      </c>
      <c r="R6212" s="2" t="inlineStr"/>
    </row>
    <row r="6213" ht="15" customHeight="1">
      <c r="A6213" t="inlineStr">
        <is>
          <t>A 17747-2023</t>
        </is>
      </c>
      <c r="B6213" s="1" t="n">
        <v>45036</v>
      </c>
      <c r="C6213" s="1" t="n">
        <v>45182</v>
      </c>
      <c r="D6213" t="inlineStr">
        <is>
          <t>JÄMTLANDS LÄN</t>
        </is>
      </c>
      <c r="E6213" t="inlineStr">
        <is>
          <t>BRÄCKE</t>
        </is>
      </c>
      <c r="G6213" t="n">
        <v>14.4</v>
      </c>
      <c r="H6213" t="n">
        <v>0</v>
      </c>
      <c r="I6213" t="n">
        <v>0</v>
      </c>
      <c r="J6213" t="n">
        <v>0</v>
      </c>
      <c r="K6213" t="n">
        <v>0</v>
      </c>
      <c r="L6213" t="n">
        <v>0</v>
      </c>
      <c r="M6213" t="n">
        <v>0</v>
      </c>
      <c r="N6213" t="n">
        <v>0</v>
      </c>
      <c r="O6213" t="n">
        <v>0</v>
      </c>
      <c r="P6213" t="n">
        <v>0</v>
      </c>
      <c r="Q6213" t="n">
        <v>0</v>
      </c>
      <c r="R6213" s="2" t="inlineStr"/>
    </row>
    <row r="6214" ht="15" customHeight="1">
      <c r="A6214" t="inlineStr">
        <is>
          <t>A 17789-2023</t>
        </is>
      </c>
      <c r="B6214" s="1" t="n">
        <v>45036</v>
      </c>
      <c r="C6214" s="1" t="n">
        <v>45182</v>
      </c>
      <c r="D6214" t="inlineStr">
        <is>
          <t>JÄMTLANDS LÄN</t>
        </is>
      </c>
      <c r="E6214" t="inlineStr">
        <is>
          <t>STRÖMSUND</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17591-2023</t>
        </is>
      </c>
      <c r="B6215" s="1" t="n">
        <v>45036</v>
      </c>
      <c r="C6215" s="1" t="n">
        <v>45182</v>
      </c>
      <c r="D6215" t="inlineStr">
        <is>
          <t>JÄMTLANDS LÄN</t>
        </is>
      </c>
      <c r="E6215" t="inlineStr">
        <is>
          <t>KROKOM</t>
        </is>
      </c>
      <c r="G6215" t="n">
        <v>8.4</v>
      </c>
      <c r="H6215" t="n">
        <v>0</v>
      </c>
      <c r="I6215" t="n">
        <v>0</v>
      </c>
      <c r="J6215" t="n">
        <v>0</v>
      </c>
      <c r="K6215" t="n">
        <v>0</v>
      </c>
      <c r="L6215" t="n">
        <v>0</v>
      </c>
      <c r="M6215" t="n">
        <v>0</v>
      </c>
      <c r="N6215" t="n">
        <v>0</v>
      </c>
      <c r="O6215" t="n">
        <v>0</v>
      </c>
      <c r="P6215" t="n">
        <v>0</v>
      </c>
      <c r="Q6215" t="n">
        <v>0</v>
      </c>
      <c r="R6215" s="2" t="inlineStr"/>
    </row>
    <row r="6216" ht="15" customHeight="1">
      <c r="A6216" t="inlineStr">
        <is>
          <t>A 17603-2023</t>
        </is>
      </c>
      <c r="B6216" s="1" t="n">
        <v>45036</v>
      </c>
      <c r="C6216" s="1" t="n">
        <v>45182</v>
      </c>
      <c r="D6216" t="inlineStr">
        <is>
          <t>JÄMTLANDS LÄN</t>
        </is>
      </c>
      <c r="E6216" t="inlineStr">
        <is>
          <t>KROKOM</t>
        </is>
      </c>
      <c r="G6216" t="n">
        <v>7.4</v>
      </c>
      <c r="H6216" t="n">
        <v>0</v>
      </c>
      <c r="I6216" t="n">
        <v>0</v>
      </c>
      <c r="J6216" t="n">
        <v>0</v>
      </c>
      <c r="K6216" t="n">
        <v>0</v>
      </c>
      <c r="L6216" t="n">
        <v>0</v>
      </c>
      <c r="M6216" t="n">
        <v>0</v>
      </c>
      <c r="N6216" t="n">
        <v>0</v>
      </c>
      <c r="O6216" t="n">
        <v>0</v>
      </c>
      <c r="P6216" t="n">
        <v>0</v>
      </c>
      <c r="Q6216" t="n">
        <v>0</v>
      </c>
      <c r="R6216" s="2" t="inlineStr"/>
    </row>
    <row r="6217" ht="15" customHeight="1">
      <c r="A6217" t="inlineStr">
        <is>
          <t>A 17798-2023</t>
        </is>
      </c>
      <c r="B6217" s="1" t="n">
        <v>45036</v>
      </c>
      <c r="C6217" s="1" t="n">
        <v>45182</v>
      </c>
      <c r="D6217" t="inlineStr">
        <is>
          <t>JÄMTLANDS LÄN</t>
        </is>
      </c>
      <c r="E6217" t="inlineStr">
        <is>
          <t>STRÖMSUND</t>
        </is>
      </c>
      <c r="G6217" t="n">
        <v>1.7</v>
      </c>
      <c r="H6217" t="n">
        <v>0</v>
      </c>
      <c r="I6217" t="n">
        <v>0</v>
      </c>
      <c r="J6217" t="n">
        <v>0</v>
      </c>
      <c r="K6217" t="n">
        <v>0</v>
      </c>
      <c r="L6217" t="n">
        <v>0</v>
      </c>
      <c r="M6217" t="n">
        <v>0</v>
      </c>
      <c r="N6217" t="n">
        <v>0</v>
      </c>
      <c r="O6217" t="n">
        <v>0</v>
      </c>
      <c r="P6217" t="n">
        <v>0</v>
      </c>
      <c r="Q6217" t="n">
        <v>0</v>
      </c>
      <c r="R6217" s="2" t="inlineStr"/>
    </row>
    <row r="6218" ht="15" customHeight="1">
      <c r="A6218" t="inlineStr">
        <is>
          <t>A 17847-2023</t>
        </is>
      </c>
      <c r="B6218" s="1" t="n">
        <v>45037</v>
      </c>
      <c r="C6218" s="1" t="n">
        <v>45182</v>
      </c>
      <c r="D6218" t="inlineStr">
        <is>
          <t>JÄMTLANDS LÄN</t>
        </is>
      </c>
      <c r="E6218" t="inlineStr">
        <is>
          <t>ÅRE</t>
        </is>
      </c>
      <c r="G6218" t="n">
        <v>2.1</v>
      </c>
      <c r="H6218" t="n">
        <v>0</v>
      </c>
      <c r="I6218" t="n">
        <v>0</v>
      </c>
      <c r="J6218" t="n">
        <v>0</v>
      </c>
      <c r="K6218" t="n">
        <v>0</v>
      </c>
      <c r="L6218" t="n">
        <v>0</v>
      </c>
      <c r="M6218" t="n">
        <v>0</v>
      </c>
      <c r="N6218" t="n">
        <v>0</v>
      </c>
      <c r="O6218" t="n">
        <v>0</v>
      </c>
      <c r="P6218" t="n">
        <v>0</v>
      </c>
      <c r="Q6218" t="n">
        <v>0</v>
      </c>
      <c r="R6218" s="2" t="inlineStr"/>
    </row>
    <row r="6219" ht="15" customHeight="1">
      <c r="A6219" t="inlineStr">
        <is>
          <t>A 17888-2023</t>
        </is>
      </c>
      <c r="B6219" s="1" t="n">
        <v>45037</v>
      </c>
      <c r="C6219" s="1" t="n">
        <v>45182</v>
      </c>
      <c r="D6219" t="inlineStr">
        <is>
          <t>JÄMTLANDS LÄN</t>
        </is>
      </c>
      <c r="E6219" t="inlineStr">
        <is>
          <t>BRÄCKE</t>
        </is>
      </c>
      <c r="G6219" t="n">
        <v>1.8</v>
      </c>
      <c r="H6219" t="n">
        <v>0</v>
      </c>
      <c r="I6219" t="n">
        <v>0</v>
      </c>
      <c r="J6219" t="n">
        <v>0</v>
      </c>
      <c r="K6219" t="n">
        <v>0</v>
      </c>
      <c r="L6219" t="n">
        <v>0</v>
      </c>
      <c r="M6219" t="n">
        <v>0</v>
      </c>
      <c r="N6219" t="n">
        <v>0</v>
      </c>
      <c r="O6219" t="n">
        <v>0</v>
      </c>
      <c r="P6219" t="n">
        <v>0</v>
      </c>
      <c r="Q6219" t="n">
        <v>0</v>
      </c>
      <c r="R6219" s="2" t="inlineStr"/>
    </row>
    <row r="6220" ht="15" customHeight="1">
      <c r="A6220" t="inlineStr">
        <is>
          <t>A 17857-2023</t>
        </is>
      </c>
      <c r="B6220" s="1" t="n">
        <v>45037</v>
      </c>
      <c r="C6220" s="1" t="n">
        <v>45182</v>
      </c>
      <c r="D6220" t="inlineStr">
        <is>
          <t>JÄMTLANDS LÄN</t>
        </is>
      </c>
      <c r="E6220" t="inlineStr">
        <is>
          <t>BRÄCKE</t>
        </is>
      </c>
      <c r="F6220" t="inlineStr">
        <is>
          <t>SCA</t>
        </is>
      </c>
      <c r="G6220" t="n">
        <v>20</v>
      </c>
      <c r="H6220" t="n">
        <v>0</v>
      </c>
      <c r="I6220" t="n">
        <v>0</v>
      </c>
      <c r="J6220" t="n">
        <v>0</v>
      </c>
      <c r="K6220" t="n">
        <v>0</v>
      </c>
      <c r="L6220" t="n">
        <v>0</v>
      </c>
      <c r="M6220" t="n">
        <v>0</v>
      </c>
      <c r="N6220" t="n">
        <v>0</v>
      </c>
      <c r="O6220" t="n">
        <v>0</v>
      </c>
      <c r="P6220" t="n">
        <v>0</v>
      </c>
      <c r="Q6220" t="n">
        <v>0</v>
      </c>
      <c r="R6220" s="2" t="inlineStr"/>
    </row>
    <row r="6221" ht="15" customHeight="1">
      <c r="A6221" t="inlineStr">
        <is>
          <t>A 17887-2023</t>
        </is>
      </c>
      <c r="B6221" s="1" t="n">
        <v>45037</v>
      </c>
      <c r="C6221" s="1" t="n">
        <v>45182</v>
      </c>
      <c r="D6221" t="inlineStr">
        <is>
          <t>JÄMTLANDS LÄN</t>
        </is>
      </c>
      <c r="E6221" t="inlineStr">
        <is>
          <t>ÖSTERSUND</t>
        </is>
      </c>
      <c r="G6221" t="n">
        <v>3.2</v>
      </c>
      <c r="H6221" t="n">
        <v>0</v>
      </c>
      <c r="I6221" t="n">
        <v>0</v>
      </c>
      <c r="J6221" t="n">
        <v>0</v>
      </c>
      <c r="K6221" t="n">
        <v>0</v>
      </c>
      <c r="L6221" t="n">
        <v>0</v>
      </c>
      <c r="M6221" t="n">
        <v>0</v>
      </c>
      <c r="N6221" t="n">
        <v>0</v>
      </c>
      <c r="O6221" t="n">
        <v>0</v>
      </c>
      <c r="P6221" t="n">
        <v>0</v>
      </c>
      <c r="Q6221" t="n">
        <v>0</v>
      </c>
      <c r="R6221" s="2" t="inlineStr"/>
    </row>
    <row r="6222" ht="15" customHeight="1">
      <c r="A6222" t="inlineStr">
        <is>
          <t>A 18152-2023</t>
        </is>
      </c>
      <c r="B6222" s="1" t="n">
        <v>45040</v>
      </c>
      <c r="C6222" s="1" t="n">
        <v>45182</v>
      </c>
      <c r="D6222" t="inlineStr">
        <is>
          <t>JÄMTLANDS LÄN</t>
        </is>
      </c>
      <c r="E6222" t="inlineStr">
        <is>
          <t>BRÄCKE</t>
        </is>
      </c>
      <c r="F6222" t="inlineStr">
        <is>
          <t>SCA</t>
        </is>
      </c>
      <c r="G6222" t="n">
        <v>2.9</v>
      </c>
      <c r="H6222" t="n">
        <v>0</v>
      </c>
      <c r="I6222" t="n">
        <v>0</v>
      </c>
      <c r="J6222" t="n">
        <v>0</v>
      </c>
      <c r="K6222" t="n">
        <v>0</v>
      </c>
      <c r="L6222" t="n">
        <v>0</v>
      </c>
      <c r="M6222" t="n">
        <v>0</v>
      </c>
      <c r="N6222" t="n">
        <v>0</v>
      </c>
      <c r="O6222" t="n">
        <v>0</v>
      </c>
      <c r="P6222" t="n">
        <v>0</v>
      </c>
      <c r="Q6222" t="n">
        <v>0</v>
      </c>
      <c r="R6222" s="2" t="inlineStr"/>
    </row>
    <row r="6223" ht="15" customHeight="1">
      <c r="A6223" t="inlineStr">
        <is>
          <t>A 18157-2023</t>
        </is>
      </c>
      <c r="B6223" s="1" t="n">
        <v>45040</v>
      </c>
      <c r="C6223" s="1" t="n">
        <v>45182</v>
      </c>
      <c r="D6223" t="inlineStr">
        <is>
          <t>JÄMTLANDS LÄN</t>
        </is>
      </c>
      <c r="E6223" t="inlineStr">
        <is>
          <t>BRÄCKE</t>
        </is>
      </c>
      <c r="F6223" t="inlineStr">
        <is>
          <t>SCA</t>
        </is>
      </c>
      <c r="G6223" t="n">
        <v>6.7</v>
      </c>
      <c r="H6223" t="n">
        <v>0</v>
      </c>
      <c r="I6223" t="n">
        <v>0</v>
      </c>
      <c r="J6223" t="n">
        <v>0</v>
      </c>
      <c r="K6223" t="n">
        <v>0</v>
      </c>
      <c r="L6223" t="n">
        <v>0</v>
      </c>
      <c r="M6223" t="n">
        <v>0</v>
      </c>
      <c r="N6223" t="n">
        <v>0</v>
      </c>
      <c r="O6223" t="n">
        <v>0</v>
      </c>
      <c r="P6223" t="n">
        <v>0</v>
      </c>
      <c r="Q6223" t="n">
        <v>0</v>
      </c>
      <c r="R6223" s="2" t="inlineStr"/>
    </row>
    <row r="6224" ht="15" customHeight="1">
      <c r="A6224" t="inlineStr">
        <is>
          <t>A 18204-2023</t>
        </is>
      </c>
      <c r="B6224" s="1" t="n">
        <v>45040</v>
      </c>
      <c r="C6224" s="1" t="n">
        <v>45182</v>
      </c>
      <c r="D6224" t="inlineStr">
        <is>
          <t>JÄMTLANDS LÄN</t>
        </is>
      </c>
      <c r="E6224" t="inlineStr">
        <is>
          <t>ÅRE</t>
        </is>
      </c>
      <c r="G6224" t="n">
        <v>2.1</v>
      </c>
      <c r="H6224" t="n">
        <v>0</v>
      </c>
      <c r="I6224" t="n">
        <v>0</v>
      </c>
      <c r="J6224" t="n">
        <v>0</v>
      </c>
      <c r="K6224" t="n">
        <v>0</v>
      </c>
      <c r="L6224" t="n">
        <v>0</v>
      </c>
      <c r="M6224" t="n">
        <v>0</v>
      </c>
      <c r="N6224" t="n">
        <v>0</v>
      </c>
      <c r="O6224" t="n">
        <v>0</v>
      </c>
      <c r="P6224" t="n">
        <v>0</v>
      </c>
      <c r="Q6224" t="n">
        <v>0</v>
      </c>
      <c r="R6224" s="2" t="inlineStr"/>
    </row>
    <row r="6225" ht="15" customHeight="1">
      <c r="A6225" t="inlineStr">
        <is>
          <t>A 18236-2023</t>
        </is>
      </c>
      <c r="B6225" s="1" t="n">
        <v>45040</v>
      </c>
      <c r="C6225" s="1" t="n">
        <v>45182</v>
      </c>
      <c r="D6225" t="inlineStr">
        <is>
          <t>JÄMTLANDS LÄN</t>
        </is>
      </c>
      <c r="E6225" t="inlineStr">
        <is>
          <t>BRÄCKE</t>
        </is>
      </c>
      <c r="G6225" t="n">
        <v>7.7</v>
      </c>
      <c r="H6225" t="n">
        <v>0</v>
      </c>
      <c r="I6225" t="n">
        <v>0</v>
      </c>
      <c r="J6225" t="n">
        <v>0</v>
      </c>
      <c r="K6225" t="n">
        <v>0</v>
      </c>
      <c r="L6225" t="n">
        <v>0</v>
      </c>
      <c r="M6225" t="n">
        <v>0</v>
      </c>
      <c r="N6225" t="n">
        <v>0</v>
      </c>
      <c r="O6225" t="n">
        <v>0</v>
      </c>
      <c r="P6225" t="n">
        <v>0</v>
      </c>
      <c r="Q6225" t="n">
        <v>0</v>
      </c>
      <c r="R6225" s="2" t="inlineStr"/>
    </row>
    <row r="6226" ht="15" customHeight="1">
      <c r="A6226" t="inlineStr">
        <is>
          <t>A 18158-2023</t>
        </is>
      </c>
      <c r="B6226" s="1" t="n">
        <v>45040</v>
      </c>
      <c r="C6226" s="1" t="n">
        <v>45182</v>
      </c>
      <c r="D6226" t="inlineStr">
        <is>
          <t>JÄMTLANDS LÄN</t>
        </is>
      </c>
      <c r="E6226" t="inlineStr">
        <is>
          <t>STRÖMSUND</t>
        </is>
      </c>
      <c r="F6226" t="inlineStr">
        <is>
          <t>SCA</t>
        </is>
      </c>
      <c r="G6226" t="n">
        <v>37</v>
      </c>
      <c r="H6226" t="n">
        <v>0</v>
      </c>
      <c r="I6226" t="n">
        <v>0</v>
      </c>
      <c r="J6226" t="n">
        <v>0</v>
      </c>
      <c r="K6226" t="n">
        <v>0</v>
      </c>
      <c r="L6226" t="n">
        <v>0</v>
      </c>
      <c r="M6226" t="n">
        <v>0</v>
      </c>
      <c r="N6226" t="n">
        <v>0</v>
      </c>
      <c r="O6226" t="n">
        <v>0</v>
      </c>
      <c r="P6226" t="n">
        <v>0</v>
      </c>
      <c r="Q6226" t="n">
        <v>0</v>
      </c>
      <c r="R6226" s="2" t="inlineStr"/>
    </row>
    <row r="6227" ht="15" customHeight="1">
      <c r="A6227" t="inlineStr">
        <is>
          <t>A 18290-2023</t>
        </is>
      </c>
      <c r="B6227" s="1" t="n">
        <v>45040</v>
      </c>
      <c r="C6227" s="1" t="n">
        <v>45182</v>
      </c>
      <c r="D6227" t="inlineStr">
        <is>
          <t>JÄMTLANDS LÄN</t>
        </is>
      </c>
      <c r="E6227" t="inlineStr">
        <is>
          <t>KROKOM</t>
        </is>
      </c>
      <c r="G6227" t="n">
        <v>5.9</v>
      </c>
      <c r="H6227" t="n">
        <v>0</v>
      </c>
      <c r="I6227" t="n">
        <v>0</v>
      </c>
      <c r="J6227" t="n">
        <v>0</v>
      </c>
      <c r="K6227" t="n">
        <v>0</v>
      </c>
      <c r="L6227" t="n">
        <v>0</v>
      </c>
      <c r="M6227" t="n">
        <v>0</v>
      </c>
      <c r="N6227" t="n">
        <v>0</v>
      </c>
      <c r="O6227" t="n">
        <v>0</v>
      </c>
      <c r="P6227" t="n">
        <v>0</v>
      </c>
      <c r="Q6227" t="n">
        <v>0</v>
      </c>
      <c r="R6227" s="2" t="inlineStr"/>
    </row>
    <row r="6228" ht="15" customHeight="1">
      <c r="A6228" t="inlineStr">
        <is>
          <t>A 18151-2023</t>
        </is>
      </c>
      <c r="B6228" s="1" t="n">
        <v>45040</v>
      </c>
      <c r="C6228" s="1" t="n">
        <v>45182</v>
      </c>
      <c r="D6228" t="inlineStr">
        <is>
          <t>JÄMTLANDS LÄN</t>
        </is>
      </c>
      <c r="E6228" t="inlineStr">
        <is>
          <t>BRÄCKE</t>
        </is>
      </c>
      <c r="F6228" t="inlineStr">
        <is>
          <t>SCA</t>
        </is>
      </c>
      <c r="G6228" t="n">
        <v>6.9</v>
      </c>
      <c r="H6228" t="n">
        <v>0</v>
      </c>
      <c r="I6228" t="n">
        <v>0</v>
      </c>
      <c r="J6228" t="n">
        <v>0</v>
      </c>
      <c r="K6228" t="n">
        <v>0</v>
      </c>
      <c r="L6228" t="n">
        <v>0</v>
      </c>
      <c r="M6228" t="n">
        <v>0</v>
      </c>
      <c r="N6228" t="n">
        <v>0</v>
      </c>
      <c r="O6228" t="n">
        <v>0</v>
      </c>
      <c r="P6228" t="n">
        <v>0</v>
      </c>
      <c r="Q6228" t="n">
        <v>0</v>
      </c>
      <c r="R6228" s="2" t="inlineStr"/>
    </row>
    <row r="6229" ht="15" customHeight="1">
      <c r="A6229" t="inlineStr">
        <is>
          <t>A 18217-2023</t>
        </is>
      </c>
      <c r="B6229" s="1" t="n">
        <v>45040</v>
      </c>
      <c r="C6229" s="1" t="n">
        <v>45182</v>
      </c>
      <c r="D6229" t="inlineStr">
        <is>
          <t>JÄMTLANDS LÄN</t>
        </is>
      </c>
      <c r="E6229" t="inlineStr">
        <is>
          <t>BERG</t>
        </is>
      </c>
      <c r="G6229" t="n">
        <v>4.5</v>
      </c>
      <c r="H6229" t="n">
        <v>0</v>
      </c>
      <c r="I6229" t="n">
        <v>0</v>
      </c>
      <c r="J6229" t="n">
        <v>0</v>
      </c>
      <c r="K6229" t="n">
        <v>0</v>
      </c>
      <c r="L6229" t="n">
        <v>0</v>
      </c>
      <c r="M6229" t="n">
        <v>0</v>
      </c>
      <c r="N6229" t="n">
        <v>0</v>
      </c>
      <c r="O6229" t="n">
        <v>0</v>
      </c>
      <c r="P6229" t="n">
        <v>0</v>
      </c>
      <c r="Q6229" t="n">
        <v>0</v>
      </c>
      <c r="R6229" s="2" t="inlineStr"/>
    </row>
    <row r="6230" ht="15" customHeight="1">
      <c r="A6230" t="inlineStr">
        <is>
          <t>A 18139-2023</t>
        </is>
      </c>
      <c r="B6230" s="1" t="n">
        <v>45040</v>
      </c>
      <c r="C6230" s="1" t="n">
        <v>45182</v>
      </c>
      <c r="D6230" t="inlineStr">
        <is>
          <t>JÄMTLANDS LÄN</t>
        </is>
      </c>
      <c r="E6230" t="inlineStr">
        <is>
          <t>KROKOM</t>
        </is>
      </c>
      <c r="G6230" t="n">
        <v>4.6</v>
      </c>
      <c r="H6230" t="n">
        <v>0</v>
      </c>
      <c r="I6230" t="n">
        <v>0</v>
      </c>
      <c r="J6230" t="n">
        <v>0</v>
      </c>
      <c r="K6230" t="n">
        <v>0</v>
      </c>
      <c r="L6230" t="n">
        <v>0</v>
      </c>
      <c r="M6230" t="n">
        <v>0</v>
      </c>
      <c r="N6230" t="n">
        <v>0</v>
      </c>
      <c r="O6230" t="n">
        <v>0</v>
      </c>
      <c r="P6230" t="n">
        <v>0</v>
      </c>
      <c r="Q6230" t="n">
        <v>0</v>
      </c>
      <c r="R6230" s="2" t="inlineStr"/>
    </row>
    <row r="6231" ht="15" customHeight="1">
      <c r="A6231" t="inlineStr">
        <is>
          <t>A 18229-2023</t>
        </is>
      </c>
      <c r="B6231" s="1" t="n">
        <v>45040</v>
      </c>
      <c r="C6231" s="1" t="n">
        <v>45182</v>
      </c>
      <c r="D6231" t="inlineStr">
        <is>
          <t>JÄMTLANDS LÄN</t>
        </is>
      </c>
      <c r="E6231" t="inlineStr">
        <is>
          <t>BRÄCKE</t>
        </is>
      </c>
      <c r="G6231" t="n">
        <v>2.9</v>
      </c>
      <c r="H6231" t="n">
        <v>0</v>
      </c>
      <c r="I6231" t="n">
        <v>0</v>
      </c>
      <c r="J6231" t="n">
        <v>0</v>
      </c>
      <c r="K6231" t="n">
        <v>0</v>
      </c>
      <c r="L6231" t="n">
        <v>0</v>
      </c>
      <c r="M6231" t="n">
        <v>0</v>
      </c>
      <c r="N6231" t="n">
        <v>0</v>
      </c>
      <c r="O6231" t="n">
        <v>0</v>
      </c>
      <c r="P6231" t="n">
        <v>0</v>
      </c>
      <c r="Q6231" t="n">
        <v>0</v>
      </c>
      <c r="R6231" s="2" t="inlineStr"/>
    </row>
    <row r="6232" ht="15" customHeight="1">
      <c r="A6232" t="inlineStr">
        <is>
          <t>A 18248-2023</t>
        </is>
      </c>
      <c r="B6232" s="1" t="n">
        <v>45040</v>
      </c>
      <c r="C6232" s="1" t="n">
        <v>45182</v>
      </c>
      <c r="D6232" t="inlineStr">
        <is>
          <t>JÄMTLANDS LÄN</t>
        </is>
      </c>
      <c r="E6232" t="inlineStr">
        <is>
          <t>RAGUNDA</t>
        </is>
      </c>
      <c r="G6232" t="n">
        <v>4.3</v>
      </c>
      <c r="H6232" t="n">
        <v>0</v>
      </c>
      <c r="I6232" t="n">
        <v>0</v>
      </c>
      <c r="J6232" t="n">
        <v>0</v>
      </c>
      <c r="K6232" t="n">
        <v>0</v>
      </c>
      <c r="L6232" t="n">
        <v>0</v>
      </c>
      <c r="M6232" t="n">
        <v>0</v>
      </c>
      <c r="N6232" t="n">
        <v>0</v>
      </c>
      <c r="O6232" t="n">
        <v>0</v>
      </c>
      <c r="P6232" t="n">
        <v>0</v>
      </c>
      <c r="Q6232" t="n">
        <v>0</v>
      </c>
      <c r="R6232" s="2" t="inlineStr"/>
    </row>
    <row r="6233" ht="15" customHeight="1">
      <c r="A6233" t="inlineStr">
        <is>
          <t>A 18296-2023</t>
        </is>
      </c>
      <c r="B6233" s="1" t="n">
        <v>45040</v>
      </c>
      <c r="C6233" s="1" t="n">
        <v>45182</v>
      </c>
      <c r="D6233" t="inlineStr">
        <is>
          <t>JÄMTLANDS LÄN</t>
        </is>
      </c>
      <c r="E6233" t="inlineStr">
        <is>
          <t>KROKOM</t>
        </is>
      </c>
      <c r="G6233" t="n">
        <v>20.3</v>
      </c>
      <c r="H6233" t="n">
        <v>0</v>
      </c>
      <c r="I6233" t="n">
        <v>0</v>
      </c>
      <c r="J6233" t="n">
        <v>0</v>
      </c>
      <c r="K6233" t="n">
        <v>0</v>
      </c>
      <c r="L6233" t="n">
        <v>0</v>
      </c>
      <c r="M6233" t="n">
        <v>0</v>
      </c>
      <c r="N6233" t="n">
        <v>0</v>
      </c>
      <c r="O6233" t="n">
        <v>0</v>
      </c>
      <c r="P6233" t="n">
        <v>0</v>
      </c>
      <c r="Q6233" t="n">
        <v>0</v>
      </c>
      <c r="R6233" s="2" t="inlineStr"/>
    </row>
    <row r="6234" ht="15" customHeight="1">
      <c r="A6234" t="inlineStr">
        <is>
          <t>A 18206-2023</t>
        </is>
      </c>
      <c r="B6234" s="1" t="n">
        <v>45041</v>
      </c>
      <c r="C6234" s="1" t="n">
        <v>45182</v>
      </c>
      <c r="D6234" t="inlineStr">
        <is>
          <t>JÄMTLANDS LÄN</t>
        </is>
      </c>
      <c r="E6234" t="inlineStr">
        <is>
          <t>BRÄCKE</t>
        </is>
      </c>
      <c r="G6234" t="n">
        <v>5.2</v>
      </c>
      <c r="H6234" t="n">
        <v>0</v>
      </c>
      <c r="I6234" t="n">
        <v>0</v>
      </c>
      <c r="J6234" t="n">
        <v>0</v>
      </c>
      <c r="K6234" t="n">
        <v>0</v>
      </c>
      <c r="L6234" t="n">
        <v>0</v>
      </c>
      <c r="M6234" t="n">
        <v>0</v>
      </c>
      <c r="N6234" t="n">
        <v>0</v>
      </c>
      <c r="O6234" t="n">
        <v>0</v>
      </c>
      <c r="P6234" t="n">
        <v>0</v>
      </c>
      <c r="Q6234" t="n">
        <v>0</v>
      </c>
      <c r="R6234" s="2" t="inlineStr"/>
    </row>
    <row r="6235" ht="15" customHeight="1">
      <c r="A6235" t="inlineStr">
        <is>
          <t>A 18659-2023</t>
        </is>
      </c>
      <c r="B6235" s="1" t="n">
        <v>45041</v>
      </c>
      <c r="C6235" s="1" t="n">
        <v>45182</v>
      </c>
      <c r="D6235" t="inlineStr">
        <is>
          <t>JÄMTLANDS LÄN</t>
        </is>
      </c>
      <c r="E6235" t="inlineStr">
        <is>
          <t>HÄRJEDALEN</t>
        </is>
      </c>
      <c r="G6235" t="n">
        <v>0.9</v>
      </c>
      <c r="H6235" t="n">
        <v>0</v>
      </c>
      <c r="I6235" t="n">
        <v>0</v>
      </c>
      <c r="J6235" t="n">
        <v>0</v>
      </c>
      <c r="K6235" t="n">
        <v>0</v>
      </c>
      <c r="L6235" t="n">
        <v>0</v>
      </c>
      <c r="M6235" t="n">
        <v>0</v>
      </c>
      <c r="N6235" t="n">
        <v>0</v>
      </c>
      <c r="O6235" t="n">
        <v>0</v>
      </c>
      <c r="P6235" t="n">
        <v>0</v>
      </c>
      <c r="Q6235" t="n">
        <v>0</v>
      </c>
      <c r="R6235" s="2" t="inlineStr"/>
    </row>
    <row r="6236" ht="15" customHeight="1">
      <c r="A6236" t="inlineStr">
        <is>
          <t>A 18374-2023</t>
        </is>
      </c>
      <c r="B6236" s="1" t="n">
        <v>45041</v>
      </c>
      <c r="C6236" s="1" t="n">
        <v>45182</v>
      </c>
      <c r="D6236" t="inlineStr">
        <is>
          <t>JÄMTLANDS LÄN</t>
        </is>
      </c>
      <c r="E6236" t="inlineStr">
        <is>
          <t>STRÖMSUND</t>
        </is>
      </c>
      <c r="F6236" t="inlineStr">
        <is>
          <t>SCA</t>
        </is>
      </c>
      <c r="G6236" t="n">
        <v>29.7</v>
      </c>
      <c r="H6236" t="n">
        <v>0</v>
      </c>
      <c r="I6236" t="n">
        <v>0</v>
      </c>
      <c r="J6236" t="n">
        <v>0</v>
      </c>
      <c r="K6236" t="n">
        <v>0</v>
      </c>
      <c r="L6236" t="n">
        <v>0</v>
      </c>
      <c r="M6236" t="n">
        <v>0</v>
      </c>
      <c r="N6236" t="n">
        <v>0</v>
      </c>
      <c r="O6236" t="n">
        <v>0</v>
      </c>
      <c r="P6236" t="n">
        <v>0</v>
      </c>
      <c r="Q6236" t="n">
        <v>0</v>
      </c>
      <c r="R6236" s="2" t="inlineStr"/>
    </row>
    <row r="6237" ht="15" customHeight="1">
      <c r="A6237" t="inlineStr">
        <is>
          <t>A 18620-2023</t>
        </is>
      </c>
      <c r="B6237" s="1" t="n">
        <v>45041</v>
      </c>
      <c r="C6237" s="1" t="n">
        <v>45182</v>
      </c>
      <c r="D6237" t="inlineStr">
        <is>
          <t>JÄMTLANDS LÄN</t>
        </is>
      </c>
      <c r="E6237" t="inlineStr">
        <is>
          <t>HÄRJEDALEN</t>
        </is>
      </c>
      <c r="G6237" t="n">
        <v>0.5</v>
      </c>
      <c r="H6237" t="n">
        <v>0</v>
      </c>
      <c r="I6237" t="n">
        <v>0</v>
      </c>
      <c r="J6237" t="n">
        <v>0</v>
      </c>
      <c r="K6237" t="n">
        <v>0</v>
      </c>
      <c r="L6237" t="n">
        <v>0</v>
      </c>
      <c r="M6237" t="n">
        <v>0</v>
      </c>
      <c r="N6237" t="n">
        <v>0</v>
      </c>
      <c r="O6237" t="n">
        <v>0</v>
      </c>
      <c r="P6237" t="n">
        <v>0</v>
      </c>
      <c r="Q6237" t="n">
        <v>0</v>
      </c>
      <c r="R6237" s="2" t="inlineStr"/>
    </row>
    <row r="6238" ht="15" customHeight="1">
      <c r="A6238" t="inlineStr">
        <is>
          <t>A 18264-2023</t>
        </is>
      </c>
      <c r="B6238" s="1" t="n">
        <v>45041</v>
      </c>
      <c r="C6238" s="1" t="n">
        <v>45182</v>
      </c>
      <c r="D6238" t="inlineStr">
        <is>
          <t>JÄMTLANDS LÄN</t>
        </is>
      </c>
      <c r="E6238" t="inlineStr">
        <is>
          <t>ÅRE</t>
        </is>
      </c>
      <c r="G6238" t="n">
        <v>0.2</v>
      </c>
      <c r="H6238" t="n">
        <v>0</v>
      </c>
      <c r="I6238" t="n">
        <v>0</v>
      </c>
      <c r="J6238" t="n">
        <v>0</v>
      </c>
      <c r="K6238" t="n">
        <v>0</v>
      </c>
      <c r="L6238" t="n">
        <v>0</v>
      </c>
      <c r="M6238" t="n">
        <v>0</v>
      </c>
      <c r="N6238" t="n">
        <v>0</v>
      </c>
      <c r="O6238" t="n">
        <v>0</v>
      </c>
      <c r="P6238" t="n">
        <v>0</v>
      </c>
      <c r="Q6238" t="n">
        <v>0</v>
      </c>
      <c r="R6238" s="2" t="inlineStr"/>
    </row>
    <row r="6239" ht="15" customHeight="1">
      <c r="A6239" t="inlineStr">
        <is>
          <t>A 18539-2023</t>
        </is>
      </c>
      <c r="B6239" s="1" t="n">
        <v>45041</v>
      </c>
      <c r="C6239" s="1" t="n">
        <v>45182</v>
      </c>
      <c r="D6239" t="inlineStr">
        <is>
          <t>JÄMTLANDS LÄN</t>
        </is>
      </c>
      <c r="E6239" t="inlineStr">
        <is>
          <t>KROKOM</t>
        </is>
      </c>
      <c r="G6239" t="n">
        <v>1.9</v>
      </c>
      <c r="H6239" t="n">
        <v>0</v>
      </c>
      <c r="I6239" t="n">
        <v>0</v>
      </c>
      <c r="J6239" t="n">
        <v>0</v>
      </c>
      <c r="K6239" t="n">
        <v>0</v>
      </c>
      <c r="L6239" t="n">
        <v>0</v>
      </c>
      <c r="M6239" t="n">
        <v>0</v>
      </c>
      <c r="N6239" t="n">
        <v>0</v>
      </c>
      <c r="O6239" t="n">
        <v>0</v>
      </c>
      <c r="P6239" t="n">
        <v>0</v>
      </c>
      <c r="Q6239" t="n">
        <v>0</v>
      </c>
      <c r="R6239" s="2" t="inlineStr"/>
    </row>
    <row r="6240" ht="15" customHeight="1">
      <c r="A6240" t="inlineStr">
        <is>
          <t>A 18646-2023</t>
        </is>
      </c>
      <c r="B6240" s="1" t="n">
        <v>45041</v>
      </c>
      <c r="C6240" s="1" t="n">
        <v>45182</v>
      </c>
      <c r="D6240" t="inlineStr">
        <is>
          <t>JÄMTLANDS LÄN</t>
        </is>
      </c>
      <c r="E6240" t="inlineStr">
        <is>
          <t>HÄRJEDALEN</t>
        </is>
      </c>
      <c r="G6240" t="n">
        <v>0.2</v>
      </c>
      <c r="H6240" t="n">
        <v>0</v>
      </c>
      <c r="I6240" t="n">
        <v>0</v>
      </c>
      <c r="J6240" t="n">
        <v>0</v>
      </c>
      <c r="K6240" t="n">
        <v>0</v>
      </c>
      <c r="L6240" t="n">
        <v>0</v>
      </c>
      <c r="M6240" t="n">
        <v>0</v>
      </c>
      <c r="N6240" t="n">
        <v>0</v>
      </c>
      <c r="O6240" t="n">
        <v>0</v>
      </c>
      <c r="P6240" t="n">
        <v>0</v>
      </c>
      <c r="Q6240" t="n">
        <v>0</v>
      </c>
      <c r="R6240" s="2" t="inlineStr"/>
    </row>
    <row r="6241" ht="15" customHeight="1">
      <c r="A6241" t="inlineStr">
        <is>
          <t>A 18698-2023</t>
        </is>
      </c>
      <c r="B6241" s="1" t="n">
        <v>45042</v>
      </c>
      <c r="C6241" s="1" t="n">
        <v>45182</v>
      </c>
      <c r="D6241" t="inlineStr">
        <is>
          <t>JÄMTLANDS LÄN</t>
        </is>
      </c>
      <c r="E6241" t="inlineStr">
        <is>
          <t>BRÄCKE</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18820-2023</t>
        </is>
      </c>
      <c r="B6242" s="1" t="n">
        <v>45042</v>
      </c>
      <c r="C6242" s="1" t="n">
        <v>45182</v>
      </c>
      <c r="D6242" t="inlineStr">
        <is>
          <t>JÄMTLANDS LÄN</t>
        </is>
      </c>
      <c r="E6242" t="inlineStr">
        <is>
          <t>RAGUNDA</t>
        </is>
      </c>
      <c r="G6242" t="n">
        <v>18.8</v>
      </c>
      <c r="H6242" t="n">
        <v>0</v>
      </c>
      <c r="I6242" t="n">
        <v>0</v>
      </c>
      <c r="J6242" t="n">
        <v>0</v>
      </c>
      <c r="K6242" t="n">
        <v>0</v>
      </c>
      <c r="L6242" t="n">
        <v>0</v>
      </c>
      <c r="M6242" t="n">
        <v>0</v>
      </c>
      <c r="N6242" t="n">
        <v>0</v>
      </c>
      <c r="O6242" t="n">
        <v>0</v>
      </c>
      <c r="P6242" t="n">
        <v>0</v>
      </c>
      <c r="Q6242" t="n">
        <v>0</v>
      </c>
      <c r="R6242" s="2" t="inlineStr"/>
    </row>
    <row r="6243" ht="15" customHeight="1">
      <c r="A6243" t="inlineStr">
        <is>
          <t>A 18872-2023</t>
        </is>
      </c>
      <c r="B6243" s="1" t="n">
        <v>45042</v>
      </c>
      <c r="C6243" s="1" t="n">
        <v>45182</v>
      </c>
      <c r="D6243" t="inlineStr">
        <is>
          <t>JÄMTLANDS LÄN</t>
        </is>
      </c>
      <c r="E6243" t="inlineStr">
        <is>
          <t>BERG</t>
        </is>
      </c>
      <c r="G6243" t="n">
        <v>13.2</v>
      </c>
      <c r="H6243" t="n">
        <v>0</v>
      </c>
      <c r="I6243" t="n">
        <v>0</v>
      </c>
      <c r="J6243" t="n">
        <v>0</v>
      </c>
      <c r="K6243" t="n">
        <v>0</v>
      </c>
      <c r="L6243" t="n">
        <v>0</v>
      </c>
      <c r="M6243" t="n">
        <v>0</v>
      </c>
      <c r="N6243" t="n">
        <v>0</v>
      </c>
      <c r="O6243" t="n">
        <v>0</v>
      </c>
      <c r="P6243" t="n">
        <v>0</v>
      </c>
      <c r="Q6243" t="n">
        <v>0</v>
      </c>
      <c r="R6243" s="2" t="inlineStr"/>
    </row>
    <row r="6244" ht="15" customHeight="1">
      <c r="A6244" t="inlineStr">
        <is>
          <t>A 18555-2023</t>
        </is>
      </c>
      <c r="B6244" s="1" t="n">
        <v>45042</v>
      </c>
      <c r="C6244" s="1" t="n">
        <v>45182</v>
      </c>
      <c r="D6244" t="inlineStr">
        <is>
          <t>JÄMTLANDS LÄN</t>
        </is>
      </c>
      <c r="E6244" t="inlineStr">
        <is>
          <t>BRÄCKE</t>
        </is>
      </c>
      <c r="F6244" t="inlineStr">
        <is>
          <t>SCA</t>
        </is>
      </c>
      <c r="G6244" t="n">
        <v>6.7</v>
      </c>
      <c r="H6244" t="n">
        <v>0</v>
      </c>
      <c r="I6244" t="n">
        <v>0</v>
      </c>
      <c r="J6244" t="n">
        <v>0</v>
      </c>
      <c r="K6244" t="n">
        <v>0</v>
      </c>
      <c r="L6244" t="n">
        <v>0</v>
      </c>
      <c r="M6244" t="n">
        <v>0</v>
      </c>
      <c r="N6244" t="n">
        <v>0</v>
      </c>
      <c r="O6244" t="n">
        <v>0</v>
      </c>
      <c r="P6244" t="n">
        <v>0</v>
      </c>
      <c r="Q6244" t="n">
        <v>0</v>
      </c>
      <c r="R6244" s="2" t="inlineStr"/>
    </row>
    <row r="6245" ht="15" customHeight="1">
      <c r="A6245" t="inlineStr">
        <is>
          <t>A 18553-2023</t>
        </is>
      </c>
      <c r="B6245" s="1" t="n">
        <v>45042</v>
      </c>
      <c r="C6245" s="1" t="n">
        <v>45182</v>
      </c>
      <c r="D6245" t="inlineStr">
        <is>
          <t>JÄMTLANDS LÄN</t>
        </is>
      </c>
      <c r="E6245" t="inlineStr">
        <is>
          <t>STRÖMSUND</t>
        </is>
      </c>
      <c r="F6245" t="inlineStr">
        <is>
          <t>SCA</t>
        </is>
      </c>
      <c r="G6245" t="n">
        <v>31</v>
      </c>
      <c r="H6245" t="n">
        <v>0</v>
      </c>
      <c r="I6245" t="n">
        <v>0</v>
      </c>
      <c r="J6245" t="n">
        <v>0</v>
      </c>
      <c r="K6245" t="n">
        <v>0</v>
      </c>
      <c r="L6245" t="n">
        <v>0</v>
      </c>
      <c r="M6245" t="n">
        <v>0</v>
      </c>
      <c r="N6245" t="n">
        <v>0</v>
      </c>
      <c r="O6245" t="n">
        <v>0</v>
      </c>
      <c r="P6245" t="n">
        <v>0</v>
      </c>
      <c r="Q6245" t="n">
        <v>0</v>
      </c>
      <c r="R6245" s="2" t="inlineStr"/>
    </row>
    <row r="6246" ht="15" customHeight="1">
      <c r="A6246" t="inlineStr">
        <is>
          <t>A 18826-2023</t>
        </is>
      </c>
      <c r="B6246" s="1" t="n">
        <v>45042</v>
      </c>
      <c r="C6246" s="1" t="n">
        <v>45182</v>
      </c>
      <c r="D6246" t="inlineStr">
        <is>
          <t>JÄMTLANDS LÄN</t>
        </is>
      </c>
      <c r="E6246" t="inlineStr">
        <is>
          <t>KROKOM</t>
        </is>
      </c>
      <c r="G6246" t="n">
        <v>17.1</v>
      </c>
      <c r="H6246" t="n">
        <v>0</v>
      </c>
      <c r="I6246" t="n">
        <v>0</v>
      </c>
      <c r="J6246" t="n">
        <v>0</v>
      </c>
      <c r="K6246" t="n">
        <v>0</v>
      </c>
      <c r="L6246" t="n">
        <v>0</v>
      </c>
      <c r="M6246" t="n">
        <v>0</v>
      </c>
      <c r="N6246" t="n">
        <v>0</v>
      </c>
      <c r="O6246" t="n">
        <v>0</v>
      </c>
      <c r="P6246" t="n">
        <v>0</v>
      </c>
      <c r="Q6246" t="n">
        <v>0</v>
      </c>
      <c r="R6246" s="2" t="inlineStr"/>
    </row>
    <row r="6247" ht="15" customHeight="1">
      <c r="A6247" t="inlineStr">
        <is>
          <t>A 18674-2023</t>
        </is>
      </c>
      <c r="B6247" s="1" t="n">
        <v>45043</v>
      </c>
      <c r="C6247" s="1" t="n">
        <v>45182</v>
      </c>
      <c r="D6247" t="inlineStr">
        <is>
          <t>JÄMTLANDS LÄN</t>
        </is>
      </c>
      <c r="E6247" t="inlineStr">
        <is>
          <t>BRÄCKE</t>
        </is>
      </c>
      <c r="G6247" t="n">
        <v>5.3</v>
      </c>
      <c r="H6247" t="n">
        <v>0</v>
      </c>
      <c r="I6247" t="n">
        <v>0</v>
      </c>
      <c r="J6247" t="n">
        <v>0</v>
      </c>
      <c r="K6247" t="n">
        <v>0</v>
      </c>
      <c r="L6247" t="n">
        <v>0</v>
      </c>
      <c r="M6247" t="n">
        <v>0</v>
      </c>
      <c r="N6247" t="n">
        <v>0</v>
      </c>
      <c r="O6247" t="n">
        <v>0</v>
      </c>
      <c r="P6247" t="n">
        <v>0</v>
      </c>
      <c r="Q6247" t="n">
        <v>0</v>
      </c>
      <c r="R6247" s="2" t="inlineStr"/>
    </row>
    <row r="6248" ht="15" customHeight="1">
      <c r="A6248" t="inlineStr">
        <is>
          <t>A 18768-2023</t>
        </is>
      </c>
      <c r="B6248" s="1" t="n">
        <v>45043</v>
      </c>
      <c r="C6248" s="1" t="n">
        <v>45182</v>
      </c>
      <c r="D6248" t="inlineStr">
        <is>
          <t>JÄMTLANDS LÄN</t>
        </is>
      </c>
      <c r="E6248" t="inlineStr">
        <is>
          <t>STRÖMSUND</t>
        </is>
      </c>
      <c r="F6248" t="inlineStr">
        <is>
          <t>SCA</t>
        </is>
      </c>
      <c r="G6248" t="n">
        <v>3.1</v>
      </c>
      <c r="H6248" t="n">
        <v>0</v>
      </c>
      <c r="I6248" t="n">
        <v>0</v>
      </c>
      <c r="J6248" t="n">
        <v>0</v>
      </c>
      <c r="K6248" t="n">
        <v>0</v>
      </c>
      <c r="L6248" t="n">
        <v>0</v>
      </c>
      <c r="M6248" t="n">
        <v>0</v>
      </c>
      <c r="N6248" t="n">
        <v>0</v>
      </c>
      <c r="O6248" t="n">
        <v>0</v>
      </c>
      <c r="P6248" t="n">
        <v>0</v>
      </c>
      <c r="Q6248" t="n">
        <v>0</v>
      </c>
      <c r="R6248" s="2" t="inlineStr"/>
    </row>
    <row r="6249" ht="15" customHeight="1">
      <c r="A6249" t="inlineStr">
        <is>
          <t>A 18853-2023</t>
        </is>
      </c>
      <c r="B6249" s="1" t="n">
        <v>45043</v>
      </c>
      <c r="C6249" s="1" t="n">
        <v>45182</v>
      </c>
      <c r="D6249" t="inlineStr">
        <is>
          <t>JÄMTLANDS LÄN</t>
        </is>
      </c>
      <c r="E6249" t="inlineStr">
        <is>
          <t>STRÖMSUND</t>
        </is>
      </c>
      <c r="G6249" t="n">
        <v>11.9</v>
      </c>
      <c r="H6249" t="n">
        <v>0</v>
      </c>
      <c r="I6249" t="n">
        <v>0</v>
      </c>
      <c r="J6249" t="n">
        <v>0</v>
      </c>
      <c r="K6249" t="n">
        <v>0</v>
      </c>
      <c r="L6249" t="n">
        <v>0</v>
      </c>
      <c r="M6249" t="n">
        <v>0</v>
      </c>
      <c r="N6249" t="n">
        <v>0</v>
      </c>
      <c r="O6249" t="n">
        <v>0</v>
      </c>
      <c r="P6249" t="n">
        <v>0</v>
      </c>
      <c r="Q6249" t="n">
        <v>0</v>
      </c>
      <c r="R6249" s="2" t="inlineStr"/>
    </row>
    <row r="6250" ht="15" customHeight="1">
      <c r="A6250" t="inlineStr">
        <is>
          <t>A 18783-2023</t>
        </is>
      </c>
      <c r="B6250" s="1" t="n">
        <v>45043</v>
      </c>
      <c r="C6250" s="1" t="n">
        <v>45182</v>
      </c>
      <c r="D6250" t="inlineStr">
        <is>
          <t>JÄMTLANDS LÄN</t>
        </is>
      </c>
      <c r="E6250" t="inlineStr">
        <is>
          <t>STRÖMSUND</t>
        </is>
      </c>
      <c r="F6250" t="inlineStr">
        <is>
          <t>SCA</t>
        </is>
      </c>
      <c r="G6250" t="n">
        <v>12.9</v>
      </c>
      <c r="H6250" t="n">
        <v>0</v>
      </c>
      <c r="I6250" t="n">
        <v>0</v>
      </c>
      <c r="J6250" t="n">
        <v>0</v>
      </c>
      <c r="K6250" t="n">
        <v>0</v>
      </c>
      <c r="L6250" t="n">
        <v>0</v>
      </c>
      <c r="M6250" t="n">
        <v>0</v>
      </c>
      <c r="N6250" t="n">
        <v>0</v>
      </c>
      <c r="O6250" t="n">
        <v>0</v>
      </c>
      <c r="P6250" t="n">
        <v>0</v>
      </c>
      <c r="Q6250" t="n">
        <v>0</v>
      </c>
      <c r="R6250" s="2" t="inlineStr"/>
    </row>
    <row r="6251" ht="15" customHeight="1">
      <c r="A6251" t="inlineStr">
        <is>
          <t>A 18613-2023</t>
        </is>
      </c>
      <c r="B6251" s="1" t="n">
        <v>45043</v>
      </c>
      <c r="C6251" s="1" t="n">
        <v>45182</v>
      </c>
      <c r="D6251" t="inlineStr">
        <is>
          <t>JÄMTLANDS LÄN</t>
        </is>
      </c>
      <c r="E6251" t="inlineStr">
        <is>
          <t>HÄRJEDALEN</t>
        </is>
      </c>
      <c r="G6251" t="n">
        <v>48.4</v>
      </c>
      <c r="H6251" t="n">
        <v>0</v>
      </c>
      <c r="I6251" t="n">
        <v>0</v>
      </c>
      <c r="J6251" t="n">
        <v>0</v>
      </c>
      <c r="K6251" t="n">
        <v>0</v>
      </c>
      <c r="L6251" t="n">
        <v>0</v>
      </c>
      <c r="M6251" t="n">
        <v>0</v>
      </c>
      <c r="N6251" t="n">
        <v>0</v>
      </c>
      <c r="O6251" t="n">
        <v>0</v>
      </c>
      <c r="P6251" t="n">
        <v>0</v>
      </c>
      <c r="Q6251" t="n">
        <v>0</v>
      </c>
      <c r="R6251" s="2" t="inlineStr"/>
    </row>
    <row r="6252" ht="15" customHeight="1">
      <c r="A6252" t="inlineStr">
        <is>
          <t>A 18993-2023</t>
        </is>
      </c>
      <c r="B6252" s="1" t="n">
        <v>45044</v>
      </c>
      <c r="C6252" s="1" t="n">
        <v>45182</v>
      </c>
      <c r="D6252" t="inlineStr">
        <is>
          <t>JÄMTLANDS LÄN</t>
        </is>
      </c>
      <c r="E6252" t="inlineStr">
        <is>
          <t>STRÖMSUND</t>
        </is>
      </c>
      <c r="F6252" t="inlineStr">
        <is>
          <t>SCA</t>
        </is>
      </c>
      <c r="G6252" t="n">
        <v>7.5</v>
      </c>
      <c r="H6252" t="n">
        <v>0</v>
      </c>
      <c r="I6252" t="n">
        <v>0</v>
      </c>
      <c r="J6252" t="n">
        <v>0</v>
      </c>
      <c r="K6252" t="n">
        <v>0</v>
      </c>
      <c r="L6252" t="n">
        <v>0</v>
      </c>
      <c r="M6252" t="n">
        <v>0</v>
      </c>
      <c r="N6252" t="n">
        <v>0</v>
      </c>
      <c r="O6252" t="n">
        <v>0</v>
      </c>
      <c r="P6252" t="n">
        <v>0</v>
      </c>
      <c r="Q6252" t="n">
        <v>0</v>
      </c>
      <c r="R6252" s="2" t="inlineStr"/>
    </row>
    <row r="6253" ht="15" customHeight="1">
      <c r="A6253" t="inlineStr">
        <is>
          <t>A 18992-2023</t>
        </is>
      </c>
      <c r="B6253" s="1" t="n">
        <v>45044</v>
      </c>
      <c r="C6253" s="1" t="n">
        <v>45182</v>
      </c>
      <c r="D6253" t="inlineStr">
        <is>
          <t>JÄMTLANDS LÄN</t>
        </is>
      </c>
      <c r="E6253" t="inlineStr">
        <is>
          <t>STRÖMSUND</t>
        </is>
      </c>
      <c r="F6253" t="inlineStr">
        <is>
          <t>SCA</t>
        </is>
      </c>
      <c r="G6253" t="n">
        <v>25.7</v>
      </c>
      <c r="H6253" t="n">
        <v>0</v>
      </c>
      <c r="I6253" t="n">
        <v>0</v>
      </c>
      <c r="J6253" t="n">
        <v>0</v>
      </c>
      <c r="K6253" t="n">
        <v>0</v>
      </c>
      <c r="L6253" t="n">
        <v>0</v>
      </c>
      <c r="M6253" t="n">
        <v>0</v>
      </c>
      <c r="N6253" t="n">
        <v>0</v>
      </c>
      <c r="O6253" t="n">
        <v>0</v>
      </c>
      <c r="P6253" t="n">
        <v>0</v>
      </c>
      <c r="Q6253" t="n">
        <v>0</v>
      </c>
      <c r="R6253" s="2" t="inlineStr"/>
    </row>
    <row r="6254" ht="15" customHeight="1">
      <c r="A6254" t="inlineStr">
        <is>
          <t>A 18875-2023</t>
        </is>
      </c>
      <c r="B6254" s="1" t="n">
        <v>45044</v>
      </c>
      <c r="C6254" s="1" t="n">
        <v>45182</v>
      </c>
      <c r="D6254" t="inlineStr">
        <is>
          <t>JÄMTLANDS LÄN</t>
        </is>
      </c>
      <c r="E6254" t="inlineStr">
        <is>
          <t>HÄRJEDALEN</t>
        </is>
      </c>
      <c r="F6254" t="inlineStr">
        <is>
          <t>Kyrkan</t>
        </is>
      </c>
      <c r="G6254" t="n">
        <v>1.4</v>
      </c>
      <c r="H6254" t="n">
        <v>0</v>
      </c>
      <c r="I6254" t="n">
        <v>0</v>
      </c>
      <c r="J6254" t="n">
        <v>0</v>
      </c>
      <c r="K6254" t="n">
        <v>0</v>
      </c>
      <c r="L6254" t="n">
        <v>0</v>
      </c>
      <c r="M6254" t="n">
        <v>0</v>
      </c>
      <c r="N6254" t="n">
        <v>0</v>
      </c>
      <c r="O6254" t="n">
        <v>0</v>
      </c>
      <c r="P6254" t="n">
        <v>0</v>
      </c>
      <c r="Q6254" t="n">
        <v>0</v>
      </c>
      <c r="R6254" s="2" t="inlineStr"/>
    </row>
    <row r="6255" ht="15" customHeight="1">
      <c r="A6255" t="inlineStr">
        <is>
          <t>A 18984-2023</t>
        </is>
      </c>
      <c r="B6255" s="1" t="n">
        <v>45044</v>
      </c>
      <c r="C6255" s="1" t="n">
        <v>45182</v>
      </c>
      <c r="D6255" t="inlineStr">
        <is>
          <t>JÄMTLANDS LÄN</t>
        </is>
      </c>
      <c r="E6255" t="inlineStr">
        <is>
          <t>RAGUNDA</t>
        </is>
      </c>
      <c r="F6255" t="inlineStr">
        <is>
          <t>SCA</t>
        </is>
      </c>
      <c r="G6255" t="n">
        <v>1.3</v>
      </c>
      <c r="H6255" t="n">
        <v>0</v>
      </c>
      <c r="I6255" t="n">
        <v>0</v>
      </c>
      <c r="J6255" t="n">
        <v>0</v>
      </c>
      <c r="K6255" t="n">
        <v>0</v>
      </c>
      <c r="L6255" t="n">
        <v>0</v>
      </c>
      <c r="M6255" t="n">
        <v>0</v>
      </c>
      <c r="N6255" t="n">
        <v>0</v>
      </c>
      <c r="O6255" t="n">
        <v>0</v>
      </c>
      <c r="P6255" t="n">
        <v>0</v>
      </c>
      <c r="Q6255" t="n">
        <v>0</v>
      </c>
      <c r="R6255" s="2" t="inlineStr"/>
    </row>
    <row r="6256" ht="15" customHeight="1">
      <c r="A6256" t="inlineStr">
        <is>
          <t>A 18997-2023</t>
        </is>
      </c>
      <c r="B6256" s="1" t="n">
        <v>45044</v>
      </c>
      <c r="C6256" s="1" t="n">
        <v>45182</v>
      </c>
      <c r="D6256" t="inlineStr">
        <is>
          <t>JÄMTLANDS LÄN</t>
        </is>
      </c>
      <c r="E6256" t="inlineStr">
        <is>
          <t>STRÖMSUND</t>
        </is>
      </c>
      <c r="F6256" t="inlineStr">
        <is>
          <t>SCA</t>
        </is>
      </c>
      <c r="G6256" t="n">
        <v>2.5</v>
      </c>
      <c r="H6256" t="n">
        <v>0</v>
      </c>
      <c r="I6256" t="n">
        <v>0</v>
      </c>
      <c r="J6256" t="n">
        <v>0</v>
      </c>
      <c r="K6256" t="n">
        <v>0</v>
      </c>
      <c r="L6256" t="n">
        <v>0</v>
      </c>
      <c r="M6256" t="n">
        <v>0</v>
      </c>
      <c r="N6256" t="n">
        <v>0</v>
      </c>
      <c r="O6256" t="n">
        <v>0</v>
      </c>
      <c r="P6256" t="n">
        <v>0</v>
      </c>
      <c r="Q6256" t="n">
        <v>0</v>
      </c>
      <c r="R6256" s="2" t="inlineStr"/>
    </row>
    <row r="6257" ht="15" customHeight="1">
      <c r="A6257" t="inlineStr">
        <is>
          <t>A 19026-2023</t>
        </is>
      </c>
      <c r="B6257" s="1" t="n">
        <v>45047</v>
      </c>
      <c r="C6257" s="1" t="n">
        <v>45182</v>
      </c>
      <c r="D6257" t="inlineStr">
        <is>
          <t>JÄMTLANDS LÄN</t>
        </is>
      </c>
      <c r="E6257" t="inlineStr">
        <is>
          <t>STRÖMSUND</t>
        </is>
      </c>
      <c r="G6257" t="n">
        <v>15.1</v>
      </c>
      <c r="H6257" t="n">
        <v>0</v>
      </c>
      <c r="I6257" t="n">
        <v>0</v>
      </c>
      <c r="J6257" t="n">
        <v>0</v>
      </c>
      <c r="K6257" t="n">
        <v>0</v>
      </c>
      <c r="L6257" t="n">
        <v>0</v>
      </c>
      <c r="M6257" t="n">
        <v>0</v>
      </c>
      <c r="N6257" t="n">
        <v>0</v>
      </c>
      <c r="O6257" t="n">
        <v>0</v>
      </c>
      <c r="P6257" t="n">
        <v>0</v>
      </c>
      <c r="Q6257" t="n">
        <v>0</v>
      </c>
      <c r="R6257" s="2" t="inlineStr"/>
    </row>
    <row r="6258" ht="15" customHeight="1">
      <c r="A6258" t="inlineStr">
        <is>
          <t>A 19029-2023</t>
        </is>
      </c>
      <c r="B6258" s="1" t="n">
        <v>45047</v>
      </c>
      <c r="C6258" s="1" t="n">
        <v>45182</v>
      </c>
      <c r="D6258" t="inlineStr">
        <is>
          <t>JÄMTLANDS LÄN</t>
        </is>
      </c>
      <c r="E6258" t="inlineStr">
        <is>
          <t>STRÖMSUND</t>
        </is>
      </c>
      <c r="G6258" t="n">
        <v>0.6</v>
      </c>
      <c r="H6258" t="n">
        <v>0</v>
      </c>
      <c r="I6258" t="n">
        <v>0</v>
      </c>
      <c r="J6258" t="n">
        <v>0</v>
      </c>
      <c r="K6258" t="n">
        <v>0</v>
      </c>
      <c r="L6258" t="n">
        <v>0</v>
      </c>
      <c r="M6258" t="n">
        <v>0</v>
      </c>
      <c r="N6258" t="n">
        <v>0</v>
      </c>
      <c r="O6258" t="n">
        <v>0</v>
      </c>
      <c r="P6258" t="n">
        <v>0</v>
      </c>
      <c r="Q6258" t="n">
        <v>0</v>
      </c>
      <c r="R6258" s="2" t="inlineStr"/>
    </row>
    <row r="6259" ht="15" customHeight="1">
      <c r="A6259" t="inlineStr">
        <is>
          <t>A 19027-2023</t>
        </is>
      </c>
      <c r="B6259" s="1" t="n">
        <v>45047</v>
      </c>
      <c r="C6259" s="1" t="n">
        <v>45182</v>
      </c>
      <c r="D6259" t="inlineStr">
        <is>
          <t>JÄMTLANDS LÄN</t>
        </is>
      </c>
      <c r="E6259" t="inlineStr">
        <is>
          <t>STRÖMSUND</t>
        </is>
      </c>
      <c r="G6259" t="n">
        <v>4.1</v>
      </c>
      <c r="H6259" t="n">
        <v>0</v>
      </c>
      <c r="I6259" t="n">
        <v>0</v>
      </c>
      <c r="J6259" t="n">
        <v>0</v>
      </c>
      <c r="K6259" t="n">
        <v>0</v>
      </c>
      <c r="L6259" t="n">
        <v>0</v>
      </c>
      <c r="M6259" t="n">
        <v>0</v>
      </c>
      <c r="N6259" t="n">
        <v>0</v>
      </c>
      <c r="O6259" t="n">
        <v>0</v>
      </c>
      <c r="P6259" t="n">
        <v>0</v>
      </c>
      <c r="Q6259" t="n">
        <v>0</v>
      </c>
      <c r="R6259" s="2" t="inlineStr"/>
    </row>
    <row r="6260" ht="15" customHeight="1">
      <c r="A6260" t="inlineStr">
        <is>
          <t>A 19245-2023</t>
        </is>
      </c>
      <c r="B6260" s="1" t="n">
        <v>45048</v>
      </c>
      <c r="C6260" s="1" t="n">
        <v>45182</v>
      </c>
      <c r="D6260" t="inlineStr">
        <is>
          <t>JÄMTLANDS LÄN</t>
        </is>
      </c>
      <c r="E6260" t="inlineStr">
        <is>
          <t>KROKOM</t>
        </is>
      </c>
      <c r="F6260" t="inlineStr">
        <is>
          <t>SCA</t>
        </is>
      </c>
      <c r="G6260" t="n">
        <v>2.3</v>
      </c>
      <c r="H6260" t="n">
        <v>0</v>
      </c>
      <c r="I6260" t="n">
        <v>0</v>
      </c>
      <c r="J6260" t="n">
        <v>0</v>
      </c>
      <c r="K6260" t="n">
        <v>0</v>
      </c>
      <c r="L6260" t="n">
        <v>0</v>
      </c>
      <c r="M6260" t="n">
        <v>0</v>
      </c>
      <c r="N6260" t="n">
        <v>0</v>
      </c>
      <c r="O6260" t="n">
        <v>0</v>
      </c>
      <c r="P6260" t="n">
        <v>0</v>
      </c>
      <c r="Q6260" t="n">
        <v>0</v>
      </c>
      <c r="R6260" s="2" t="inlineStr"/>
    </row>
    <row r="6261" ht="15" customHeight="1">
      <c r="A6261" t="inlineStr">
        <is>
          <t>A 19325-2023</t>
        </is>
      </c>
      <c r="B6261" s="1" t="n">
        <v>45048</v>
      </c>
      <c r="C6261" s="1" t="n">
        <v>45182</v>
      </c>
      <c r="D6261" t="inlineStr">
        <is>
          <t>JÄMTLANDS LÄN</t>
        </is>
      </c>
      <c r="E6261" t="inlineStr">
        <is>
          <t>BERG</t>
        </is>
      </c>
      <c r="G6261" t="n">
        <v>2.9</v>
      </c>
      <c r="H6261" t="n">
        <v>0</v>
      </c>
      <c r="I6261" t="n">
        <v>0</v>
      </c>
      <c r="J6261" t="n">
        <v>0</v>
      </c>
      <c r="K6261" t="n">
        <v>0</v>
      </c>
      <c r="L6261" t="n">
        <v>0</v>
      </c>
      <c r="M6261" t="n">
        <v>0</v>
      </c>
      <c r="N6261" t="n">
        <v>0</v>
      </c>
      <c r="O6261" t="n">
        <v>0</v>
      </c>
      <c r="P6261" t="n">
        <v>0</v>
      </c>
      <c r="Q6261" t="n">
        <v>0</v>
      </c>
      <c r="R6261" s="2" t="inlineStr"/>
    </row>
    <row r="6262" ht="15" customHeight="1">
      <c r="A6262" t="inlineStr">
        <is>
          <t>A 19238-2023</t>
        </is>
      </c>
      <c r="B6262" s="1" t="n">
        <v>45048</v>
      </c>
      <c r="C6262" s="1" t="n">
        <v>45182</v>
      </c>
      <c r="D6262" t="inlineStr">
        <is>
          <t>JÄMTLANDS LÄN</t>
        </is>
      </c>
      <c r="E6262" t="inlineStr">
        <is>
          <t>RAGUNDA</t>
        </is>
      </c>
      <c r="F6262" t="inlineStr">
        <is>
          <t>SCA</t>
        </is>
      </c>
      <c r="G6262" t="n">
        <v>8.699999999999999</v>
      </c>
      <c r="H6262" t="n">
        <v>0</v>
      </c>
      <c r="I6262" t="n">
        <v>0</v>
      </c>
      <c r="J6262" t="n">
        <v>0</v>
      </c>
      <c r="K6262" t="n">
        <v>0</v>
      </c>
      <c r="L6262" t="n">
        <v>0</v>
      </c>
      <c r="M6262" t="n">
        <v>0</v>
      </c>
      <c r="N6262" t="n">
        <v>0</v>
      </c>
      <c r="O6262" t="n">
        <v>0</v>
      </c>
      <c r="P6262" t="n">
        <v>0</v>
      </c>
      <c r="Q6262" t="n">
        <v>0</v>
      </c>
      <c r="R6262" s="2" t="inlineStr"/>
    </row>
    <row r="6263" ht="15" customHeight="1">
      <c r="A6263" t="inlineStr">
        <is>
          <t>A 19242-2023</t>
        </is>
      </c>
      <c r="B6263" s="1" t="n">
        <v>45048</v>
      </c>
      <c r="C6263" s="1" t="n">
        <v>45182</v>
      </c>
      <c r="D6263" t="inlineStr">
        <is>
          <t>JÄMTLANDS LÄN</t>
        </is>
      </c>
      <c r="E6263" t="inlineStr">
        <is>
          <t>RAGUNDA</t>
        </is>
      </c>
      <c r="F6263" t="inlineStr">
        <is>
          <t>SCA</t>
        </is>
      </c>
      <c r="G6263" t="n">
        <v>2</v>
      </c>
      <c r="H6263" t="n">
        <v>0</v>
      </c>
      <c r="I6263" t="n">
        <v>0</v>
      </c>
      <c r="J6263" t="n">
        <v>0</v>
      </c>
      <c r="K6263" t="n">
        <v>0</v>
      </c>
      <c r="L6263" t="n">
        <v>0</v>
      </c>
      <c r="M6263" t="n">
        <v>0</v>
      </c>
      <c r="N6263" t="n">
        <v>0</v>
      </c>
      <c r="O6263" t="n">
        <v>0</v>
      </c>
      <c r="P6263" t="n">
        <v>0</v>
      </c>
      <c r="Q6263" t="n">
        <v>0</v>
      </c>
      <c r="R6263" s="2" t="inlineStr"/>
    </row>
    <row r="6264" ht="15" customHeight="1">
      <c r="A6264" t="inlineStr">
        <is>
          <t>A 19247-2023</t>
        </is>
      </c>
      <c r="B6264" s="1" t="n">
        <v>45048</v>
      </c>
      <c r="C6264" s="1" t="n">
        <v>45182</v>
      </c>
      <c r="D6264" t="inlineStr">
        <is>
          <t>JÄMTLANDS LÄN</t>
        </is>
      </c>
      <c r="E6264" t="inlineStr">
        <is>
          <t>KROKOM</t>
        </is>
      </c>
      <c r="F6264" t="inlineStr">
        <is>
          <t>SCA</t>
        </is>
      </c>
      <c r="G6264" t="n">
        <v>13.4</v>
      </c>
      <c r="H6264" t="n">
        <v>0</v>
      </c>
      <c r="I6264" t="n">
        <v>0</v>
      </c>
      <c r="J6264" t="n">
        <v>0</v>
      </c>
      <c r="K6264" t="n">
        <v>0</v>
      </c>
      <c r="L6264" t="n">
        <v>0</v>
      </c>
      <c r="M6264" t="n">
        <v>0</v>
      </c>
      <c r="N6264" t="n">
        <v>0</v>
      </c>
      <c r="O6264" t="n">
        <v>0</v>
      </c>
      <c r="P6264" t="n">
        <v>0</v>
      </c>
      <c r="Q6264" t="n">
        <v>0</v>
      </c>
      <c r="R6264" s="2" t="inlineStr"/>
    </row>
    <row r="6265" ht="15" customHeight="1">
      <c r="A6265" t="inlineStr">
        <is>
          <t>A 19315-2023</t>
        </is>
      </c>
      <c r="B6265" s="1" t="n">
        <v>45048</v>
      </c>
      <c r="C6265" s="1" t="n">
        <v>45182</v>
      </c>
      <c r="D6265" t="inlineStr">
        <is>
          <t>JÄMTLANDS LÄN</t>
        </is>
      </c>
      <c r="E6265" t="inlineStr">
        <is>
          <t>BERG</t>
        </is>
      </c>
      <c r="G6265" t="n">
        <v>16.4</v>
      </c>
      <c r="H6265" t="n">
        <v>0</v>
      </c>
      <c r="I6265" t="n">
        <v>0</v>
      </c>
      <c r="J6265" t="n">
        <v>0</v>
      </c>
      <c r="K6265" t="n">
        <v>0</v>
      </c>
      <c r="L6265" t="n">
        <v>0</v>
      </c>
      <c r="M6265" t="n">
        <v>0</v>
      </c>
      <c r="N6265" t="n">
        <v>0</v>
      </c>
      <c r="O6265" t="n">
        <v>0</v>
      </c>
      <c r="P6265" t="n">
        <v>0</v>
      </c>
      <c r="Q6265" t="n">
        <v>0</v>
      </c>
      <c r="R6265" s="2" t="inlineStr"/>
    </row>
    <row r="6266" ht="15" customHeight="1">
      <c r="A6266" t="inlineStr">
        <is>
          <t>A 19239-2023</t>
        </is>
      </c>
      <c r="B6266" s="1" t="n">
        <v>45048</v>
      </c>
      <c r="C6266" s="1" t="n">
        <v>45182</v>
      </c>
      <c r="D6266" t="inlineStr">
        <is>
          <t>JÄMTLANDS LÄN</t>
        </is>
      </c>
      <c r="E6266" t="inlineStr">
        <is>
          <t>STRÖMSUND</t>
        </is>
      </c>
      <c r="F6266" t="inlineStr">
        <is>
          <t>SCA</t>
        </is>
      </c>
      <c r="G6266" t="n">
        <v>3.6</v>
      </c>
      <c r="H6266" t="n">
        <v>0</v>
      </c>
      <c r="I6266" t="n">
        <v>0</v>
      </c>
      <c r="J6266" t="n">
        <v>0</v>
      </c>
      <c r="K6266" t="n">
        <v>0</v>
      </c>
      <c r="L6266" t="n">
        <v>0</v>
      </c>
      <c r="M6266" t="n">
        <v>0</v>
      </c>
      <c r="N6266" t="n">
        <v>0</v>
      </c>
      <c r="O6266" t="n">
        <v>0</v>
      </c>
      <c r="P6266" t="n">
        <v>0</v>
      </c>
      <c r="Q6266" t="n">
        <v>0</v>
      </c>
      <c r="R6266" s="2" t="inlineStr"/>
    </row>
    <row r="6267" ht="15" customHeight="1">
      <c r="A6267" t="inlineStr">
        <is>
          <t>A 19261-2023</t>
        </is>
      </c>
      <c r="B6267" s="1" t="n">
        <v>45048</v>
      </c>
      <c r="C6267" s="1" t="n">
        <v>45182</v>
      </c>
      <c r="D6267" t="inlineStr">
        <is>
          <t>JÄMTLANDS LÄN</t>
        </is>
      </c>
      <c r="E6267" t="inlineStr">
        <is>
          <t>STRÖMSUND</t>
        </is>
      </c>
      <c r="G6267" t="n">
        <v>17.2</v>
      </c>
      <c r="H6267" t="n">
        <v>0</v>
      </c>
      <c r="I6267" t="n">
        <v>0</v>
      </c>
      <c r="J6267" t="n">
        <v>0</v>
      </c>
      <c r="K6267" t="n">
        <v>0</v>
      </c>
      <c r="L6267" t="n">
        <v>0</v>
      </c>
      <c r="M6267" t="n">
        <v>0</v>
      </c>
      <c r="N6267" t="n">
        <v>0</v>
      </c>
      <c r="O6267" t="n">
        <v>0</v>
      </c>
      <c r="P6267" t="n">
        <v>0</v>
      </c>
      <c r="Q6267" t="n">
        <v>0</v>
      </c>
      <c r="R6267" s="2" t="inlineStr"/>
    </row>
    <row r="6268" ht="15" customHeight="1">
      <c r="A6268" t="inlineStr">
        <is>
          <t>A 19348-2023</t>
        </is>
      </c>
      <c r="B6268" s="1" t="n">
        <v>45049</v>
      </c>
      <c r="C6268" s="1" t="n">
        <v>45182</v>
      </c>
      <c r="D6268" t="inlineStr">
        <is>
          <t>JÄMTLANDS LÄN</t>
        </is>
      </c>
      <c r="E6268" t="inlineStr">
        <is>
          <t>KROKOM</t>
        </is>
      </c>
      <c r="G6268" t="n">
        <v>11.6</v>
      </c>
      <c r="H6268" t="n">
        <v>0</v>
      </c>
      <c r="I6268" t="n">
        <v>0</v>
      </c>
      <c r="J6268" t="n">
        <v>0</v>
      </c>
      <c r="K6268" t="n">
        <v>0</v>
      </c>
      <c r="L6268" t="n">
        <v>0</v>
      </c>
      <c r="M6268" t="n">
        <v>0</v>
      </c>
      <c r="N6268" t="n">
        <v>0</v>
      </c>
      <c r="O6268" t="n">
        <v>0</v>
      </c>
      <c r="P6268" t="n">
        <v>0</v>
      </c>
      <c r="Q6268" t="n">
        <v>0</v>
      </c>
      <c r="R6268" s="2" t="inlineStr"/>
    </row>
    <row r="6269" ht="15" customHeight="1">
      <c r="A6269" t="inlineStr">
        <is>
          <t>A 19465-2023</t>
        </is>
      </c>
      <c r="B6269" s="1" t="n">
        <v>45049</v>
      </c>
      <c r="C6269" s="1" t="n">
        <v>45182</v>
      </c>
      <c r="D6269" t="inlineStr">
        <is>
          <t>JÄMTLANDS LÄN</t>
        </is>
      </c>
      <c r="E6269" t="inlineStr">
        <is>
          <t>BRÄCKE</t>
        </is>
      </c>
      <c r="G6269" t="n">
        <v>3.9</v>
      </c>
      <c r="H6269" t="n">
        <v>0</v>
      </c>
      <c r="I6269" t="n">
        <v>0</v>
      </c>
      <c r="J6269" t="n">
        <v>0</v>
      </c>
      <c r="K6269" t="n">
        <v>0</v>
      </c>
      <c r="L6269" t="n">
        <v>0</v>
      </c>
      <c r="M6269" t="n">
        <v>0</v>
      </c>
      <c r="N6269" t="n">
        <v>0</v>
      </c>
      <c r="O6269" t="n">
        <v>0</v>
      </c>
      <c r="P6269" t="n">
        <v>0</v>
      </c>
      <c r="Q6269" t="n">
        <v>0</v>
      </c>
      <c r="R6269" s="2" t="inlineStr"/>
    </row>
    <row r="6270" ht="15" customHeight="1">
      <c r="A6270" t="inlineStr">
        <is>
          <t>A 19485-2023</t>
        </is>
      </c>
      <c r="B6270" s="1" t="n">
        <v>45049</v>
      </c>
      <c r="C6270" s="1" t="n">
        <v>45182</v>
      </c>
      <c r="D6270" t="inlineStr">
        <is>
          <t>JÄMTLANDS LÄN</t>
        </is>
      </c>
      <c r="E6270" t="inlineStr">
        <is>
          <t>BRÄCKE</t>
        </is>
      </c>
      <c r="G6270" t="n">
        <v>2.6</v>
      </c>
      <c r="H6270" t="n">
        <v>0</v>
      </c>
      <c r="I6270" t="n">
        <v>0</v>
      </c>
      <c r="J6270" t="n">
        <v>0</v>
      </c>
      <c r="K6270" t="n">
        <v>0</v>
      </c>
      <c r="L6270" t="n">
        <v>0</v>
      </c>
      <c r="M6270" t="n">
        <v>0</v>
      </c>
      <c r="N6270" t="n">
        <v>0</v>
      </c>
      <c r="O6270" t="n">
        <v>0</v>
      </c>
      <c r="P6270" t="n">
        <v>0</v>
      </c>
      <c r="Q6270" t="n">
        <v>0</v>
      </c>
      <c r="R6270" s="2" t="inlineStr"/>
    </row>
    <row r="6271" ht="15" customHeight="1">
      <c r="A6271" t="inlineStr">
        <is>
          <t>A 19573-2023</t>
        </is>
      </c>
      <c r="B6271" s="1" t="n">
        <v>45049</v>
      </c>
      <c r="C6271" s="1" t="n">
        <v>45182</v>
      </c>
      <c r="D6271" t="inlineStr">
        <is>
          <t>JÄMTLANDS LÄN</t>
        </is>
      </c>
      <c r="E6271" t="inlineStr">
        <is>
          <t>ÖSTERSUND</t>
        </is>
      </c>
      <c r="G6271" t="n">
        <v>4.6</v>
      </c>
      <c r="H6271" t="n">
        <v>0</v>
      </c>
      <c r="I6271" t="n">
        <v>0</v>
      </c>
      <c r="J6271" t="n">
        <v>0</v>
      </c>
      <c r="K6271" t="n">
        <v>0</v>
      </c>
      <c r="L6271" t="n">
        <v>0</v>
      </c>
      <c r="M6271" t="n">
        <v>0</v>
      </c>
      <c r="N6271" t="n">
        <v>0</v>
      </c>
      <c r="O6271" t="n">
        <v>0</v>
      </c>
      <c r="P6271" t="n">
        <v>0</v>
      </c>
      <c r="Q6271" t="n">
        <v>0</v>
      </c>
      <c r="R6271" s="2" t="inlineStr"/>
    </row>
    <row r="6272" ht="15" customHeight="1">
      <c r="A6272" t="inlineStr">
        <is>
          <t>A 19486-2023</t>
        </is>
      </c>
      <c r="B6272" s="1" t="n">
        <v>45049</v>
      </c>
      <c r="C6272" s="1" t="n">
        <v>45182</v>
      </c>
      <c r="D6272" t="inlineStr">
        <is>
          <t>JÄMTLANDS LÄN</t>
        </is>
      </c>
      <c r="E6272" t="inlineStr">
        <is>
          <t>BRÄCKE</t>
        </is>
      </c>
      <c r="G6272" t="n">
        <v>2.4</v>
      </c>
      <c r="H6272" t="n">
        <v>0</v>
      </c>
      <c r="I6272" t="n">
        <v>0</v>
      </c>
      <c r="J6272" t="n">
        <v>0</v>
      </c>
      <c r="K6272" t="n">
        <v>0</v>
      </c>
      <c r="L6272" t="n">
        <v>0</v>
      </c>
      <c r="M6272" t="n">
        <v>0</v>
      </c>
      <c r="N6272" t="n">
        <v>0</v>
      </c>
      <c r="O6272" t="n">
        <v>0</v>
      </c>
      <c r="P6272" t="n">
        <v>0</v>
      </c>
      <c r="Q6272" t="n">
        <v>0</v>
      </c>
      <c r="R6272" s="2" t="inlineStr"/>
    </row>
    <row r="6273" ht="15" customHeight="1">
      <c r="A6273" t="inlineStr">
        <is>
          <t>A 19502-2023</t>
        </is>
      </c>
      <c r="B6273" s="1" t="n">
        <v>45049</v>
      </c>
      <c r="C6273" s="1" t="n">
        <v>45182</v>
      </c>
      <c r="D6273" t="inlineStr">
        <is>
          <t>JÄMTLANDS LÄN</t>
        </is>
      </c>
      <c r="E6273" t="inlineStr">
        <is>
          <t>KROKOM</t>
        </is>
      </c>
      <c r="G6273" t="n">
        <v>1</v>
      </c>
      <c r="H6273" t="n">
        <v>0</v>
      </c>
      <c r="I6273" t="n">
        <v>0</v>
      </c>
      <c r="J6273" t="n">
        <v>0</v>
      </c>
      <c r="K6273" t="n">
        <v>0</v>
      </c>
      <c r="L6273" t="n">
        <v>0</v>
      </c>
      <c r="M6273" t="n">
        <v>0</v>
      </c>
      <c r="N6273" t="n">
        <v>0</v>
      </c>
      <c r="O6273" t="n">
        <v>0</v>
      </c>
      <c r="P6273" t="n">
        <v>0</v>
      </c>
      <c r="Q6273" t="n">
        <v>0</v>
      </c>
      <c r="R6273" s="2" t="inlineStr"/>
    </row>
    <row r="6274" ht="15" customHeight="1">
      <c r="A6274" t="inlineStr">
        <is>
          <t>A 19438-2023</t>
        </is>
      </c>
      <c r="B6274" s="1" t="n">
        <v>45049</v>
      </c>
      <c r="C6274" s="1" t="n">
        <v>45182</v>
      </c>
      <c r="D6274" t="inlineStr">
        <is>
          <t>JÄMTLANDS LÄN</t>
        </is>
      </c>
      <c r="E6274" t="inlineStr">
        <is>
          <t>RAGUNDA</t>
        </is>
      </c>
      <c r="F6274" t="inlineStr">
        <is>
          <t>SCA</t>
        </is>
      </c>
      <c r="G6274" t="n">
        <v>0.6</v>
      </c>
      <c r="H6274" t="n">
        <v>0</v>
      </c>
      <c r="I6274" t="n">
        <v>0</v>
      </c>
      <c r="J6274" t="n">
        <v>0</v>
      </c>
      <c r="K6274" t="n">
        <v>0</v>
      </c>
      <c r="L6274" t="n">
        <v>0</v>
      </c>
      <c r="M6274" t="n">
        <v>0</v>
      </c>
      <c r="N6274" t="n">
        <v>0</v>
      </c>
      <c r="O6274" t="n">
        <v>0</v>
      </c>
      <c r="P6274" t="n">
        <v>0</v>
      </c>
      <c r="Q6274" t="n">
        <v>0</v>
      </c>
      <c r="R6274" s="2" t="inlineStr"/>
    </row>
    <row r="6275" ht="15" customHeight="1">
      <c r="A6275" t="inlineStr">
        <is>
          <t>A 19496-2023</t>
        </is>
      </c>
      <c r="B6275" s="1" t="n">
        <v>45049</v>
      </c>
      <c r="C6275" s="1" t="n">
        <v>45182</v>
      </c>
      <c r="D6275" t="inlineStr">
        <is>
          <t>JÄMTLANDS LÄN</t>
        </is>
      </c>
      <c r="E6275" t="inlineStr">
        <is>
          <t>BRÄCKE</t>
        </is>
      </c>
      <c r="G6275" t="n">
        <v>1.1</v>
      </c>
      <c r="H6275" t="n">
        <v>0</v>
      </c>
      <c r="I6275" t="n">
        <v>0</v>
      </c>
      <c r="J6275" t="n">
        <v>0</v>
      </c>
      <c r="K6275" t="n">
        <v>0</v>
      </c>
      <c r="L6275" t="n">
        <v>0</v>
      </c>
      <c r="M6275" t="n">
        <v>0</v>
      </c>
      <c r="N6275" t="n">
        <v>0</v>
      </c>
      <c r="O6275" t="n">
        <v>0</v>
      </c>
      <c r="P6275" t="n">
        <v>0</v>
      </c>
      <c r="Q6275" t="n">
        <v>0</v>
      </c>
      <c r="R6275" s="2" t="inlineStr"/>
    </row>
    <row r="6276" ht="15" customHeight="1">
      <c r="A6276" t="inlineStr">
        <is>
          <t>A 19656-2023</t>
        </is>
      </c>
      <c r="B6276" s="1" t="n">
        <v>45050</v>
      </c>
      <c r="C6276" s="1" t="n">
        <v>45182</v>
      </c>
      <c r="D6276" t="inlineStr">
        <is>
          <t>JÄMTLANDS LÄN</t>
        </is>
      </c>
      <c r="E6276" t="inlineStr">
        <is>
          <t>STRÖMSUND</t>
        </is>
      </c>
      <c r="F6276" t="inlineStr">
        <is>
          <t>Kommuner</t>
        </is>
      </c>
      <c r="G6276" t="n">
        <v>4.9</v>
      </c>
      <c r="H6276" t="n">
        <v>0</v>
      </c>
      <c r="I6276" t="n">
        <v>0</v>
      </c>
      <c r="J6276" t="n">
        <v>0</v>
      </c>
      <c r="K6276" t="n">
        <v>0</v>
      </c>
      <c r="L6276" t="n">
        <v>0</v>
      </c>
      <c r="M6276" t="n">
        <v>0</v>
      </c>
      <c r="N6276" t="n">
        <v>0</v>
      </c>
      <c r="O6276" t="n">
        <v>0</v>
      </c>
      <c r="P6276" t="n">
        <v>0</v>
      </c>
      <c r="Q6276" t="n">
        <v>0</v>
      </c>
      <c r="R6276" s="2" t="inlineStr"/>
    </row>
    <row r="6277" ht="15" customHeight="1">
      <c r="A6277" t="inlineStr">
        <is>
          <t>A 19750-2023</t>
        </is>
      </c>
      <c r="B6277" s="1" t="n">
        <v>45050</v>
      </c>
      <c r="C6277" s="1" t="n">
        <v>45182</v>
      </c>
      <c r="D6277" t="inlineStr">
        <is>
          <t>JÄMTLANDS LÄN</t>
        </is>
      </c>
      <c r="E6277" t="inlineStr">
        <is>
          <t>ÖSTERSUND</t>
        </is>
      </c>
      <c r="G6277" t="n">
        <v>3.2</v>
      </c>
      <c r="H6277" t="n">
        <v>0</v>
      </c>
      <c r="I6277" t="n">
        <v>0</v>
      </c>
      <c r="J6277" t="n">
        <v>0</v>
      </c>
      <c r="K6277" t="n">
        <v>0</v>
      </c>
      <c r="L6277" t="n">
        <v>0</v>
      </c>
      <c r="M6277" t="n">
        <v>0</v>
      </c>
      <c r="N6277" t="n">
        <v>0</v>
      </c>
      <c r="O6277" t="n">
        <v>0</v>
      </c>
      <c r="P6277" t="n">
        <v>0</v>
      </c>
      <c r="Q6277" t="n">
        <v>0</v>
      </c>
      <c r="R6277" s="2" t="inlineStr"/>
    </row>
    <row r="6278" ht="15" customHeight="1">
      <c r="A6278" t="inlineStr">
        <is>
          <t>A 19535-2023</t>
        </is>
      </c>
      <c r="B6278" s="1" t="n">
        <v>45050</v>
      </c>
      <c r="C6278" s="1" t="n">
        <v>45182</v>
      </c>
      <c r="D6278" t="inlineStr">
        <is>
          <t>JÄMTLANDS LÄN</t>
        </is>
      </c>
      <c r="E6278" t="inlineStr">
        <is>
          <t>BERG</t>
        </is>
      </c>
      <c r="G6278" t="n">
        <v>10</v>
      </c>
      <c r="H6278" t="n">
        <v>0</v>
      </c>
      <c r="I6278" t="n">
        <v>0</v>
      </c>
      <c r="J6278" t="n">
        <v>0</v>
      </c>
      <c r="K6278" t="n">
        <v>0</v>
      </c>
      <c r="L6278" t="n">
        <v>0</v>
      </c>
      <c r="M6278" t="n">
        <v>0</v>
      </c>
      <c r="N6278" t="n">
        <v>0</v>
      </c>
      <c r="O6278" t="n">
        <v>0</v>
      </c>
      <c r="P6278" t="n">
        <v>0</v>
      </c>
      <c r="Q6278" t="n">
        <v>0</v>
      </c>
      <c r="R6278" s="2" t="inlineStr"/>
    </row>
    <row r="6279" ht="15" customHeight="1">
      <c r="A6279" t="inlineStr">
        <is>
          <t>A 19620-2023</t>
        </is>
      </c>
      <c r="B6279" s="1" t="n">
        <v>45050</v>
      </c>
      <c r="C6279" s="1" t="n">
        <v>45182</v>
      </c>
      <c r="D6279" t="inlineStr">
        <is>
          <t>JÄMTLANDS LÄN</t>
        </is>
      </c>
      <c r="E6279" t="inlineStr">
        <is>
          <t>RAGUNDA</t>
        </is>
      </c>
      <c r="F6279" t="inlineStr">
        <is>
          <t>SCA</t>
        </is>
      </c>
      <c r="G6279" t="n">
        <v>6.8</v>
      </c>
      <c r="H6279" t="n">
        <v>0</v>
      </c>
      <c r="I6279" t="n">
        <v>0</v>
      </c>
      <c r="J6279" t="n">
        <v>0</v>
      </c>
      <c r="K6279" t="n">
        <v>0</v>
      </c>
      <c r="L6279" t="n">
        <v>0</v>
      </c>
      <c r="M6279" t="n">
        <v>0</v>
      </c>
      <c r="N6279" t="n">
        <v>0</v>
      </c>
      <c r="O6279" t="n">
        <v>0</v>
      </c>
      <c r="P6279" t="n">
        <v>0</v>
      </c>
      <c r="Q6279" t="n">
        <v>0</v>
      </c>
      <c r="R6279" s="2" t="inlineStr"/>
    </row>
    <row r="6280" ht="15" customHeight="1">
      <c r="A6280" t="inlineStr">
        <is>
          <t>A 19730-2023</t>
        </is>
      </c>
      <c r="B6280" s="1" t="n">
        <v>45050</v>
      </c>
      <c r="C6280" s="1" t="n">
        <v>45182</v>
      </c>
      <c r="D6280" t="inlineStr">
        <is>
          <t>JÄMTLANDS LÄN</t>
        </is>
      </c>
      <c r="E6280" t="inlineStr">
        <is>
          <t>HÄRJEDALEN</t>
        </is>
      </c>
      <c r="F6280" t="inlineStr">
        <is>
          <t>Bergvik skog väst AB</t>
        </is>
      </c>
      <c r="G6280" t="n">
        <v>1.3</v>
      </c>
      <c r="H6280" t="n">
        <v>0</v>
      </c>
      <c r="I6280" t="n">
        <v>0</v>
      </c>
      <c r="J6280" t="n">
        <v>0</v>
      </c>
      <c r="K6280" t="n">
        <v>0</v>
      </c>
      <c r="L6280" t="n">
        <v>0</v>
      </c>
      <c r="M6280" t="n">
        <v>0</v>
      </c>
      <c r="N6280" t="n">
        <v>0</v>
      </c>
      <c r="O6280" t="n">
        <v>0</v>
      </c>
      <c r="P6280" t="n">
        <v>0</v>
      </c>
      <c r="Q6280" t="n">
        <v>0</v>
      </c>
      <c r="R6280" s="2" t="inlineStr"/>
    </row>
    <row r="6281" ht="15" customHeight="1">
      <c r="A6281" t="inlineStr">
        <is>
          <t>A 19533-2023</t>
        </is>
      </c>
      <c r="B6281" s="1" t="n">
        <v>45050</v>
      </c>
      <c r="C6281" s="1" t="n">
        <v>45182</v>
      </c>
      <c r="D6281" t="inlineStr">
        <is>
          <t>JÄMTLANDS LÄN</t>
        </is>
      </c>
      <c r="E6281" t="inlineStr">
        <is>
          <t>BRÄCKE</t>
        </is>
      </c>
      <c r="G6281" t="n">
        <v>0.9</v>
      </c>
      <c r="H6281" t="n">
        <v>0</v>
      </c>
      <c r="I6281" t="n">
        <v>0</v>
      </c>
      <c r="J6281" t="n">
        <v>0</v>
      </c>
      <c r="K6281" t="n">
        <v>0</v>
      </c>
      <c r="L6281" t="n">
        <v>0</v>
      </c>
      <c r="M6281" t="n">
        <v>0</v>
      </c>
      <c r="N6281" t="n">
        <v>0</v>
      </c>
      <c r="O6281" t="n">
        <v>0</v>
      </c>
      <c r="P6281" t="n">
        <v>0</v>
      </c>
      <c r="Q6281" t="n">
        <v>0</v>
      </c>
      <c r="R6281" s="2" t="inlineStr"/>
    </row>
    <row r="6282" ht="15" customHeight="1">
      <c r="A6282" t="inlineStr">
        <is>
          <t>A 19538-2023</t>
        </is>
      </c>
      <c r="B6282" s="1" t="n">
        <v>45050</v>
      </c>
      <c r="C6282" s="1" t="n">
        <v>45182</v>
      </c>
      <c r="D6282" t="inlineStr">
        <is>
          <t>JÄMTLANDS LÄN</t>
        </is>
      </c>
      <c r="E6282" t="inlineStr">
        <is>
          <t>BERG</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19652-2023</t>
        </is>
      </c>
      <c r="B6283" s="1" t="n">
        <v>45050</v>
      </c>
      <c r="C6283" s="1" t="n">
        <v>45182</v>
      </c>
      <c r="D6283" t="inlineStr">
        <is>
          <t>JÄMTLANDS LÄN</t>
        </is>
      </c>
      <c r="E6283" t="inlineStr">
        <is>
          <t>STRÖMSUND</t>
        </is>
      </c>
      <c r="F6283" t="inlineStr">
        <is>
          <t>Kommuner</t>
        </is>
      </c>
      <c r="G6283" t="n">
        <v>14.2</v>
      </c>
      <c r="H6283" t="n">
        <v>0</v>
      </c>
      <c r="I6283" t="n">
        <v>0</v>
      </c>
      <c r="J6283" t="n">
        <v>0</v>
      </c>
      <c r="K6283" t="n">
        <v>0</v>
      </c>
      <c r="L6283" t="n">
        <v>0</v>
      </c>
      <c r="M6283" t="n">
        <v>0</v>
      </c>
      <c r="N6283" t="n">
        <v>0</v>
      </c>
      <c r="O6283" t="n">
        <v>0</v>
      </c>
      <c r="P6283" t="n">
        <v>0</v>
      </c>
      <c r="Q6283" t="n">
        <v>0</v>
      </c>
      <c r="R6283" s="2" t="inlineStr"/>
    </row>
    <row r="6284" ht="15" customHeight="1">
      <c r="A6284" t="inlineStr">
        <is>
          <t>A 19478-2023</t>
        </is>
      </c>
      <c r="B6284" s="1" t="n">
        <v>45050</v>
      </c>
      <c r="C6284" s="1" t="n">
        <v>45182</v>
      </c>
      <c r="D6284" t="inlineStr">
        <is>
          <t>JÄMTLANDS LÄN</t>
        </is>
      </c>
      <c r="E6284" t="inlineStr">
        <is>
          <t>KROKOM</t>
        </is>
      </c>
      <c r="F6284" t="inlineStr">
        <is>
          <t>Övriga Aktiebolag</t>
        </is>
      </c>
      <c r="G6284" t="n">
        <v>22.2</v>
      </c>
      <c r="H6284" t="n">
        <v>0</v>
      </c>
      <c r="I6284" t="n">
        <v>0</v>
      </c>
      <c r="J6284" t="n">
        <v>0</v>
      </c>
      <c r="K6284" t="n">
        <v>0</v>
      </c>
      <c r="L6284" t="n">
        <v>0</v>
      </c>
      <c r="M6284" t="n">
        <v>0</v>
      </c>
      <c r="N6284" t="n">
        <v>0</v>
      </c>
      <c r="O6284" t="n">
        <v>0</v>
      </c>
      <c r="P6284" t="n">
        <v>0</v>
      </c>
      <c r="Q6284" t="n">
        <v>0</v>
      </c>
      <c r="R6284" s="2" t="inlineStr"/>
    </row>
    <row r="6285" ht="15" customHeight="1">
      <c r="A6285" t="inlineStr">
        <is>
          <t>A 19658-2023</t>
        </is>
      </c>
      <c r="B6285" s="1" t="n">
        <v>45050</v>
      </c>
      <c r="C6285" s="1" t="n">
        <v>45182</v>
      </c>
      <c r="D6285" t="inlineStr">
        <is>
          <t>JÄMTLANDS LÄN</t>
        </is>
      </c>
      <c r="E6285" t="inlineStr">
        <is>
          <t>STRÖMSUND</t>
        </is>
      </c>
      <c r="F6285" t="inlineStr">
        <is>
          <t>Kommuner</t>
        </is>
      </c>
      <c r="G6285" t="n">
        <v>23.7</v>
      </c>
      <c r="H6285" t="n">
        <v>0</v>
      </c>
      <c r="I6285" t="n">
        <v>0</v>
      </c>
      <c r="J6285" t="n">
        <v>0</v>
      </c>
      <c r="K6285" t="n">
        <v>0</v>
      </c>
      <c r="L6285" t="n">
        <v>0</v>
      </c>
      <c r="M6285" t="n">
        <v>0</v>
      </c>
      <c r="N6285" t="n">
        <v>0</v>
      </c>
      <c r="O6285" t="n">
        <v>0</v>
      </c>
      <c r="P6285" t="n">
        <v>0</v>
      </c>
      <c r="Q6285" t="n">
        <v>0</v>
      </c>
      <c r="R6285" s="2" t="inlineStr"/>
    </row>
    <row r="6286" ht="15" customHeight="1">
      <c r="A6286" t="inlineStr">
        <is>
          <t>A 19821-2023</t>
        </is>
      </c>
      <c r="B6286" s="1" t="n">
        <v>45051</v>
      </c>
      <c r="C6286" s="1" t="n">
        <v>45182</v>
      </c>
      <c r="D6286" t="inlineStr">
        <is>
          <t>JÄMTLANDS LÄN</t>
        </is>
      </c>
      <c r="E6286" t="inlineStr">
        <is>
          <t>BRÄCKE</t>
        </is>
      </c>
      <c r="F6286" t="inlineStr">
        <is>
          <t>SCA</t>
        </is>
      </c>
      <c r="G6286" t="n">
        <v>3.6</v>
      </c>
      <c r="H6286" t="n">
        <v>0</v>
      </c>
      <c r="I6286" t="n">
        <v>0</v>
      </c>
      <c r="J6286" t="n">
        <v>0</v>
      </c>
      <c r="K6286" t="n">
        <v>0</v>
      </c>
      <c r="L6286" t="n">
        <v>0</v>
      </c>
      <c r="M6286" t="n">
        <v>0</v>
      </c>
      <c r="N6286" t="n">
        <v>0</v>
      </c>
      <c r="O6286" t="n">
        <v>0</v>
      </c>
      <c r="P6286" t="n">
        <v>0</v>
      </c>
      <c r="Q6286" t="n">
        <v>0</v>
      </c>
      <c r="R6286" s="2" t="inlineStr"/>
    </row>
    <row r="6287" ht="15" customHeight="1">
      <c r="A6287" t="inlineStr">
        <is>
          <t>A 19941-2023</t>
        </is>
      </c>
      <c r="B6287" s="1" t="n">
        <v>45051</v>
      </c>
      <c r="C6287" s="1" t="n">
        <v>45182</v>
      </c>
      <c r="D6287" t="inlineStr">
        <is>
          <t>JÄMTLANDS LÄN</t>
        </is>
      </c>
      <c r="E6287" t="inlineStr">
        <is>
          <t>BRÄCKE</t>
        </is>
      </c>
      <c r="G6287" t="n">
        <v>6.9</v>
      </c>
      <c r="H6287" t="n">
        <v>0</v>
      </c>
      <c r="I6287" t="n">
        <v>0</v>
      </c>
      <c r="J6287" t="n">
        <v>0</v>
      </c>
      <c r="K6287" t="n">
        <v>0</v>
      </c>
      <c r="L6287" t="n">
        <v>0</v>
      </c>
      <c r="M6287" t="n">
        <v>0</v>
      </c>
      <c r="N6287" t="n">
        <v>0</v>
      </c>
      <c r="O6287" t="n">
        <v>0</v>
      </c>
      <c r="P6287" t="n">
        <v>0</v>
      </c>
      <c r="Q6287" t="n">
        <v>0</v>
      </c>
      <c r="R6287" s="2" t="inlineStr"/>
    </row>
    <row r="6288" ht="15" customHeight="1">
      <c r="A6288" t="inlineStr">
        <is>
          <t>A 19705-2023</t>
        </is>
      </c>
      <c r="B6288" s="1" t="n">
        <v>45051</v>
      </c>
      <c r="C6288" s="1" t="n">
        <v>45182</v>
      </c>
      <c r="D6288" t="inlineStr">
        <is>
          <t>JÄMTLANDS LÄN</t>
        </is>
      </c>
      <c r="E6288" t="inlineStr">
        <is>
          <t>ÅRE</t>
        </is>
      </c>
      <c r="G6288" t="n">
        <v>4.7</v>
      </c>
      <c r="H6288" t="n">
        <v>0</v>
      </c>
      <c r="I6288" t="n">
        <v>0</v>
      </c>
      <c r="J6288" t="n">
        <v>0</v>
      </c>
      <c r="K6288" t="n">
        <v>0</v>
      </c>
      <c r="L6288" t="n">
        <v>0</v>
      </c>
      <c r="M6288" t="n">
        <v>0</v>
      </c>
      <c r="N6288" t="n">
        <v>0</v>
      </c>
      <c r="O6288" t="n">
        <v>0</v>
      </c>
      <c r="P6288" t="n">
        <v>0</v>
      </c>
      <c r="Q6288" t="n">
        <v>0</v>
      </c>
      <c r="R6288" s="2" t="inlineStr"/>
    </row>
    <row r="6289" ht="15" customHeight="1">
      <c r="A6289" t="inlineStr">
        <is>
          <t>A 19824-2023</t>
        </is>
      </c>
      <c r="B6289" s="1" t="n">
        <v>45051</v>
      </c>
      <c r="C6289" s="1" t="n">
        <v>45182</v>
      </c>
      <c r="D6289" t="inlineStr">
        <is>
          <t>JÄMTLANDS LÄN</t>
        </is>
      </c>
      <c r="E6289" t="inlineStr">
        <is>
          <t>BRÄCKE</t>
        </is>
      </c>
      <c r="F6289" t="inlineStr">
        <is>
          <t>SCA</t>
        </is>
      </c>
      <c r="G6289" t="n">
        <v>2.6</v>
      </c>
      <c r="H6289" t="n">
        <v>0</v>
      </c>
      <c r="I6289" t="n">
        <v>0</v>
      </c>
      <c r="J6289" t="n">
        <v>0</v>
      </c>
      <c r="K6289" t="n">
        <v>0</v>
      </c>
      <c r="L6289" t="n">
        <v>0</v>
      </c>
      <c r="M6289" t="n">
        <v>0</v>
      </c>
      <c r="N6289" t="n">
        <v>0</v>
      </c>
      <c r="O6289" t="n">
        <v>0</v>
      </c>
      <c r="P6289" t="n">
        <v>0</v>
      </c>
      <c r="Q6289" t="n">
        <v>0</v>
      </c>
      <c r="R6289" s="2" t="inlineStr"/>
    </row>
    <row r="6290" ht="15" customHeight="1">
      <c r="A6290" t="inlineStr">
        <is>
          <t>A 19701-2023</t>
        </is>
      </c>
      <c r="B6290" s="1" t="n">
        <v>45051</v>
      </c>
      <c r="C6290" s="1" t="n">
        <v>45182</v>
      </c>
      <c r="D6290" t="inlineStr">
        <is>
          <t>JÄMTLANDS LÄN</t>
        </is>
      </c>
      <c r="E6290" t="inlineStr">
        <is>
          <t>ÅRE</t>
        </is>
      </c>
      <c r="G6290" t="n">
        <v>9.800000000000001</v>
      </c>
      <c r="H6290" t="n">
        <v>0</v>
      </c>
      <c r="I6290" t="n">
        <v>0</v>
      </c>
      <c r="J6290" t="n">
        <v>0</v>
      </c>
      <c r="K6290" t="n">
        <v>0</v>
      </c>
      <c r="L6290" t="n">
        <v>0</v>
      </c>
      <c r="M6290" t="n">
        <v>0</v>
      </c>
      <c r="N6290" t="n">
        <v>0</v>
      </c>
      <c r="O6290" t="n">
        <v>0</v>
      </c>
      <c r="P6290" t="n">
        <v>0</v>
      </c>
      <c r="Q6290" t="n">
        <v>0</v>
      </c>
      <c r="R6290" s="2" t="inlineStr"/>
    </row>
    <row r="6291" ht="15" customHeight="1">
      <c r="A6291" t="inlineStr">
        <is>
          <t>A 19820-2023</t>
        </is>
      </c>
      <c r="B6291" s="1" t="n">
        <v>45051</v>
      </c>
      <c r="C6291" s="1" t="n">
        <v>45182</v>
      </c>
      <c r="D6291" t="inlineStr">
        <is>
          <t>JÄMTLANDS LÄN</t>
        </is>
      </c>
      <c r="E6291" t="inlineStr">
        <is>
          <t>BRÄCKE</t>
        </is>
      </c>
      <c r="F6291" t="inlineStr">
        <is>
          <t>SCA</t>
        </is>
      </c>
      <c r="G6291" t="n">
        <v>2.7</v>
      </c>
      <c r="H6291" t="n">
        <v>0</v>
      </c>
      <c r="I6291" t="n">
        <v>0</v>
      </c>
      <c r="J6291" t="n">
        <v>0</v>
      </c>
      <c r="K6291" t="n">
        <v>0</v>
      </c>
      <c r="L6291" t="n">
        <v>0</v>
      </c>
      <c r="M6291" t="n">
        <v>0</v>
      </c>
      <c r="N6291" t="n">
        <v>0</v>
      </c>
      <c r="O6291" t="n">
        <v>0</v>
      </c>
      <c r="P6291" t="n">
        <v>0</v>
      </c>
      <c r="Q6291" t="n">
        <v>0</v>
      </c>
      <c r="R6291" s="2" t="inlineStr"/>
    </row>
    <row r="6292" ht="15" customHeight="1">
      <c r="A6292" t="inlineStr">
        <is>
          <t>A 19915-2023</t>
        </is>
      </c>
      <c r="B6292" s="1" t="n">
        <v>45054</v>
      </c>
      <c r="C6292" s="1" t="n">
        <v>45182</v>
      </c>
      <c r="D6292" t="inlineStr">
        <is>
          <t>JÄMTLANDS LÄN</t>
        </is>
      </c>
      <c r="E6292" t="inlineStr">
        <is>
          <t>HÄRJEDALEN</t>
        </is>
      </c>
      <c r="F6292" t="inlineStr">
        <is>
          <t>Sveaskog</t>
        </is>
      </c>
      <c r="G6292" t="n">
        <v>0.1</v>
      </c>
      <c r="H6292" t="n">
        <v>0</v>
      </c>
      <c r="I6292" t="n">
        <v>0</v>
      </c>
      <c r="J6292" t="n">
        <v>0</v>
      </c>
      <c r="K6292" t="n">
        <v>0</v>
      </c>
      <c r="L6292" t="n">
        <v>0</v>
      </c>
      <c r="M6292" t="n">
        <v>0</v>
      </c>
      <c r="N6292" t="n">
        <v>0</v>
      </c>
      <c r="O6292" t="n">
        <v>0</v>
      </c>
      <c r="P6292" t="n">
        <v>0</v>
      </c>
      <c r="Q6292" t="n">
        <v>0</v>
      </c>
      <c r="R6292" s="2" t="inlineStr"/>
    </row>
    <row r="6293" ht="15" customHeight="1">
      <c r="A6293" t="inlineStr">
        <is>
          <t>A 20031-2023</t>
        </is>
      </c>
      <c r="B6293" s="1" t="n">
        <v>45054</v>
      </c>
      <c r="C6293" s="1" t="n">
        <v>45182</v>
      </c>
      <c r="D6293" t="inlineStr">
        <is>
          <t>JÄMTLANDS LÄN</t>
        </is>
      </c>
      <c r="E6293" t="inlineStr">
        <is>
          <t>HÄRJEDALEN</t>
        </is>
      </c>
      <c r="G6293" t="n">
        <v>5.4</v>
      </c>
      <c r="H6293" t="n">
        <v>0</v>
      </c>
      <c r="I6293" t="n">
        <v>0</v>
      </c>
      <c r="J6293" t="n">
        <v>0</v>
      </c>
      <c r="K6293" t="n">
        <v>0</v>
      </c>
      <c r="L6293" t="n">
        <v>0</v>
      </c>
      <c r="M6293" t="n">
        <v>0</v>
      </c>
      <c r="N6293" t="n">
        <v>0</v>
      </c>
      <c r="O6293" t="n">
        <v>0</v>
      </c>
      <c r="P6293" t="n">
        <v>0</v>
      </c>
      <c r="Q6293" t="n">
        <v>0</v>
      </c>
      <c r="R6293" s="2" t="inlineStr"/>
    </row>
    <row r="6294" ht="15" customHeight="1">
      <c r="A6294" t="inlineStr">
        <is>
          <t>A 20088-2023</t>
        </is>
      </c>
      <c r="B6294" s="1" t="n">
        <v>45054</v>
      </c>
      <c r="C6294" s="1" t="n">
        <v>45182</v>
      </c>
      <c r="D6294" t="inlineStr">
        <is>
          <t>JÄMTLANDS LÄN</t>
        </is>
      </c>
      <c r="E6294" t="inlineStr">
        <is>
          <t>RAGUNDA</t>
        </is>
      </c>
      <c r="F6294" t="inlineStr">
        <is>
          <t>SCA</t>
        </is>
      </c>
      <c r="G6294" t="n">
        <v>23.4</v>
      </c>
      <c r="H6294" t="n">
        <v>0</v>
      </c>
      <c r="I6294" t="n">
        <v>0</v>
      </c>
      <c r="J6294" t="n">
        <v>0</v>
      </c>
      <c r="K6294" t="n">
        <v>0</v>
      </c>
      <c r="L6294" t="n">
        <v>0</v>
      </c>
      <c r="M6294" t="n">
        <v>0</v>
      </c>
      <c r="N6294" t="n">
        <v>0</v>
      </c>
      <c r="O6294" t="n">
        <v>0</v>
      </c>
      <c r="P6294" t="n">
        <v>0</v>
      </c>
      <c r="Q6294" t="n">
        <v>0</v>
      </c>
      <c r="R6294" s="2" t="inlineStr"/>
    </row>
    <row r="6295" ht="15" customHeight="1">
      <c r="A6295" t="inlineStr">
        <is>
          <t>A 20539-2023</t>
        </is>
      </c>
      <c r="B6295" s="1" t="n">
        <v>45055</v>
      </c>
      <c r="C6295" s="1" t="n">
        <v>45182</v>
      </c>
      <c r="D6295" t="inlineStr">
        <is>
          <t>JÄMTLANDS LÄN</t>
        </is>
      </c>
      <c r="E6295" t="inlineStr">
        <is>
          <t>HÄRJEDALEN</t>
        </is>
      </c>
      <c r="G6295" t="n">
        <v>3.9</v>
      </c>
      <c r="H6295" t="n">
        <v>0</v>
      </c>
      <c r="I6295" t="n">
        <v>0</v>
      </c>
      <c r="J6295" t="n">
        <v>0</v>
      </c>
      <c r="K6295" t="n">
        <v>0</v>
      </c>
      <c r="L6295" t="n">
        <v>0</v>
      </c>
      <c r="M6295" t="n">
        <v>0</v>
      </c>
      <c r="N6295" t="n">
        <v>0</v>
      </c>
      <c r="O6295" t="n">
        <v>0</v>
      </c>
      <c r="P6295" t="n">
        <v>0</v>
      </c>
      <c r="Q6295" t="n">
        <v>0</v>
      </c>
      <c r="R6295" s="2" t="inlineStr"/>
    </row>
    <row r="6296" ht="15" customHeight="1">
      <c r="A6296" t="inlineStr">
        <is>
          <t>A 20742-2023</t>
        </is>
      </c>
      <c r="B6296" s="1" t="n">
        <v>45055</v>
      </c>
      <c r="C6296" s="1" t="n">
        <v>45182</v>
      </c>
      <c r="D6296" t="inlineStr">
        <is>
          <t>JÄMTLANDS LÄN</t>
        </is>
      </c>
      <c r="E6296" t="inlineStr">
        <is>
          <t>KROKOM</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20735-2023</t>
        </is>
      </c>
      <c r="B6297" s="1" t="n">
        <v>45055</v>
      </c>
      <c r="C6297" s="1" t="n">
        <v>45182</v>
      </c>
      <c r="D6297" t="inlineStr">
        <is>
          <t>JÄMTLANDS LÄN</t>
        </is>
      </c>
      <c r="E6297" t="inlineStr">
        <is>
          <t>KROKOM</t>
        </is>
      </c>
      <c r="G6297" t="n">
        <v>1.3</v>
      </c>
      <c r="H6297" t="n">
        <v>0</v>
      </c>
      <c r="I6297" t="n">
        <v>0</v>
      </c>
      <c r="J6297" t="n">
        <v>0</v>
      </c>
      <c r="K6297" t="n">
        <v>0</v>
      </c>
      <c r="L6297" t="n">
        <v>0</v>
      </c>
      <c r="M6297" t="n">
        <v>0</v>
      </c>
      <c r="N6297" t="n">
        <v>0</v>
      </c>
      <c r="O6297" t="n">
        <v>0</v>
      </c>
      <c r="P6297" t="n">
        <v>0</v>
      </c>
      <c r="Q6297" t="n">
        <v>0</v>
      </c>
      <c r="R6297" s="2" t="inlineStr"/>
    </row>
    <row r="6298" ht="15" customHeight="1">
      <c r="A6298" t="inlineStr">
        <is>
          <t>A 20851-2023</t>
        </is>
      </c>
      <c r="B6298" s="1" t="n">
        <v>45056</v>
      </c>
      <c r="C6298" s="1" t="n">
        <v>45182</v>
      </c>
      <c r="D6298" t="inlineStr">
        <is>
          <t>JÄMTLANDS LÄN</t>
        </is>
      </c>
      <c r="E6298" t="inlineStr">
        <is>
          <t>HÄRJEDALEN</t>
        </is>
      </c>
      <c r="F6298" t="inlineStr">
        <is>
          <t>Holmen skog AB</t>
        </is>
      </c>
      <c r="G6298" t="n">
        <v>41.1</v>
      </c>
      <c r="H6298" t="n">
        <v>0</v>
      </c>
      <c r="I6298" t="n">
        <v>0</v>
      </c>
      <c r="J6298" t="n">
        <v>0</v>
      </c>
      <c r="K6298" t="n">
        <v>0</v>
      </c>
      <c r="L6298" t="n">
        <v>0</v>
      </c>
      <c r="M6298" t="n">
        <v>0</v>
      </c>
      <c r="N6298" t="n">
        <v>0</v>
      </c>
      <c r="O6298" t="n">
        <v>0</v>
      </c>
      <c r="P6298" t="n">
        <v>0</v>
      </c>
      <c r="Q6298" t="n">
        <v>0</v>
      </c>
      <c r="R6298" s="2" t="inlineStr"/>
    </row>
    <row r="6299" ht="15" customHeight="1">
      <c r="A6299" t="inlineStr">
        <is>
          <t>A 20976-2023</t>
        </is>
      </c>
      <c r="B6299" s="1" t="n">
        <v>45056</v>
      </c>
      <c r="C6299" s="1" t="n">
        <v>45182</v>
      </c>
      <c r="D6299" t="inlineStr">
        <is>
          <t>JÄMTLANDS LÄN</t>
        </is>
      </c>
      <c r="E6299" t="inlineStr">
        <is>
          <t>KROKOM</t>
        </is>
      </c>
      <c r="G6299" t="n">
        <v>0.8</v>
      </c>
      <c r="H6299" t="n">
        <v>0</v>
      </c>
      <c r="I6299" t="n">
        <v>0</v>
      </c>
      <c r="J6299" t="n">
        <v>0</v>
      </c>
      <c r="K6299" t="n">
        <v>0</v>
      </c>
      <c r="L6299" t="n">
        <v>0</v>
      </c>
      <c r="M6299" t="n">
        <v>0</v>
      </c>
      <c r="N6299" t="n">
        <v>0</v>
      </c>
      <c r="O6299" t="n">
        <v>0</v>
      </c>
      <c r="P6299" t="n">
        <v>0</v>
      </c>
      <c r="Q6299" t="n">
        <v>0</v>
      </c>
      <c r="R6299" s="2" t="inlineStr"/>
    </row>
    <row r="6300" ht="15" customHeight="1">
      <c r="A6300" t="inlineStr">
        <is>
          <t>A 20953-2023</t>
        </is>
      </c>
      <c r="B6300" s="1" t="n">
        <v>45056</v>
      </c>
      <c r="C6300" s="1" t="n">
        <v>45182</v>
      </c>
      <c r="D6300" t="inlineStr">
        <is>
          <t>JÄMTLANDS LÄN</t>
        </is>
      </c>
      <c r="E6300" t="inlineStr">
        <is>
          <t>KROKOM</t>
        </is>
      </c>
      <c r="G6300" t="n">
        <v>0.5</v>
      </c>
      <c r="H6300" t="n">
        <v>0</v>
      </c>
      <c r="I6300" t="n">
        <v>0</v>
      </c>
      <c r="J6300" t="n">
        <v>0</v>
      </c>
      <c r="K6300" t="n">
        <v>0</v>
      </c>
      <c r="L6300" t="n">
        <v>0</v>
      </c>
      <c r="M6300" t="n">
        <v>0</v>
      </c>
      <c r="N6300" t="n">
        <v>0</v>
      </c>
      <c r="O6300" t="n">
        <v>0</v>
      </c>
      <c r="P6300" t="n">
        <v>0</v>
      </c>
      <c r="Q6300" t="n">
        <v>0</v>
      </c>
      <c r="R6300" s="2" t="inlineStr"/>
    </row>
    <row r="6301" ht="15" customHeight="1">
      <c r="A6301" t="inlineStr">
        <is>
          <t>A 20987-2023</t>
        </is>
      </c>
      <c r="B6301" s="1" t="n">
        <v>45056</v>
      </c>
      <c r="C6301" s="1" t="n">
        <v>45182</v>
      </c>
      <c r="D6301" t="inlineStr">
        <is>
          <t>JÄMTLANDS LÄN</t>
        </is>
      </c>
      <c r="E6301" t="inlineStr">
        <is>
          <t>RAGUNDA</t>
        </is>
      </c>
      <c r="G6301" t="n">
        <v>1.1</v>
      </c>
      <c r="H6301" t="n">
        <v>0</v>
      </c>
      <c r="I6301" t="n">
        <v>0</v>
      </c>
      <c r="J6301" t="n">
        <v>0</v>
      </c>
      <c r="K6301" t="n">
        <v>0</v>
      </c>
      <c r="L6301" t="n">
        <v>0</v>
      </c>
      <c r="M6301" t="n">
        <v>0</v>
      </c>
      <c r="N6301" t="n">
        <v>0</v>
      </c>
      <c r="O6301" t="n">
        <v>0</v>
      </c>
      <c r="P6301" t="n">
        <v>0</v>
      </c>
      <c r="Q6301" t="n">
        <v>0</v>
      </c>
      <c r="R6301" s="2" t="inlineStr"/>
    </row>
    <row r="6302" ht="15" customHeight="1">
      <c r="A6302" t="inlineStr">
        <is>
          <t>A 20278-2023</t>
        </is>
      </c>
      <c r="B6302" s="1" t="n">
        <v>45056</v>
      </c>
      <c r="C6302" s="1" t="n">
        <v>45182</v>
      </c>
      <c r="D6302" t="inlineStr">
        <is>
          <t>JÄMTLANDS LÄN</t>
        </is>
      </c>
      <c r="E6302" t="inlineStr">
        <is>
          <t>ÅRE</t>
        </is>
      </c>
      <c r="G6302" t="n">
        <v>0.7</v>
      </c>
      <c r="H6302" t="n">
        <v>0</v>
      </c>
      <c r="I6302" t="n">
        <v>0</v>
      </c>
      <c r="J6302" t="n">
        <v>0</v>
      </c>
      <c r="K6302" t="n">
        <v>0</v>
      </c>
      <c r="L6302" t="n">
        <v>0</v>
      </c>
      <c r="M6302" t="n">
        <v>0</v>
      </c>
      <c r="N6302" t="n">
        <v>0</v>
      </c>
      <c r="O6302" t="n">
        <v>0</v>
      </c>
      <c r="P6302" t="n">
        <v>0</v>
      </c>
      <c r="Q6302" t="n">
        <v>0</v>
      </c>
      <c r="R6302" s="2" t="inlineStr"/>
    </row>
    <row r="6303" ht="15" customHeight="1">
      <c r="A6303" t="inlineStr">
        <is>
          <t>A 20966-2023</t>
        </is>
      </c>
      <c r="B6303" s="1" t="n">
        <v>45056</v>
      </c>
      <c r="C6303" s="1" t="n">
        <v>45182</v>
      </c>
      <c r="D6303" t="inlineStr">
        <is>
          <t>JÄMTLANDS LÄN</t>
        </is>
      </c>
      <c r="E6303" t="inlineStr">
        <is>
          <t>KROKOM</t>
        </is>
      </c>
      <c r="G6303" t="n">
        <v>0.9</v>
      </c>
      <c r="H6303" t="n">
        <v>0</v>
      </c>
      <c r="I6303" t="n">
        <v>0</v>
      </c>
      <c r="J6303" t="n">
        <v>0</v>
      </c>
      <c r="K6303" t="n">
        <v>0</v>
      </c>
      <c r="L6303" t="n">
        <v>0</v>
      </c>
      <c r="M6303" t="n">
        <v>0</v>
      </c>
      <c r="N6303" t="n">
        <v>0</v>
      </c>
      <c r="O6303" t="n">
        <v>0</v>
      </c>
      <c r="P6303" t="n">
        <v>0</v>
      </c>
      <c r="Q6303" t="n">
        <v>0</v>
      </c>
      <c r="R6303" s="2" t="inlineStr"/>
    </row>
    <row r="6304" ht="15" customHeight="1">
      <c r="A6304" t="inlineStr">
        <is>
          <t>A 20982-2023</t>
        </is>
      </c>
      <c r="B6304" s="1" t="n">
        <v>45056</v>
      </c>
      <c r="C6304" s="1" t="n">
        <v>45182</v>
      </c>
      <c r="D6304" t="inlineStr">
        <is>
          <t>JÄMTLANDS LÄN</t>
        </is>
      </c>
      <c r="E6304" t="inlineStr">
        <is>
          <t>KROKOM</t>
        </is>
      </c>
      <c r="G6304" t="n">
        <v>0.7</v>
      </c>
      <c r="H6304" t="n">
        <v>0</v>
      </c>
      <c r="I6304" t="n">
        <v>0</v>
      </c>
      <c r="J6304" t="n">
        <v>0</v>
      </c>
      <c r="K6304" t="n">
        <v>0</v>
      </c>
      <c r="L6304" t="n">
        <v>0</v>
      </c>
      <c r="M6304" t="n">
        <v>0</v>
      </c>
      <c r="N6304" t="n">
        <v>0</v>
      </c>
      <c r="O6304" t="n">
        <v>0</v>
      </c>
      <c r="P6304" t="n">
        <v>0</v>
      </c>
      <c r="Q6304" t="n">
        <v>0</v>
      </c>
      <c r="R6304" s="2" t="inlineStr"/>
    </row>
    <row r="6305" ht="15" customHeight="1">
      <c r="A6305" t="inlineStr">
        <is>
          <t>A 20994-2023</t>
        </is>
      </c>
      <c r="B6305" s="1" t="n">
        <v>45056</v>
      </c>
      <c r="C6305" s="1" t="n">
        <v>45182</v>
      </c>
      <c r="D6305" t="inlineStr">
        <is>
          <t>JÄMTLANDS LÄN</t>
        </is>
      </c>
      <c r="E6305" t="inlineStr">
        <is>
          <t>RAGUNDA</t>
        </is>
      </c>
      <c r="G6305" t="n">
        <v>1.3</v>
      </c>
      <c r="H6305" t="n">
        <v>0</v>
      </c>
      <c r="I6305" t="n">
        <v>0</v>
      </c>
      <c r="J6305" t="n">
        <v>0</v>
      </c>
      <c r="K6305" t="n">
        <v>0</v>
      </c>
      <c r="L6305" t="n">
        <v>0</v>
      </c>
      <c r="M6305" t="n">
        <v>0</v>
      </c>
      <c r="N6305" t="n">
        <v>0</v>
      </c>
      <c r="O6305" t="n">
        <v>0</v>
      </c>
      <c r="P6305" t="n">
        <v>0</v>
      </c>
      <c r="Q6305" t="n">
        <v>0</v>
      </c>
      <c r="R6305" s="2" t="inlineStr"/>
    </row>
    <row r="6306" ht="15" customHeight="1">
      <c r="A6306" t="inlineStr">
        <is>
          <t>A 20588-2023</t>
        </is>
      </c>
      <c r="B6306" s="1" t="n">
        <v>45057</v>
      </c>
      <c r="C6306" s="1" t="n">
        <v>45182</v>
      </c>
      <c r="D6306" t="inlineStr">
        <is>
          <t>JÄMTLANDS LÄN</t>
        </is>
      </c>
      <c r="E6306" t="inlineStr">
        <is>
          <t>ÖSTERSUND</t>
        </is>
      </c>
      <c r="G6306" t="n">
        <v>0.9</v>
      </c>
      <c r="H6306" t="n">
        <v>0</v>
      </c>
      <c r="I6306" t="n">
        <v>0</v>
      </c>
      <c r="J6306" t="n">
        <v>0</v>
      </c>
      <c r="K6306" t="n">
        <v>0</v>
      </c>
      <c r="L6306" t="n">
        <v>0</v>
      </c>
      <c r="M6306" t="n">
        <v>0</v>
      </c>
      <c r="N6306" t="n">
        <v>0</v>
      </c>
      <c r="O6306" t="n">
        <v>0</v>
      </c>
      <c r="P6306" t="n">
        <v>0</v>
      </c>
      <c r="Q6306" t="n">
        <v>0</v>
      </c>
      <c r="R6306" s="2" t="inlineStr"/>
    </row>
    <row r="6307" ht="15" customHeight="1">
      <c r="A6307" t="inlineStr">
        <is>
          <t>A 20609-2023</t>
        </is>
      </c>
      <c r="B6307" s="1" t="n">
        <v>45057</v>
      </c>
      <c r="C6307" s="1" t="n">
        <v>45182</v>
      </c>
      <c r="D6307" t="inlineStr">
        <is>
          <t>JÄMTLANDS LÄN</t>
        </is>
      </c>
      <c r="E6307" t="inlineStr">
        <is>
          <t>HÄRJEDALEN</t>
        </is>
      </c>
      <c r="F6307" t="inlineStr">
        <is>
          <t>SCA</t>
        </is>
      </c>
      <c r="G6307" t="n">
        <v>15.6</v>
      </c>
      <c r="H6307" t="n">
        <v>0</v>
      </c>
      <c r="I6307" t="n">
        <v>0</v>
      </c>
      <c r="J6307" t="n">
        <v>0</v>
      </c>
      <c r="K6307" t="n">
        <v>0</v>
      </c>
      <c r="L6307" t="n">
        <v>0</v>
      </c>
      <c r="M6307" t="n">
        <v>0</v>
      </c>
      <c r="N6307" t="n">
        <v>0</v>
      </c>
      <c r="O6307" t="n">
        <v>0</v>
      </c>
      <c r="P6307" t="n">
        <v>0</v>
      </c>
      <c r="Q6307" t="n">
        <v>0</v>
      </c>
      <c r="R6307" s="2" t="inlineStr"/>
      <c r="U6307">
        <f>HYPERLINK("https://klasma.github.io/Logging_HARJEDALEN/knärot/A 20609-2023.png")</f>
        <v/>
      </c>
      <c r="V6307">
        <f>HYPERLINK("https://klasma.github.io/Logging_HARJEDALEN/klagomål/A 20609-2023.docx")</f>
        <v/>
      </c>
      <c r="W6307">
        <f>HYPERLINK("https://klasma.github.io/Logging_HARJEDALEN/klagomålsmail/A 20609-2023.docx")</f>
        <v/>
      </c>
      <c r="X6307">
        <f>HYPERLINK("https://klasma.github.io/Logging_HARJEDALEN/tillsyn/A 20609-2023.docx")</f>
        <v/>
      </c>
      <c r="Y6307">
        <f>HYPERLINK("https://klasma.github.io/Logging_HARJEDALEN/tillsynsmail/A 20609-2023.docx")</f>
        <v/>
      </c>
    </row>
    <row r="6308" ht="15" customHeight="1">
      <c r="A6308" t="inlineStr">
        <is>
          <t>A 20616-2023</t>
        </is>
      </c>
      <c r="B6308" s="1" t="n">
        <v>45057</v>
      </c>
      <c r="C6308" s="1" t="n">
        <v>45182</v>
      </c>
      <c r="D6308" t="inlineStr">
        <is>
          <t>JÄMTLANDS LÄN</t>
        </is>
      </c>
      <c r="E6308" t="inlineStr">
        <is>
          <t>BRÄCKE</t>
        </is>
      </c>
      <c r="F6308" t="inlineStr">
        <is>
          <t>SCA</t>
        </is>
      </c>
      <c r="G6308" t="n">
        <v>1.7</v>
      </c>
      <c r="H6308" t="n">
        <v>0</v>
      </c>
      <c r="I6308" t="n">
        <v>0</v>
      </c>
      <c r="J6308" t="n">
        <v>0</v>
      </c>
      <c r="K6308" t="n">
        <v>0</v>
      </c>
      <c r="L6308" t="n">
        <v>0</v>
      </c>
      <c r="M6308" t="n">
        <v>0</v>
      </c>
      <c r="N6308" t="n">
        <v>0</v>
      </c>
      <c r="O6308" t="n">
        <v>0</v>
      </c>
      <c r="P6308" t="n">
        <v>0</v>
      </c>
      <c r="Q6308" t="n">
        <v>0</v>
      </c>
      <c r="R6308" s="2" t="inlineStr"/>
    </row>
    <row r="6309" ht="15" customHeight="1">
      <c r="A6309" t="inlineStr">
        <is>
          <t>A 20592-2023</t>
        </is>
      </c>
      <c r="B6309" s="1" t="n">
        <v>45057</v>
      </c>
      <c r="C6309" s="1" t="n">
        <v>45182</v>
      </c>
      <c r="D6309" t="inlineStr">
        <is>
          <t>JÄMTLANDS LÄN</t>
        </is>
      </c>
      <c r="E6309" t="inlineStr">
        <is>
          <t>STRÖMSUND</t>
        </is>
      </c>
      <c r="F6309" t="inlineStr">
        <is>
          <t>SCA</t>
        </is>
      </c>
      <c r="G6309" t="n">
        <v>8.800000000000001</v>
      </c>
      <c r="H6309" t="n">
        <v>0</v>
      </c>
      <c r="I6309" t="n">
        <v>0</v>
      </c>
      <c r="J6309" t="n">
        <v>0</v>
      </c>
      <c r="K6309" t="n">
        <v>0</v>
      </c>
      <c r="L6309" t="n">
        <v>0</v>
      </c>
      <c r="M6309" t="n">
        <v>0</v>
      </c>
      <c r="N6309" t="n">
        <v>0</v>
      </c>
      <c r="O6309" t="n">
        <v>0</v>
      </c>
      <c r="P6309" t="n">
        <v>0</v>
      </c>
      <c r="Q6309" t="n">
        <v>0</v>
      </c>
      <c r="R6309" s="2" t="inlineStr"/>
    </row>
    <row r="6310" ht="15" customHeight="1">
      <c r="A6310" t="inlineStr">
        <is>
          <t>A 20606-2023</t>
        </is>
      </c>
      <c r="B6310" s="1" t="n">
        <v>45057</v>
      </c>
      <c r="C6310" s="1" t="n">
        <v>45182</v>
      </c>
      <c r="D6310" t="inlineStr">
        <is>
          <t>JÄMTLANDS LÄN</t>
        </is>
      </c>
      <c r="E6310" t="inlineStr">
        <is>
          <t>ÖSTERSUND</t>
        </is>
      </c>
      <c r="F6310" t="inlineStr">
        <is>
          <t>SCA</t>
        </is>
      </c>
      <c r="G6310" t="n">
        <v>0.9</v>
      </c>
      <c r="H6310" t="n">
        <v>0</v>
      </c>
      <c r="I6310" t="n">
        <v>0</v>
      </c>
      <c r="J6310" t="n">
        <v>0</v>
      </c>
      <c r="K6310" t="n">
        <v>0</v>
      </c>
      <c r="L6310" t="n">
        <v>0</v>
      </c>
      <c r="M6310" t="n">
        <v>0</v>
      </c>
      <c r="N6310" t="n">
        <v>0</v>
      </c>
      <c r="O6310" t="n">
        <v>0</v>
      </c>
      <c r="P6310" t="n">
        <v>0</v>
      </c>
      <c r="Q6310" t="n">
        <v>0</v>
      </c>
      <c r="R6310" s="2" t="inlineStr"/>
    </row>
    <row r="6311" ht="15" customHeight="1">
      <c r="A6311" t="inlineStr">
        <is>
          <t>A 20613-2023</t>
        </is>
      </c>
      <c r="B6311" s="1" t="n">
        <v>45057</v>
      </c>
      <c r="C6311" s="1" t="n">
        <v>45182</v>
      </c>
      <c r="D6311" t="inlineStr">
        <is>
          <t>JÄMTLANDS LÄN</t>
        </is>
      </c>
      <c r="E6311" t="inlineStr">
        <is>
          <t>BRÄCKE</t>
        </is>
      </c>
      <c r="F6311" t="inlineStr">
        <is>
          <t>SCA</t>
        </is>
      </c>
      <c r="G6311" t="n">
        <v>7.9</v>
      </c>
      <c r="H6311" t="n">
        <v>0</v>
      </c>
      <c r="I6311" t="n">
        <v>0</v>
      </c>
      <c r="J6311" t="n">
        <v>0</v>
      </c>
      <c r="K6311" t="n">
        <v>0</v>
      </c>
      <c r="L6311" t="n">
        <v>0</v>
      </c>
      <c r="M6311" t="n">
        <v>0</v>
      </c>
      <c r="N6311" t="n">
        <v>0</v>
      </c>
      <c r="O6311" t="n">
        <v>0</v>
      </c>
      <c r="P6311" t="n">
        <v>0</v>
      </c>
      <c r="Q6311" t="n">
        <v>0</v>
      </c>
      <c r="R6311" s="2" t="inlineStr"/>
    </row>
    <row r="6312" ht="15" customHeight="1">
      <c r="A6312" t="inlineStr">
        <is>
          <t>A 20630-2023</t>
        </is>
      </c>
      <c r="B6312" s="1" t="n">
        <v>45057</v>
      </c>
      <c r="C6312" s="1" t="n">
        <v>45182</v>
      </c>
      <c r="D6312" t="inlineStr">
        <is>
          <t>JÄMTLANDS LÄN</t>
        </is>
      </c>
      <c r="E6312" t="inlineStr">
        <is>
          <t>BRÄCKE</t>
        </is>
      </c>
      <c r="G6312" t="n">
        <v>2.4</v>
      </c>
      <c r="H6312" t="n">
        <v>0</v>
      </c>
      <c r="I6312" t="n">
        <v>0</v>
      </c>
      <c r="J6312" t="n">
        <v>0</v>
      </c>
      <c r="K6312" t="n">
        <v>0</v>
      </c>
      <c r="L6312" t="n">
        <v>0</v>
      </c>
      <c r="M6312" t="n">
        <v>0</v>
      </c>
      <c r="N6312" t="n">
        <v>0</v>
      </c>
      <c r="O6312" t="n">
        <v>0</v>
      </c>
      <c r="P6312" t="n">
        <v>0</v>
      </c>
      <c r="Q6312" t="n">
        <v>0</v>
      </c>
      <c r="R6312" s="2" t="inlineStr"/>
    </row>
    <row r="6313" ht="15" customHeight="1">
      <c r="A6313" t="inlineStr">
        <is>
          <t>A 21146-2023</t>
        </is>
      </c>
      <c r="B6313" s="1" t="n">
        <v>45057</v>
      </c>
      <c r="C6313" s="1" t="n">
        <v>45182</v>
      </c>
      <c r="D6313" t="inlineStr">
        <is>
          <t>JÄMTLANDS LÄN</t>
        </is>
      </c>
      <c r="E6313" t="inlineStr">
        <is>
          <t>STRÖMSUND</t>
        </is>
      </c>
      <c r="G6313" t="n">
        <v>2.6</v>
      </c>
      <c r="H6313" t="n">
        <v>0</v>
      </c>
      <c r="I6313" t="n">
        <v>0</v>
      </c>
      <c r="J6313" t="n">
        <v>0</v>
      </c>
      <c r="K6313" t="n">
        <v>0</v>
      </c>
      <c r="L6313" t="n">
        <v>0</v>
      </c>
      <c r="M6313" t="n">
        <v>0</v>
      </c>
      <c r="N6313" t="n">
        <v>0</v>
      </c>
      <c r="O6313" t="n">
        <v>0</v>
      </c>
      <c r="P6313" t="n">
        <v>0</v>
      </c>
      <c r="Q6313" t="n">
        <v>0</v>
      </c>
      <c r="R6313" s="2" t="inlineStr"/>
    </row>
    <row r="6314" ht="15" customHeight="1">
      <c r="A6314" t="inlineStr">
        <is>
          <t>A 20603-2023</t>
        </is>
      </c>
      <c r="B6314" s="1" t="n">
        <v>45057</v>
      </c>
      <c r="C6314" s="1" t="n">
        <v>45182</v>
      </c>
      <c r="D6314" t="inlineStr">
        <is>
          <t>JÄMTLANDS LÄN</t>
        </is>
      </c>
      <c r="E6314" t="inlineStr">
        <is>
          <t>BRÄCKE</t>
        </is>
      </c>
      <c r="F6314" t="inlineStr">
        <is>
          <t>SCA</t>
        </is>
      </c>
      <c r="G6314" t="n">
        <v>13.5</v>
      </c>
      <c r="H6314" t="n">
        <v>0</v>
      </c>
      <c r="I6314" t="n">
        <v>0</v>
      </c>
      <c r="J6314" t="n">
        <v>0</v>
      </c>
      <c r="K6314" t="n">
        <v>0</v>
      </c>
      <c r="L6314" t="n">
        <v>0</v>
      </c>
      <c r="M6314" t="n">
        <v>0</v>
      </c>
      <c r="N6314" t="n">
        <v>0</v>
      </c>
      <c r="O6314" t="n">
        <v>0</v>
      </c>
      <c r="P6314" t="n">
        <v>0</v>
      </c>
      <c r="Q6314" t="n">
        <v>0</v>
      </c>
      <c r="R6314" s="2" t="inlineStr"/>
    </row>
    <row r="6315" ht="15" customHeight="1">
      <c r="A6315" t="inlineStr">
        <is>
          <t>A 20614-2023</t>
        </is>
      </c>
      <c r="B6315" s="1" t="n">
        <v>45057</v>
      </c>
      <c r="C6315" s="1" t="n">
        <v>45182</v>
      </c>
      <c r="D6315" t="inlineStr">
        <is>
          <t>JÄMTLANDS LÄN</t>
        </is>
      </c>
      <c r="E6315" t="inlineStr">
        <is>
          <t>BRÄCKE</t>
        </is>
      </c>
      <c r="F6315" t="inlineStr">
        <is>
          <t>SCA</t>
        </is>
      </c>
      <c r="G6315" t="n">
        <v>2.8</v>
      </c>
      <c r="H6315" t="n">
        <v>0</v>
      </c>
      <c r="I6315" t="n">
        <v>0</v>
      </c>
      <c r="J6315" t="n">
        <v>0</v>
      </c>
      <c r="K6315" t="n">
        <v>0</v>
      </c>
      <c r="L6315" t="n">
        <v>0</v>
      </c>
      <c r="M6315" t="n">
        <v>0</v>
      </c>
      <c r="N6315" t="n">
        <v>0</v>
      </c>
      <c r="O6315" t="n">
        <v>0</v>
      </c>
      <c r="P6315" t="n">
        <v>0</v>
      </c>
      <c r="Q6315" t="n">
        <v>0</v>
      </c>
      <c r="R6315" s="2" t="inlineStr"/>
    </row>
    <row r="6316" ht="15" customHeight="1">
      <c r="A6316" t="inlineStr">
        <is>
          <t>A 20622-2023</t>
        </is>
      </c>
      <c r="B6316" s="1" t="n">
        <v>45057</v>
      </c>
      <c r="C6316" s="1" t="n">
        <v>45182</v>
      </c>
      <c r="D6316" t="inlineStr">
        <is>
          <t>JÄMTLANDS LÄN</t>
        </is>
      </c>
      <c r="E6316" t="inlineStr">
        <is>
          <t>KROKOM</t>
        </is>
      </c>
      <c r="F6316" t="inlineStr">
        <is>
          <t>SCA</t>
        </is>
      </c>
      <c r="G6316" t="n">
        <v>15.5</v>
      </c>
      <c r="H6316" t="n">
        <v>0</v>
      </c>
      <c r="I6316" t="n">
        <v>0</v>
      </c>
      <c r="J6316" t="n">
        <v>0</v>
      </c>
      <c r="K6316" t="n">
        <v>0</v>
      </c>
      <c r="L6316" t="n">
        <v>0</v>
      </c>
      <c r="M6316" t="n">
        <v>0</v>
      </c>
      <c r="N6316" t="n">
        <v>0</v>
      </c>
      <c r="O6316" t="n">
        <v>0</v>
      </c>
      <c r="P6316" t="n">
        <v>0</v>
      </c>
      <c r="Q6316" t="n">
        <v>0</v>
      </c>
      <c r="R6316" s="2" t="inlineStr"/>
    </row>
    <row r="6317" ht="15" customHeight="1">
      <c r="A6317" t="inlineStr">
        <is>
          <t>A 20631-2023</t>
        </is>
      </c>
      <c r="B6317" s="1" t="n">
        <v>45057</v>
      </c>
      <c r="C6317" s="1" t="n">
        <v>45182</v>
      </c>
      <c r="D6317" t="inlineStr">
        <is>
          <t>JÄMTLANDS LÄN</t>
        </is>
      </c>
      <c r="E6317" t="inlineStr">
        <is>
          <t>STRÖMSUND</t>
        </is>
      </c>
      <c r="F6317" t="inlineStr">
        <is>
          <t>SCA</t>
        </is>
      </c>
      <c r="G6317" t="n">
        <v>6.4</v>
      </c>
      <c r="H6317" t="n">
        <v>0</v>
      </c>
      <c r="I6317" t="n">
        <v>0</v>
      </c>
      <c r="J6317" t="n">
        <v>0</v>
      </c>
      <c r="K6317" t="n">
        <v>0</v>
      </c>
      <c r="L6317" t="n">
        <v>0</v>
      </c>
      <c r="M6317" t="n">
        <v>0</v>
      </c>
      <c r="N6317" t="n">
        <v>0</v>
      </c>
      <c r="O6317" t="n">
        <v>0</v>
      </c>
      <c r="P6317" t="n">
        <v>0</v>
      </c>
      <c r="Q6317" t="n">
        <v>0</v>
      </c>
      <c r="R6317" s="2" t="inlineStr"/>
    </row>
    <row r="6318" ht="15" customHeight="1">
      <c r="A6318" t="inlineStr">
        <is>
          <t>A 20605-2023</t>
        </is>
      </c>
      <c r="B6318" s="1" t="n">
        <v>45057</v>
      </c>
      <c r="C6318" s="1" t="n">
        <v>45182</v>
      </c>
      <c r="D6318" t="inlineStr">
        <is>
          <t>JÄMTLANDS LÄN</t>
        </is>
      </c>
      <c r="E6318" t="inlineStr">
        <is>
          <t>BRÄCKE</t>
        </is>
      </c>
      <c r="F6318" t="inlineStr">
        <is>
          <t>SCA</t>
        </is>
      </c>
      <c r="G6318" t="n">
        <v>4.7</v>
      </c>
      <c r="H6318" t="n">
        <v>0</v>
      </c>
      <c r="I6318" t="n">
        <v>0</v>
      </c>
      <c r="J6318" t="n">
        <v>0</v>
      </c>
      <c r="K6318" t="n">
        <v>0</v>
      </c>
      <c r="L6318" t="n">
        <v>0</v>
      </c>
      <c r="M6318" t="n">
        <v>0</v>
      </c>
      <c r="N6318" t="n">
        <v>0</v>
      </c>
      <c r="O6318" t="n">
        <v>0</v>
      </c>
      <c r="P6318" t="n">
        <v>0</v>
      </c>
      <c r="Q6318" t="n">
        <v>0</v>
      </c>
      <c r="R6318" s="2" t="inlineStr"/>
    </row>
    <row r="6319" ht="15" customHeight="1">
      <c r="A6319" t="inlineStr">
        <is>
          <t>A 20612-2023</t>
        </is>
      </c>
      <c r="B6319" s="1" t="n">
        <v>45057</v>
      </c>
      <c r="C6319" s="1" t="n">
        <v>45182</v>
      </c>
      <c r="D6319" t="inlineStr">
        <is>
          <t>JÄMTLANDS LÄN</t>
        </is>
      </c>
      <c r="E6319" t="inlineStr">
        <is>
          <t>BRÄCKE</t>
        </is>
      </c>
      <c r="F6319" t="inlineStr">
        <is>
          <t>SCA</t>
        </is>
      </c>
      <c r="G6319" t="n">
        <v>1.8</v>
      </c>
      <c r="H6319" t="n">
        <v>0</v>
      </c>
      <c r="I6319" t="n">
        <v>0</v>
      </c>
      <c r="J6319" t="n">
        <v>0</v>
      </c>
      <c r="K6319" t="n">
        <v>0</v>
      </c>
      <c r="L6319" t="n">
        <v>0</v>
      </c>
      <c r="M6319" t="n">
        <v>0</v>
      </c>
      <c r="N6319" t="n">
        <v>0</v>
      </c>
      <c r="O6319" t="n">
        <v>0</v>
      </c>
      <c r="P6319" t="n">
        <v>0</v>
      </c>
      <c r="Q6319" t="n">
        <v>0</v>
      </c>
      <c r="R6319" s="2" t="inlineStr"/>
    </row>
    <row r="6320" ht="15" customHeight="1">
      <c r="A6320" t="inlineStr">
        <is>
          <t>A 20617-2023</t>
        </is>
      </c>
      <c r="B6320" s="1" t="n">
        <v>45057</v>
      </c>
      <c r="C6320" s="1" t="n">
        <v>45182</v>
      </c>
      <c r="D6320" t="inlineStr">
        <is>
          <t>JÄMTLANDS LÄN</t>
        </is>
      </c>
      <c r="E6320" t="inlineStr">
        <is>
          <t>BRÄCKE</t>
        </is>
      </c>
      <c r="F6320" t="inlineStr">
        <is>
          <t>SCA</t>
        </is>
      </c>
      <c r="G6320" t="n">
        <v>10.5</v>
      </c>
      <c r="H6320" t="n">
        <v>0</v>
      </c>
      <c r="I6320" t="n">
        <v>0</v>
      </c>
      <c r="J6320" t="n">
        <v>0</v>
      </c>
      <c r="K6320" t="n">
        <v>0</v>
      </c>
      <c r="L6320" t="n">
        <v>0</v>
      </c>
      <c r="M6320" t="n">
        <v>0</v>
      </c>
      <c r="N6320" t="n">
        <v>0</v>
      </c>
      <c r="O6320" t="n">
        <v>0</v>
      </c>
      <c r="P6320" t="n">
        <v>0</v>
      </c>
      <c r="Q6320" t="n">
        <v>0</v>
      </c>
      <c r="R6320" s="2" t="inlineStr"/>
    </row>
    <row r="6321" ht="15" customHeight="1">
      <c r="A6321" t="inlineStr">
        <is>
          <t>A 20864-2023</t>
        </is>
      </c>
      <c r="B6321" s="1" t="n">
        <v>45058</v>
      </c>
      <c r="C6321" s="1" t="n">
        <v>45182</v>
      </c>
      <c r="D6321" t="inlineStr">
        <is>
          <t>JÄMTLANDS LÄN</t>
        </is>
      </c>
      <c r="E6321" t="inlineStr">
        <is>
          <t>BRÄCKE</t>
        </is>
      </c>
      <c r="F6321" t="inlineStr">
        <is>
          <t>SCA</t>
        </is>
      </c>
      <c r="G6321" t="n">
        <v>5.2</v>
      </c>
      <c r="H6321" t="n">
        <v>0</v>
      </c>
      <c r="I6321" t="n">
        <v>0</v>
      </c>
      <c r="J6321" t="n">
        <v>0</v>
      </c>
      <c r="K6321" t="n">
        <v>0</v>
      </c>
      <c r="L6321" t="n">
        <v>0</v>
      </c>
      <c r="M6321" t="n">
        <v>0</v>
      </c>
      <c r="N6321" t="n">
        <v>0</v>
      </c>
      <c r="O6321" t="n">
        <v>0</v>
      </c>
      <c r="P6321" t="n">
        <v>0</v>
      </c>
      <c r="Q6321" t="n">
        <v>0</v>
      </c>
      <c r="R6321" s="2" t="inlineStr"/>
    </row>
    <row r="6322" ht="15" customHeight="1">
      <c r="A6322" t="inlineStr">
        <is>
          <t>A 20887-2023</t>
        </is>
      </c>
      <c r="B6322" s="1" t="n">
        <v>45058</v>
      </c>
      <c r="C6322" s="1" t="n">
        <v>45182</v>
      </c>
      <c r="D6322" t="inlineStr">
        <is>
          <t>JÄMTLANDS LÄN</t>
        </is>
      </c>
      <c r="E6322" t="inlineStr">
        <is>
          <t>STRÖMSUND</t>
        </is>
      </c>
      <c r="F6322" t="inlineStr">
        <is>
          <t>SCA</t>
        </is>
      </c>
      <c r="G6322" t="n">
        <v>0.6</v>
      </c>
      <c r="H6322" t="n">
        <v>0</v>
      </c>
      <c r="I6322" t="n">
        <v>0</v>
      </c>
      <c r="J6322" t="n">
        <v>0</v>
      </c>
      <c r="K6322" t="n">
        <v>0</v>
      </c>
      <c r="L6322" t="n">
        <v>0</v>
      </c>
      <c r="M6322" t="n">
        <v>0</v>
      </c>
      <c r="N6322" t="n">
        <v>0</v>
      </c>
      <c r="O6322" t="n">
        <v>0</v>
      </c>
      <c r="P6322" t="n">
        <v>0</v>
      </c>
      <c r="Q6322" t="n">
        <v>0</v>
      </c>
      <c r="R6322" s="2" t="inlineStr"/>
    </row>
    <row r="6323" ht="15" customHeight="1">
      <c r="A6323" t="inlineStr">
        <is>
          <t>A 21183-2023</t>
        </is>
      </c>
      <c r="B6323" s="1" t="n">
        <v>45058</v>
      </c>
      <c r="C6323" s="1" t="n">
        <v>45182</v>
      </c>
      <c r="D6323" t="inlineStr">
        <is>
          <t>JÄMTLANDS LÄN</t>
        </is>
      </c>
      <c r="E6323" t="inlineStr">
        <is>
          <t>BRÄCKE</t>
        </is>
      </c>
      <c r="G6323" t="n">
        <v>1.5</v>
      </c>
      <c r="H6323" t="n">
        <v>0</v>
      </c>
      <c r="I6323" t="n">
        <v>0</v>
      </c>
      <c r="J6323" t="n">
        <v>0</v>
      </c>
      <c r="K6323" t="n">
        <v>0</v>
      </c>
      <c r="L6323" t="n">
        <v>0</v>
      </c>
      <c r="M6323" t="n">
        <v>0</v>
      </c>
      <c r="N6323" t="n">
        <v>0</v>
      </c>
      <c r="O6323" t="n">
        <v>0</v>
      </c>
      <c r="P6323" t="n">
        <v>0</v>
      </c>
      <c r="Q6323" t="n">
        <v>0</v>
      </c>
      <c r="R6323" s="2" t="inlineStr"/>
    </row>
    <row r="6324" ht="15" customHeight="1">
      <c r="A6324" t="inlineStr">
        <is>
          <t>A 20867-2023</t>
        </is>
      </c>
      <c r="B6324" s="1" t="n">
        <v>45058</v>
      </c>
      <c r="C6324" s="1" t="n">
        <v>45182</v>
      </c>
      <c r="D6324" t="inlineStr">
        <is>
          <t>JÄMTLANDS LÄN</t>
        </is>
      </c>
      <c r="E6324" t="inlineStr">
        <is>
          <t>BRÄCKE</t>
        </is>
      </c>
      <c r="F6324" t="inlineStr">
        <is>
          <t>SCA</t>
        </is>
      </c>
      <c r="G6324" t="n">
        <v>2.9</v>
      </c>
      <c r="H6324" t="n">
        <v>0</v>
      </c>
      <c r="I6324" t="n">
        <v>0</v>
      </c>
      <c r="J6324" t="n">
        <v>0</v>
      </c>
      <c r="K6324" t="n">
        <v>0</v>
      </c>
      <c r="L6324" t="n">
        <v>0</v>
      </c>
      <c r="M6324" t="n">
        <v>0</v>
      </c>
      <c r="N6324" t="n">
        <v>0</v>
      </c>
      <c r="O6324" t="n">
        <v>0</v>
      </c>
      <c r="P6324" t="n">
        <v>0</v>
      </c>
      <c r="Q6324" t="n">
        <v>0</v>
      </c>
      <c r="R6324" s="2" t="inlineStr"/>
    </row>
    <row r="6325" ht="15" customHeight="1">
      <c r="A6325" t="inlineStr">
        <is>
          <t>A 20866-2023</t>
        </is>
      </c>
      <c r="B6325" s="1" t="n">
        <v>45058</v>
      </c>
      <c r="C6325" s="1" t="n">
        <v>45182</v>
      </c>
      <c r="D6325" t="inlineStr">
        <is>
          <t>JÄMTLANDS LÄN</t>
        </is>
      </c>
      <c r="E6325" t="inlineStr">
        <is>
          <t>BRÄCKE</t>
        </is>
      </c>
      <c r="F6325" t="inlineStr">
        <is>
          <t>SCA</t>
        </is>
      </c>
      <c r="G6325" t="n">
        <v>8.5</v>
      </c>
      <c r="H6325" t="n">
        <v>0</v>
      </c>
      <c r="I6325" t="n">
        <v>0</v>
      </c>
      <c r="J6325" t="n">
        <v>0</v>
      </c>
      <c r="K6325" t="n">
        <v>0</v>
      </c>
      <c r="L6325" t="n">
        <v>0</v>
      </c>
      <c r="M6325" t="n">
        <v>0</v>
      </c>
      <c r="N6325" t="n">
        <v>0</v>
      </c>
      <c r="O6325" t="n">
        <v>0</v>
      </c>
      <c r="P6325" t="n">
        <v>0</v>
      </c>
      <c r="Q6325" t="n">
        <v>0</v>
      </c>
      <c r="R6325" s="2" t="inlineStr"/>
    </row>
    <row r="6326" ht="15" customHeight="1">
      <c r="A6326" t="inlineStr">
        <is>
          <t>A 20882-2023</t>
        </is>
      </c>
      <c r="B6326" s="1" t="n">
        <v>45058</v>
      </c>
      <c r="C6326" s="1" t="n">
        <v>45182</v>
      </c>
      <c r="D6326" t="inlineStr">
        <is>
          <t>JÄMTLANDS LÄN</t>
        </is>
      </c>
      <c r="E6326" t="inlineStr">
        <is>
          <t>BERG</t>
        </is>
      </c>
      <c r="F6326" t="inlineStr">
        <is>
          <t>SCA</t>
        </is>
      </c>
      <c r="G6326" t="n">
        <v>0.5</v>
      </c>
      <c r="H6326" t="n">
        <v>0</v>
      </c>
      <c r="I6326" t="n">
        <v>0</v>
      </c>
      <c r="J6326" t="n">
        <v>0</v>
      </c>
      <c r="K6326" t="n">
        <v>0</v>
      </c>
      <c r="L6326" t="n">
        <v>0</v>
      </c>
      <c r="M6326" t="n">
        <v>0</v>
      </c>
      <c r="N6326" t="n">
        <v>0</v>
      </c>
      <c r="O6326" t="n">
        <v>0</v>
      </c>
      <c r="P6326" t="n">
        <v>0</v>
      </c>
      <c r="Q6326" t="n">
        <v>0</v>
      </c>
      <c r="R6326" s="2" t="inlineStr"/>
    </row>
    <row r="6327" ht="15" customHeight="1">
      <c r="A6327" t="inlineStr">
        <is>
          <t>A 21243-2023</t>
        </is>
      </c>
      <c r="B6327" s="1" t="n">
        <v>45058</v>
      </c>
      <c r="C6327" s="1" t="n">
        <v>45182</v>
      </c>
      <c r="D6327" t="inlineStr">
        <is>
          <t>JÄMTLANDS LÄN</t>
        </is>
      </c>
      <c r="E6327" t="inlineStr">
        <is>
          <t>BRÄCKE</t>
        </is>
      </c>
      <c r="G6327" t="n">
        <v>3</v>
      </c>
      <c r="H6327" t="n">
        <v>0</v>
      </c>
      <c r="I6327" t="n">
        <v>0</v>
      </c>
      <c r="J6327" t="n">
        <v>0</v>
      </c>
      <c r="K6327" t="n">
        <v>0</v>
      </c>
      <c r="L6327" t="n">
        <v>0</v>
      </c>
      <c r="M6327" t="n">
        <v>0</v>
      </c>
      <c r="N6327" t="n">
        <v>0</v>
      </c>
      <c r="O6327" t="n">
        <v>0</v>
      </c>
      <c r="P6327" t="n">
        <v>0</v>
      </c>
      <c r="Q6327" t="n">
        <v>0</v>
      </c>
      <c r="R6327" s="2" t="inlineStr"/>
    </row>
    <row r="6328" ht="15" customHeight="1">
      <c r="A6328" t="inlineStr">
        <is>
          <t>A 20863-2023</t>
        </is>
      </c>
      <c r="B6328" s="1" t="n">
        <v>45058</v>
      </c>
      <c r="C6328" s="1" t="n">
        <v>45182</v>
      </c>
      <c r="D6328" t="inlineStr">
        <is>
          <t>JÄMTLANDS LÄN</t>
        </is>
      </c>
      <c r="E6328" t="inlineStr">
        <is>
          <t>BRÄCKE</t>
        </is>
      </c>
      <c r="F6328" t="inlineStr">
        <is>
          <t>SCA</t>
        </is>
      </c>
      <c r="G6328" t="n">
        <v>8.699999999999999</v>
      </c>
      <c r="H6328" t="n">
        <v>0</v>
      </c>
      <c r="I6328" t="n">
        <v>0</v>
      </c>
      <c r="J6328" t="n">
        <v>0</v>
      </c>
      <c r="K6328" t="n">
        <v>0</v>
      </c>
      <c r="L6328" t="n">
        <v>0</v>
      </c>
      <c r="M6328" t="n">
        <v>0</v>
      </c>
      <c r="N6328" t="n">
        <v>0</v>
      </c>
      <c r="O6328" t="n">
        <v>0</v>
      </c>
      <c r="P6328" t="n">
        <v>0</v>
      </c>
      <c r="Q6328" t="n">
        <v>0</v>
      </c>
      <c r="R6328" s="2" t="inlineStr"/>
    </row>
    <row r="6329" ht="15" customHeight="1">
      <c r="A6329" t="inlineStr">
        <is>
          <t>A 20869-2023</t>
        </is>
      </c>
      <c r="B6329" s="1" t="n">
        <v>45058</v>
      </c>
      <c r="C6329" s="1" t="n">
        <v>45182</v>
      </c>
      <c r="D6329" t="inlineStr">
        <is>
          <t>JÄMTLANDS LÄN</t>
        </is>
      </c>
      <c r="E6329" t="inlineStr">
        <is>
          <t>BRÄCKE</t>
        </is>
      </c>
      <c r="F6329" t="inlineStr">
        <is>
          <t>SCA</t>
        </is>
      </c>
      <c r="G6329" t="n">
        <v>11.8</v>
      </c>
      <c r="H6329" t="n">
        <v>0</v>
      </c>
      <c r="I6329" t="n">
        <v>0</v>
      </c>
      <c r="J6329" t="n">
        <v>0</v>
      </c>
      <c r="K6329" t="n">
        <v>0</v>
      </c>
      <c r="L6329" t="n">
        <v>0</v>
      </c>
      <c r="M6329" t="n">
        <v>0</v>
      </c>
      <c r="N6329" t="n">
        <v>0</v>
      </c>
      <c r="O6329" t="n">
        <v>0</v>
      </c>
      <c r="P6329" t="n">
        <v>0</v>
      </c>
      <c r="Q6329" t="n">
        <v>0</v>
      </c>
      <c r="R6329" s="2" t="inlineStr"/>
    </row>
    <row r="6330" ht="15" customHeight="1">
      <c r="A6330" t="inlineStr">
        <is>
          <t>A 20899-2023</t>
        </is>
      </c>
      <c r="B6330" s="1" t="n">
        <v>45060</v>
      </c>
      <c r="C6330" s="1" t="n">
        <v>45182</v>
      </c>
      <c r="D6330" t="inlineStr">
        <is>
          <t>JÄMTLANDS LÄN</t>
        </is>
      </c>
      <c r="E6330" t="inlineStr">
        <is>
          <t>BERG</t>
        </is>
      </c>
      <c r="G6330" t="n">
        <v>1.9</v>
      </c>
      <c r="H6330" t="n">
        <v>0</v>
      </c>
      <c r="I6330" t="n">
        <v>0</v>
      </c>
      <c r="J6330" t="n">
        <v>0</v>
      </c>
      <c r="K6330" t="n">
        <v>0</v>
      </c>
      <c r="L6330" t="n">
        <v>0</v>
      </c>
      <c r="M6330" t="n">
        <v>0</v>
      </c>
      <c r="N6330" t="n">
        <v>0</v>
      </c>
      <c r="O6330" t="n">
        <v>0</v>
      </c>
      <c r="P6330" t="n">
        <v>0</v>
      </c>
      <c r="Q6330" t="n">
        <v>0</v>
      </c>
      <c r="R6330" s="2" t="inlineStr"/>
    </row>
    <row r="6331" ht="15" customHeight="1">
      <c r="A6331" t="inlineStr">
        <is>
          <t>A 21110-2023</t>
        </is>
      </c>
      <c r="B6331" s="1" t="n">
        <v>45061</v>
      </c>
      <c r="C6331" s="1" t="n">
        <v>45182</v>
      </c>
      <c r="D6331" t="inlineStr">
        <is>
          <t>JÄMTLANDS LÄN</t>
        </is>
      </c>
      <c r="E6331" t="inlineStr">
        <is>
          <t>STRÖMSUND</t>
        </is>
      </c>
      <c r="F6331" t="inlineStr">
        <is>
          <t>SCA</t>
        </is>
      </c>
      <c r="G6331" t="n">
        <v>2.4</v>
      </c>
      <c r="H6331" t="n">
        <v>0</v>
      </c>
      <c r="I6331" t="n">
        <v>0</v>
      </c>
      <c r="J6331" t="n">
        <v>0</v>
      </c>
      <c r="K6331" t="n">
        <v>0</v>
      </c>
      <c r="L6331" t="n">
        <v>0</v>
      </c>
      <c r="M6331" t="n">
        <v>0</v>
      </c>
      <c r="N6331" t="n">
        <v>0</v>
      </c>
      <c r="O6331" t="n">
        <v>0</v>
      </c>
      <c r="P6331" t="n">
        <v>0</v>
      </c>
      <c r="Q6331" t="n">
        <v>0</v>
      </c>
      <c r="R6331" s="2" t="inlineStr"/>
    </row>
    <row r="6332" ht="15" customHeight="1">
      <c r="A6332" t="inlineStr">
        <is>
          <t>A 21510-2023</t>
        </is>
      </c>
      <c r="B6332" s="1" t="n">
        <v>45061</v>
      </c>
      <c r="C6332" s="1" t="n">
        <v>45182</v>
      </c>
      <c r="D6332" t="inlineStr">
        <is>
          <t>JÄMTLANDS LÄN</t>
        </is>
      </c>
      <c r="E6332" t="inlineStr">
        <is>
          <t>BRÄCKE</t>
        </is>
      </c>
      <c r="G6332" t="n">
        <v>3.1</v>
      </c>
      <c r="H6332" t="n">
        <v>0</v>
      </c>
      <c r="I6332" t="n">
        <v>0</v>
      </c>
      <c r="J6332" t="n">
        <v>0</v>
      </c>
      <c r="K6332" t="n">
        <v>0</v>
      </c>
      <c r="L6332" t="n">
        <v>0</v>
      </c>
      <c r="M6332" t="n">
        <v>0</v>
      </c>
      <c r="N6332" t="n">
        <v>0</v>
      </c>
      <c r="O6332" t="n">
        <v>0</v>
      </c>
      <c r="P6332" t="n">
        <v>0</v>
      </c>
      <c r="Q6332" t="n">
        <v>0</v>
      </c>
      <c r="R6332" s="2" t="inlineStr"/>
    </row>
    <row r="6333" ht="15" customHeight="1">
      <c r="A6333" t="inlineStr">
        <is>
          <t>A 21115-2023</t>
        </is>
      </c>
      <c r="B6333" s="1" t="n">
        <v>45061</v>
      </c>
      <c r="C6333" s="1" t="n">
        <v>45182</v>
      </c>
      <c r="D6333" t="inlineStr">
        <is>
          <t>JÄMTLANDS LÄN</t>
        </is>
      </c>
      <c r="E6333" t="inlineStr">
        <is>
          <t>STRÖMSUND</t>
        </is>
      </c>
      <c r="F6333" t="inlineStr">
        <is>
          <t>SCA</t>
        </is>
      </c>
      <c r="G6333" t="n">
        <v>1.9</v>
      </c>
      <c r="H6333" t="n">
        <v>0</v>
      </c>
      <c r="I6333" t="n">
        <v>0</v>
      </c>
      <c r="J6333" t="n">
        <v>0</v>
      </c>
      <c r="K6333" t="n">
        <v>0</v>
      </c>
      <c r="L6333" t="n">
        <v>0</v>
      </c>
      <c r="M6333" t="n">
        <v>0</v>
      </c>
      <c r="N6333" t="n">
        <v>0</v>
      </c>
      <c r="O6333" t="n">
        <v>0</v>
      </c>
      <c r="P6333" t="n">
        <v>0</v>
      </c>
      <c r="Q6333" t="n">
        <v>0</v>
      </c>
      <c r="R6333" s="2" t="inlineStr"/>
    </row>
    <row r="6334" ht="15" customHeight="1">
      <c r="A6334" t="inlineStr">
        <is>
          <t>A 21117-2023</t>
        </is>
      </c>
      <c r="B6334" s="1" t="n">
        <v>45061</v>
      </c>
      <c r="C6334" s="1" t="n">
        <v>45182</v>
      </c>
      <c r="D6334" t="inlineStr">
        <is>
          <t>JÄMTLANDS LÄN</t>
        </is>
      </c>
      <c r="E6334" t="inlineStr">
        <is>
          <t>BRÄCKE</t>
        </is>
      </c>
      <c r="F6334" t="inlineStr">
        <is>
          <t>SCA</t>
        </is>
      </c>
      <c r="G6334" t="n">
        <v>0.7</v>
      </c>
      <c r="H6334" t="n">
        <v>0</v>
      </c>
      <c r="I6334" t="n">
        <v>0</v>
      </c>
      <c r="J6334" t="n">
        <v>0</v>
      </c>
      <c r="K6334" t="n">
        <v>0</v>
      </c>
      <c r="L6334" t="n">
        <v>0</v>
      </c>
      <c r="M6334" t="n">
        <v>0</v>
      </c>
      <c r="N6334" t="n">
        <v>0</v>
      </c>
      <c r="O6334" t="n">
        <v>0</v>
      </c>
      <c r="P6334" t="n">
        <v>0</v>
      </c>
      <c r="Q6334" t="n">
        <v>0</v>
      </c>
      <c r="R6334" s="2" t="inlineStr"/>
    </row>
    <row r="6335" ht="15" customHeight="1">
      <c r="A6335" t="inlineStr">
        <is>
          <t>A 21347-2023</t>
        </is>
      </c>
      <c r="B6335" s="1" t="n">
        <v>45062</v>
      </c>
      <c r="C6335" s="1" t="n">
        <v>45182</v>
      </c>
      <c r="D6335" t="inlineStr">
        <is>
          <t>JÄMTLANDS LÄN</t>
        </is>
      </c>
      <c r="E6335" t="inlineStr">
        <is>
          <t>KROKOM</t>
        </is>
      </c>
      <c r="F6335" t="inlineStr">
        <is>
          <t>SCA</t>
        </is>
      </c>
      <c r="G6335" t="n">
        <v>13.6</v>
      </c>
      <c r="H6335" t="n">
        <v>0</v>
      </c>
      <c r="I6335" t="n">
        <v>0</v>
      </c>
      <c r="J6335" t="n">
        <v>0</v>
      </c>
      <c r="K6335" t="n">
        <v>0</v>
      </c>
      <c r="L6335" t="n">
        <v>0</v>
      </c>
      <c r="M6335" t="n">
        <v>0</v>
      </c>
      <c r="N6335" t="n">
        <v>0</v>
      </c>
      <c r="O6335" t="n">
        <v>0</v>
      </c>
      <c r="P6335" t="n">
        <v>0</v>
      </c>
      <c r="Q6335" t="n">
        <v>0</v>
      </c>
      <c r="R6335" s="2" t="inlineStr"/>
    </row>
    <row r="6336" ht="15" customHeight="1">
      <c r="A6336" t="inlineStr">
        <is>
          <t>A 21359-2023</t>
        </is>
      </c>
      <c r="B6336" s="1" t="n">
        <v>45062</v>
      </c>
      <c r="C6336" s="1" t="n">
        <v>45182</v>
      </c>
      <c r="D6336" t="inlineStr">
        <is>
          <t>JÄMTLANDS LÄN</t>
        </is>
      </c>
      <c r="E6336" t="inlineStr">
        <is>
          <t>BRÄCKE</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21338-2023</t>
        </is>
      </c>
      <c r="B6337" s="1" t="n">
        <v>45062</v>
      </c>
      <c r="C6337" s="1" t="n">
        <v>45182</v>
      </c>
      <c r="D6337" t="inlineStr">
        <is>
          <t>JÄMTLANDS LÄN</t>
        </is>
      </c>
      <c r="E6337" t="inlineStr">
        <is>
          <t>STRÖMSUND</t>
        </is>
      </c>
      <c r="F6337" t="inlineStr">
        <is>
          <t>SCA</t>
        </is>
      </c>
      <c r="G6337" t="n">
        <v>0.7</v>
      </c>
      <c r="H6337" t="n">
        <v>0</v>
      </c>
      <c r="I6337" t="n">
        <v>0</v>
      </c>
      <c r="J6337" t="n">
        <v>0</v>
      </c>
      <c r="K6337" t="n">
        <v>0</v>
      </c>
      <c r="L6337" t="n">
        <v>0</v>
      </c>
      <c r="M6337" t="n">
        <v>0</v>
      </c>
      <c r="N6337" t="n">
        <v>0</v>
      </c>
      <c r="O6337" t="n">
        <v>0</v>
      </c>
      <c r="P6337" t="n">
        <v>0</v>
      </c>
      <c r="Q6337" t="n">
        <v>0</v>
      </c>
      <c r="R6337" s="2" t="inlineStr"/>
    </row>
    <row r="6338" ht="15" customHeight="1">
      <c r="A6338" t="inlineStr">
        <is>
          <t>A 21348-2023</t>
        </is>
      </c>
      <c r="B6338" s="1" t="n">
        <v>45062</v>
      </c>
      <c r="C6338" s="1" t="n">
        <v>45182</v>
      </c>
      <c r="D6338" t="inlineStr">
        <is>
          <t>JÄMTLANDS LÄN</t>
        </is>
      </c>
      <c r="E6338" t="inlineStr">
        <is>
          <t>KROKOM</t>
        </is>
      </c>
      <c r="F6338" t="inlineStr">
        <is>
          <t>SCA</t>
        </is>
      </c>
      <c r="G6338" t="n">
        <v>48.1</v>
      </c>
      <c r="H6338" t="n">
        <v>0</v>
      </c>
      <c r="I6338" t="n">
        <v>0</v>
      </c>
      <c r="J6338" t="n">
        <v>0</v>
      </c>
      <c r="K6338" t="n">
        <v>0</v>
      </c>
      <c r="L6338" t="n">
        <v>0</v>
      </c>
      <c r="M6338" t="n">
        <v>0</v>
      </c>
      <c r="N6338" t="n">
        <v>0</v>
      </c>
      <c r="O6338" t="n">
        <v>0</v>
      </c>
      <c r="P6338" t="n">
        <v>0</v>
      </c>
      <c r="Q6338" t="n">
        <v>0</v>
      </c>
      <c r="R6338" s="2" t="inlineStr"/>
    </row>
    <row r="6339" ht="15" customHeight="1">
      <c r="A6339" t="inlineStr">
        <is>
          <t>A 21360-2023</t>
        </is>
      </c>
      <c r="B6339" s="1" t="n">
        <v>45062</v>
      </c>
      <c r="C6339" s="1" t="n">
        <v>45182</v>
      </c>
      <c r="D6339" t="inlineStr">
        <is>
          <t>JÄMTLANDS LÄN</t>
        </is>
      </c>
      <c r="E6339" t="inlineStr">
        <is>
          <t>BRÄCKE</t>
        </is>
      </c>
      <c r="G6339" t="n">
        <v>1.2</v>
      </c>
      <c r="H6339" t="n">
        <v>0</v>
      </c>
      <c r="I6339" t="n">
        <v>0</v>
      </c>
      <c r="J6339" t="n">
        <v>0</v>
      </c>
      <c r="K6339" t="n">
        <v>0</v>
      </c>
      <c r="L6339" t="n">
        <v>0</v>
      </c>
      <c r="M6339" t="n">
        <v>0</v>
      </c>
      <c r="N6339" t="n">
        <v>0</v>
      </c>
      <c r="O6339" t="n">
        <v>0</v>
      </c>
      <c r="P6339" t="n">
        <v>0</v>
      </c>
      <c r="Q6339" t="n">
        <v>0</v>
      </c>
      <c r="R6339" s="2" t="inlineStr"/>
    </row>
    <row r="6340" ht="15" customHeight="1">
      <c r="A6340" t="inlineStr">
        <is>
          <t>A 21525-2023</t>
        </is>
      </c>
      <c r="B6340" s="1" t="n">
        <v>45063</v>
      </c>
      <c r="C6340" s="1" t="n">
        <v>45182</v>
      </c>
      <c r="D6340" t="inlineStr">
        <is>
          <t>JÄMTLANDS LÄN</t>
        </is>
      </c>
      <c r="E6340" t="inlineStr">
        <is>
          <t>HÄRJEDALEN</t>
        </is>
      </c>
      <c r="G6340" t="n">
        <v>20</v>
      </c>
      <c r="H6340" t="n">
        <v>0</v>
      </c>
      <c r="I6340" t="n">
        <v>0</v>
      </c>
      <c r="J6340" t="n">
        <v>0</v>
      </c>
      <c r="K6340" t="n">
        <v>0</v>
      </c>
      <c r="L6340" t="n">
        <v>0</v>
      </c>
      <c r="M6340" t="n">
        <v>0</v>
      </c>
      <c r="N6340" t="n">
        <v>0</v>
      </c>
      <c r="O6340" t="n">
        <v>0</v>
      </c>
      <c r="P6340" t="n">
        <v>0</v>
      </c>
      <c r="Q6340" t="n">
        <v>0</v>
      </c>
      <c r="R6340" s="2" t="inlineStr"/>
    </row>
    <row r="6341" ht="15" customHeight="1">
      <c r="A6341" t="inlineStr">
        <is>
          <t>A 21533-2023</t>
        </is>
      </c>
      <c r="B6341" s="1" t="n">
        <v>45063</v>
      </c>
      <c r="C6341" s="1" t="n">
        <v>45182</v>
      </c>
      <c r="D6341" t="inlineStr">
        <is>
          <t>JÄMTLANDS LÄN</t>
        </is>
      </c>
      <c r="E6341" t="inlineStr">
        <is>
          <t>HÄRJEDALEN</t>
        </is>
      </c>
      <c r="G6341" t="n">
        <v>4.5</v>
      </c>
      <c r="H6341" t="n">
        <v>0</v>
      </c>
      <c r="I6341" t="n">
        <v>0</v>
      </c>
      <c r="J6341" t="n">
        <v>0</v>
      </c>
      <c r="K6341" t="n">
        <v>0</v>
      </c>
      <c r="L6341" t="n">
        <v>0</v>
      </c>
      <c r="M6341" t="n">
        <v>0</v>
      </c>
      <c r="N6341" t="n">
        <v>0</v>
      </c>
      <c r="O6341" t="n">
        <v>0</v>
      </c>
      <c r="P6341" t="n">
        <v>0</v>
      </c>
      <c r="Q6341" t="n">
        <v>0</v>
      </c>
      <c r="R6341" s="2" t="inlineStr"/>
    </row>
    <row r="6342" ht="15" customHeight="1">
      <c r="A6342" t="inlineStr">
        <is>
          <t>A 21661-2023</t>
        </is>
      </c>
      <c r="B6342" s="1" t="n">
        <v>45063</v>
      </c>
      <c r="C6342" s="1" t="n">
        <v>45182</v>
      </c>
      <c r="D6342" t="inlineStr">
        <is>
          <t>JÄMTLANDS LÄN</t>
        </is>
      </c>
      <c r="E6342" t="inlineStr">
        <is>
          <t>RAGUNDA</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21385-2023</t>
        </is>
      </c>
      <c r="B6343" s="1" t="n">
        <v>45063</v>
      </c>
      <c r="C6343" s="1" t="n">
        <v>45182</v>
      </c>
      <c r="D6343" t="inlineStr">
        <is>
          <t>JÄMTLANDS LÄN</t>
        </is>
      </c>
      <c r="E6343" t="inlineStr">
        <is>
          <t>HÄRJEDALEN</t>
        </is>
      </c>
      <c r="G6343" t="n">
        <v>12.1</v>
      </c>
      <c r="H6343" t="n">
        <v>0</v>
      </c>
      <c r="I6343" t="n">
        <v>0</v>
      </c>
      <c r="J6343" t="n">
        <v>0</v>
      </c>
      <c r="K6343" t="n">
        <v>0</v>
      </c>
      <c r="L6343" t="n">
        <v>0</v>
      </c>
      <c r="M6343" t="n">
        <v>0</v>
      </c>
      <c r="N6343" t="n">
        <v>0</v>
      </c>
      <c r="O6343" t="n">
        <v>0</v>
      </c>
      <c r="P6343" t="n">
        <v>0</v>
      </c>
      <c r="Q6343" t="n">
        <v>0</v>
      </c>
      <c r="R6343" s="2" t="inlineStr"/>
    </row>
    <row r="6344" ht="15" customHeight="1">
      <c r="A6344" t="inlineStr">
        <is>
          <t>A 21534-2023</t>
        </is>
      </c>
      <c r="B6344" s="1" t="n">
        <v>45063</v>
      </c>
      <c r="C6344" s="1" t="n">
        <v>45182</v>
      </c>
      <c r="D6344" t="inlineStr">
        <is>
          <t>JÄMTLANDS LÄN</t>
        </is>
      </c>
      <c r="E6344" t="inlineStr">
        <is>
          <t>HÄRJEDALEN</t>
        </is>
      </c>
      <c r="G6344" t="n">
        <v>20</v>
      </c>
      <c r="H6344" t="n">
        <v>0</v>
      </c>
      <c r="I6344" t="n">
        <v>0</v>
      </c>
      <c r="J6344" t="n">
        <v>0</v>
      </c>
      <c r="K6344" t="n">
        <v>0</v>
      </c>
      <c r="L6344" t="n">
        <v>0</v>
      </c>
      <c r="M6344" t="n">
        <v>0</v>
      </c>
      <c r="N6344" t="n">
        <v>0</v>
      </c>
      <c r="O6344" t="n">
        <v>0</v>
      </c>
      <c r="P6344" t="n">
        <v>0</v>
      </c>
      <c r="Q6344" t="n">
        <v>0</v>
      </c>
      <c r="R6344" s="2" t="inlineStr"/>
    </row>
    <row r="6345" ht="15" customHeight="1">
      <c r="A6345" t="inlineStr">
        <is>
          <t>A 21662-2023</t>
        </is>
      </c>
      <c r="B6345" s="1" t="n">
        <v>45063</v>
      </c>
      <c r="C6345" s="1" t="n">
        <v>45182</v>
      </c>
      <c r="D6345" t="inlineStr">
        <is>
          <t>JÄMTLANDS LÄN</t>
        </is>
      </c>
      <c r="E6345" t="inlineStr">
        <is>
          <t>RAGUNDA</t>
        </is>
      </c>
      <c r="G6345" t="n">
        <v>1.8</v>
      </c>
      <c r="H6345" t="n">
        <v>0</v>
      </c>
      <c r="I6345" t="n">
        <v>0</v>
      </c>
      <c r="J6345" t="n">
        <v>0</v>
      </c>
      <c r="K6345" t="n">
        <v>0</v>
      </c>
      <c r="L6345" t="n">
        <v>0</v>
      </c>
      <c r="M6345" t="n">
        <v>0</v>
      </c>
      <c r="N6345" t="n">
        <v>0</v>
      </c>
      <c r="O6345" t="n">
        <v>0</v>
      </c>
      <c r="P6345" t="n">
        <v>0</v>
      </c>
      <c r="Q6345" t="n">
        <v>0</v>
      </c>
      <c r="R6345" s="2" t="inlineStr"/>
    </row>
    <row r="6346" ht="15" customHeight="1">
      <c r="A6346" t="inlineStr">
        <is>
          <t>A 21717-2023</t>
        </is>
      </c>
      <c r="B6346" s="1" t="n">
        <v>45063</v>
      </c>
      <c r="C6346" s="1" t="n">
        <v>45182</v>
      </c>
      <c r="D6346" t="inlineStr">
        <is>
          <t>JÄMTLANDS LÄN</t>
        </is>
      </c>
      <c r="E6346" t="inlineStr">
        <is>
          <t>BERG</t>
        </is>
      </c>
      <c r="G6346" t="n">
        <v>6</v>
      </c>
      <c r="H6346" t="n">
        <v>0</v>
      </c>
      <c r="I6346" t="n">
        <v>0</v>
      </c>
      <c r="J6346" t="n">
        <v>0</v>
      </c>
      <c r="K6346" t="n">
        <v>0</v>
      </c>
      <c r="L6346" t="n">
        <v>0</v>
      </c>
      <c r="M6346" t="n">
        <v>0</v>
      </c>
      <c r="N6346" t="n">
        <v>0</v>
      </c>
      <c r="O6346" t="n">
        <v>0</v>
      </c>
      <c r="P6346" t="n">
        <v>0</v>
      </c>
      <c r="Q6346" t="n">
        <v>0</v>
      </c>
      <c r="R6346" s="2" t="inlineStr"/>
    </row>
    <row r="6347" ht="15" customHeight="1">
      <c r="A6347" t="inlineStr">
        <is>
          <t>A 21531-2023</t>
        </is>
      </c>
      <c r="B6347" s="1" t="n">
        <v>45063</v>
      </c>
      <c r="C6347" s="1" t="n">
        <v>45182</v>
      </c>
      <c r="D6347" t="inlineStr">
        <is>
          <t>JÄMTLANDS LÄN</t>
        </is>
      </c>
      <c r="E6347" t="inlineStr">
        <is>
          <t>HÄRJEDALEN</t>
        </is>
      </c>
      <c r="G6347" t="n">
        <v>14.6</v>
      </c>
      <c r="H6347" t="n">
        <v>0</v>
      </c>
      <c r="I6347" t="n">
        <v>0</v>
      </c>
      <c r="J6347" t="n">
        <v>0</v>
      </c>
      <c r="K6347" t="n">
        <v>0</v>
      </c>
      <c r="L6347" t="n">
        <v>0</v>
      </c>
      <c r="M6347" t="n">
        <v>0</v>
      </c>
      <c r="N6347" t="n">
        <v>0</v>
      </c>
      <c r="O6347" t="n">
        <v>0</v>
      </c>
      <c r="P6347" t="n">
        <v>0</v>
      </c>
      <c r="Q6347" t="n">
        <v>0</v>
      </c>
      <c r="R6347" s="2" t="inlineStr"/>
    </row>
    <row r="6348" ht="15" customHeight="1">
      <c r="A6348" t="inlineStr">
        <is>
          <t>A 21645-2023</t>
        </is>
      </c>
      <c r="B6348" s="1" t="n">
        <v>45063</v>
      </c>
      <c r="C6348" s="1" t="n">
        <v>45182</v>
      </c>
      <c r="D6348" t="inlineStr">
        <is>
          <t>JÄMTLANDS LÄN</t>
        </is>
      </c>
      <c r="E6348" t="inlineStr">
        <is>
          <t>HÄRJEDALEN</t>
        </is>
      </c>
      <c r="F6348" t="inlineStr">
        <is>
          <t>Sveaskog</t>
        </is>
      </c>
      <c r="G6348" t="n">
        <v>2.8</v>
      </c>
      <c r="H6348" t="n">
        <v>0</v>
      </c>
      <c r="I6348" t="n">
        <v>0</v>
      </c>
      <c r="J6348" t="n">
        <v>0</v>
      </c>
      <c r="K6348" t="n">
        <v>0</v>
      </c>
      <c r="L6348" t="n">
        <v>0</v>
      </c>
      <c r="M6348" t="n">
        <v>0</v>
      </c>
      <c r="N6348" t="n">
        <v>0</v>
      </c>
      <c r="O6348" t="n">
        <v>0</v>
      </c>
      <c r="P6348" t="n">
        <v>0</v>
      </c>
      <c r="Q6348" t="n">
        <v>0</v>
      </c>
      <c r="R6348" s="2" t="inlineStr"/>
    </row>
    <row r="6349" ht="15" customHeight="1">
      <c r="A6349" t="inlineStr">
        <is>
          <t>A 21687-2023</t>
        </is>
      </c>
      <c r="B6349" s="1" t="n">
        <v>45063</v>
      </c>
      <c r="C6349" s="1" t="n">
        <v>45182</v>
      </c>
      <c r="D6349" t="inlineStr">
        <is>
          <t>JÄMTLANDS LÄN</t>
        </is>
      </c>
      <c r="E6349" t="inlineStr">
        <is>
          <t>STRÖMSUND</t>
        </is>
      </c>
      <c r="F6349" t="inlineStr">
        <is>
          <t>SCA</t>
        </is>
      </c>
      <c r="G6349" t="n">
        <v>38.4</v>
      </c>
      <c r="H6349" t="n">
        <v>0</v>
      </c>
      <c r="I6349" t="n">
        <v>0</v>
      </c>
      <c r="J6349" t="n">
        <v>0</v>
      </c>
      <c r="K6349" t="n">
        <v>0</v>
      </c>
      <c r="L6349" t="n">
        <v>0</v>
      </c>
      <c r="M6349" t="n">
        <v>0</v>
      </c>
      <c r="N6349" t="n">
        <v>0</v>
      </c>
      <c r="O6349" t="n">
        <v>0</v>
      </c>
      <c r="P6349" t="n">
        <v>0</v>
      </c>
      <c r="Q6349" t="n">
        <v>0</v>
      </c>
      <c r="R6349" s="2" t="inlineStr"/>
    </row>
    <row r="6350" ht="15" customHeight="1">
      <c r="A6350" t="inlineStr">
        <is>
          <t>A 21530-2023</t>
        </is>
      </c>
      <c r="B6350" s="1" t="n">
        <v>45063</v>
      </c>
      <c r="C6350" s="1" t="n">
        <v>45182</v>
      </c>
      <c r="D6350" t="inlineStr">
        <is>
          <t>JÄMTLANDS LÄN</t>
        </is>
      </c>
      <c r="E6350" t="inlineStr">
        <is>
          <t>HÄRJEDALEN</t>
        </is>
      </c>
      <c r="G6350" t="n">
        <v>15.3</v>
      </c>
      <c r="H6350" t="n">
        <v>0</v>
      </c>
      <c r="I6350" t="n">
        <v>0</v>
      </c>
      <c r="J6350" t="n">
        <v>0</v>
      </c>
      <c r="K6350" t="n">
        <v>0</v>
      </c>
      <c r="L6350" t="n">
        <v>0</v>
      </c>
      <c r="M6350" t="n">
        <v>0</v>
      </c>
      <c r="N6350" t="n">
        <v>0</v>
      </c>
      <c r="O6350" t="n">
        <v>0</v>
      </c>
      <c r="P6350" t="n">
        <v>0</v>
      </c>
      <c r="Q6350" t="n">
        <v>0</v>
      </c>
      <c r="R6350" s="2" t="inlineStr"/>
    </row>
    <row r="6351" ht="15" customHeight="1">
      <c r="A6351" t="inlineStr">
        <is>
          <t>A 21665-2023</t>
        </is>
      </c>
      <c r="B6351" s="1" t="n">
        <v>45063</v>
      </c>
      <c r="C6351" s="1" t="n">
        <v>45182</v>
      </c>
      <c r="D6351" t="inlineStr">
        <is>
          <t>JÄMTLANDS LÄN</t>
        </is>
      </c>
      <c r="E6351" t="inlineStr">
        <is>
          <t>HÄRJEDALEN</t>
        </is>
      </c>
      <c r="G6351" t="n">
        <v>19.3</v>
      </c>
      <c r="H6351" t="n">
        <v>0</v>
      </c>
      <c r="I6351" t="n">
        <v>0</v>
      </c>
      <c r="J6351" t="n">
        <v>0</v>
      </c>
      <c r="K6351" t="n">
        <v>0</v>
      </c>
      <c r="L6351" t="n">
        <v>0</v>
      </c>
      <c r="M6351" t="n">
        <v>0</v>
      </c>
      <c r="N6351" t="n">
        <v>0</v>
      </c>
      <c r="O6351" t="n">
        <v>0</v>
      </c>
      <c r="P6351" t="n">
        <v>0</v>
      </c>
      <c r="Q6351" t="n">
        <v>0</v>
      </c>
      <c r="R6351" s="2" t="inlineStr"/>
    </row>
    <row r="6352" ht="15" customHeight="1">
      <c r="A6352" t="inlineStr">
        <is>
          <t>A 21779-2023</t>
        </is>
      </c>
      <c r="B6352" s="1" t="n">
        <v>45065</v>
      </c>
      <c r="C6352" s="1" t="n">
        <v>45182</v>
      </c>
      <c r="D6352" t="inlineStr">
        <is>
          <t>JÄMTLANDS LÄN</t>
        </is>
      </c>
      <c r="E6352" t="inlineStr">
        <is>
          <t>BRÄCKE</t>
        </is>
      </c>
      <c r="F6352" t="inlineStr">
        <is>
          <t>SCA</t>
        </is>
      </c>
      <c r="G6352" t="n">
        <v>1.3</v>
      </c>
      <c r="H6352" t="n">
        <v>0</v>
      </c>
      <c r="I6352" t="n">
        <v>0</v>
      </c>
      <c r="J6352" t="n">
        <v>0</v>
      </c>
      <c r="K6352" t="n">
        <v>0</v>
      </c>
      <c r="L6352" t="n">
        <v>0</v>
      </c>
      <c r="M6352" t="n">
        <v>0</v>
      </c>
      <c r="N6352" t="n">
        <v>0</v>
      </c>
      <c r="O6352" t="n">
        <v>0</v>
      </c>
      <c r="P6352" t="n">
        <v>0</v>
      </c>
      <c r="Q6352" t="n">
        <v>0</v>
      </c>
      <c r="R6352" s="2" t="inlineStr"/>
    </row>
    <row r="6353" ht="15" customHeight="1">
      <c r="A6353" t="inlineStr">
        <is>
          <t>A 21781-2023</t>
        </is>
      </c>
      <c r="B6353" s="1" t="n">
        <v>45065</v>
      </c>
      <c r="C6353" s="1" t="n">
        <v>45182</v>
      </c>
      <c r="D6353" t="inlineStr">
        <is>
          <t>JÄMTLANDS LÄN</t>
        </is>
      </c>
      <c r="E6353" t="inlineStr">
        <is>
          <t>BRÄCKE</t>
        </is>
      </c>
      <c r="F6353" t="inlineStr">
        <is>
          <t>SCA</t>
        </is>
      </c>
      <c r="G6353" t="n">
        <v>0.6</v>
      </c>
      <c r="H6353" t="n">
        <v>0</v>
      </c>
      <c r="I6353" t="n">
        <v>0</v>
      </c>
      <c r="J6353" t="n">
        <v>0</v>
      </c>
      <c r="K6353" t="n">
        <v>0</v>
      </c>
      <c r="L6353" t="n">
        <v>0</v>
      </c>
      <c r="M6353" t="n">
        <v>0</v>
      </c>
      <c r="N6353" t="n">
        <v>0</v>
      </c>
      <c r="O6353" t="n">
        <v>0</v>
      </c>
      <c r="P6353" t="n">
        <v>0</v>
      </c>
      <c r="Q6353" t="n">
        <v>0</v>
      </c>
      <c r="R6353" s="2" t="inlineStr"/>
    </row>
    <row r="6354" ht="15" customHeight="1">
      <c r="A6354" t="inlineStr">
        <is>
          <t>A 21784-2023</t>
        </is>
      </c>
      <c r="B6354" s="1" t="n">
        <v>45065</v>
      </c>
      <c r="C6354" s="1" t="n">
        <v>45182</v>
      </c>
      <c r="D6354" t="inlineStr">
        <is>
          <t>JÄMTLANDS LÄN</t>
        </is>
      </c>
      <c r="E6354" t="inlineStr">
        <is>
          <t>KROKOM</t>
        </is>
      </c>
      <c r="F6354" t="inlineStr">
        <is>
          <t>SCA</t>
        </is>
      </c>
      <c r="G6354" t="n">
        <v>3.2</v>
      </c>
      <c r="H6354" t="n">
        <v>0</v>
      </c>
      <c r="I6354" t="n">
        <v>0</v>
      </c>
      <c r="J6354" t="n">
        <v>0</v>
      </c>
      <c r="K6354" t="n">
        <v>0</v>
      </c>
      <c r="L6354" t="n">
        <v>0</v>
      </c>
      <c r="M6354" t="n">
        <v>0</v>
      </c>
      <c r="N6354" t="n">
        <v>0</v>
      </c>
      <c r="O6354" t="n">
        <v>0</v>
      </c>
      <c r="P6354" t="n">
        <v>0</v>
      </c>
      <c r="Q6354" t="n">
        <v>0</v>
      </c>
      <c r="R6354" s="2" t="inlineStr"/>
    </row>
    <row r="6355" ht="15" customHeight="1">
      <c r="A6355" t="inlineStr">
        <is>
          <t>A 22010-2023</t>
        </is>
      </c>
      <c r="B6355" s="1" t="n">
        <v>45068</v>
      </c>
      <c r="C6355" s="1" t="n">
        <v>45182</v>
      </c>
      <c r="D6355" t="inlineStr">
        <is>
          <t>JÄMTLANDS LÄN</t>
        </is>
      </c>
      <c r="E6355" t="inlineStr">
        <is>
          <t>BRÄCKE</t>
        </is>
      </c>
      <c r="F6355" t="inlineStr">
        <is>
          <t>SCA</t>
        </is>
      </c>
      <c r="G6355" t="n">
        <v>5.3</v>
      </c>
      <c r="H6355" t="n">
        <v>0</v>
      </c>
      <c r="I6355" t="n">
        <v>0</v>
      </c>
      <c r="J6355" t="n">
        <v>0</v>
      </c>
      <c r="K6355" t="n">
        <v>0</v>
      </c>
      <c r="L6355" t="n">
        <v>0</v>
      </c>
      <c r="M6355" t="n">
        <v>0</v>
      </c>
      <c r="N6355" t="n">
        <v>0</v>
      </c>
      <c r="O6355" t="n">
        <v>0</v>
      </c>
      <c r="P6355" t="n">
        <v>0</v>
      </c>
      <c r="Q6355" t="n">
        <v>0</v>
      </c>
      <c r="R6355" s="2" t="inlineStr"/>
    </row>
    <row r="6356" ht="15" customHeight="1">
      <c r="A6356" t="inlineStr">
        <is>
          <t>A 22011-2023</t>
        </is>
      </c>
      <c r="B6356" s="1" t="n">
        <v>45068</v>
      </c>
      <c r="C6356" s="1" t="n">
        <v>45182</v>
      </c>
      <c r="D6356" t="inlineStr">
        <is>
          <t>JÄMTLANDS LÄN</t>
        </is>
      </c>
      <c r="E6356" t="inlineStr">
        <is>
          <t>RAGUNDA</t>
        </is>
      </c>
      <c r="F6356" t="inlineStr">
        <is>
          <t>SCA</t>
        </is>
      </c>
      <c r="G6356" t="n">
        <v>12.2</v>
      </c>
      <c r="H6356" t="n">
        <v>0</v>
      </c>
      <c r="I6356" t="n">
        <v>0</v>
      </c>
      <c r="J6356" t="n">
        <v>0</v>
      </c>
      <c r="K6356" t="n">
        <v>0</v>
      </c>
      <c r="L6356" t="n">
        <v>0</v>
      </c>
      <c r="M6356" t="n">
        <v>0</v>
      </c>
      <c r="N6356" t="n">
        <v>0</v>
      </c>
      <c r="O6356" t="n">
        <v>0</v>
      </c>
      <c r="P6356" t="n">
        <v>0</v>
      </c>
      <c r="Q6356" t="n">
        <v>0</v>
      </c>
      <c r="R6356" s="2" t="inlineStr"/>
    </row>
    <row r="6357" ht="15" customHeight="1">
      <c r="A6357" t="inlineStr">
        <is>
          <t>A 22231-2023</t>
        </is>
      </c>
      <c r="B6357" s="1" t="n">
        <v>45069</v>
      </c>
      <c r="C6357" s="1" t="n">
        <v>45182</v>
      </c>
      <c r="D6357" t="inlineStr">
        <is>
          <t>JÄMTLANDS LÄN</t>
        </is>
      </c>
      <c r="E6357" t="inlineStr">
        <is>
          <t>BRÄCKE</t>
        </is>
      </c>
      <c r="F6357" t="inlineStr">
        <is>
          <t>SCA</t>
        </is>
      </c>
      <c r="G6357" t="n">
        <v>30.6</v>
      </c>
      <c r="H6357" t="n">
        <v>0</v>
      </c>
      <c r="I6357" t="n">
        <v>0</v>
      </c>
      <c r="J6357" t="n">
        <v>0</v>
      </c>
      <c r="K6357" t="n">
        <v>0</v>
      </c>
      <c r="L6357" t="n">
        <v>0</v>
      </c>
      <c r="M6357" t="n">
        <v>0</v>
      </c>
      <c r="N6357" t="n">
        <v>0</v>
      </c>
      <c r="O6357" t="n">
        <v>0</v>
      </c>
      <c r="P6357" t="n">
        <v>0</v>
      </c>
      <c r="Q6357" t="n">
        <v>0</v>
      </c>
      <c r="R6357" s="2" t="inlineStr"/>
    </row>
    <row r="6358" ht="15" customHeight="1">
      <c r="A6358" t="inlineStr">
        <is>
          <t>A 22217-2023</t>
        </is>
      </c>
      <c r="B6358" s="1" t="n">
        <v>45069</v>
      </c>
      <c r="C6358" s="1" t="n">
        <v>45182</v>
      </c>
      <c r="D6358" t="inlineStr">
        <is>
          <t>JÄMTLANDS LÄN</t>
        </is>
      </c>
      <c r="E6358" t="inlineStr">
        <is>
          <t>BRÄCKE</t>
        </is>
      </c>
      <c r="G6358" t="n">
        <v>1.4</v>
      </c>
      <c r="H6358" t="n">
        <v>0</v>
      </c>
      <c r="I6358" t="n">
        <v>0</v>
      </c>
      <c r="J6358" t="n">
        <v>0</v>
      </c>
      <c r="K6358" t="n">
        <v>0</v>
      </c>
      <c r="L6358" t="n">
        <v>0</v>
      </c>
      <c r="M6358" t="n">
        <v>0</v>
      </c>
      <c r="N6358" t="n">
        <v>0</v>
      </c>
      <c r="O6358" t="n">
        <v>0</v>
      </c>
      <c r="P6358" t="n">
        <v>0</v>
      </c>
      <c r="Q6358" t="n">
        <v>0</v>
      </c>
      <c r="R6358" s="2" t="inlineStr"/>
    </row>
    <row r="6359" ht="15" customHeight="1">
      <c r="A6359" t="inlineStr">
        <is>
          <t>A 22569-2023</t>
        </is>
      </c>
      <c r="B6359" s="1" t="n">
        <v>45069</v>
      </c>
      <c r="C6359" s="1" t="n">
        <v>45182</v>
      </c>
      <c r="D6359" t="inlineStr">
        <is>
          <t>JÄMTLANDS LÄN</t>
        </is>
      </c>
      <c r="E6359" t="inlineStr">
        <is>
          <t>RAGUNDA</t>
        </is>
      </c>
      <c r="G6359" t="n">
        <v>6.6</v>
      </c>
      <c r="H6359" t="n">
        <v>0</v>
      </c>
      <c r="I6359" t="n">
        <v>0</v>
      </c>
      <c r="J6359" t="n">
        <v>0</v>
      </c>
      <c r="K6359" t="n">
        <v>0</v>
      </c>
      <c r="L6359" t="n">
        <v>0</v>
      </c>
      <c r="M6359" t="n">
        <v>0</v>
      </c>
      <c r="N6359" t="n">
        <v>0</v>
      </c>
      <c r="O6359" t="n">
        <v>0</v>
      </c>
      <c r="P6359" t="n">
        <v>0</v>
      </c>
      <c r="Q6359" t="n">
        <v>0</v>
      </c>
      <c r="R6359" s="2" t="inlineStr"/>
    </row>
    <row r="6360" ht="15" customHeight="1">
      <c r="A6360" t="inlineStr">
        <is>
          <t>A 22223-2023</t>
        </is>
      </c>
      <c r="B6360" s="1" t="n">
        <v>45069</v>
      </c>
      <c r="C6360" s="1" t="n">
        <v>45182</v>
      </c>
      <c r="D6360" t="inlineStr">
        <is>
          <t>JÄMTLANDS LÄN</t>
        </is>
      </c>
      <c r="E6360" t="inlineStr">
        <is>
          <t>STRÖMSUND</t>
        </is>
      </c>
      <c r="F6360" t="inlineStr">
        <is>
          <t>SCA</t>
        </is>
      </c>
      <c r="G6360" t="n">
        <v>7.1</v>
      </c>
      <c r="H6360" t="n">
        <v>0</v>
      </c>
      <c r="I6360" t="n">
        <v>0</v>
      </c>
      <c r="J6360" t="n">
        <v>0</v>
      </c>
      <c r="K6360" t="n">
        <v>0</v>
      </c>
      <c r="L6360" t="n">
        <v>0</v>
      </c>
      <c r="M6360" t="n">
        <v>0</v>
      </c>
      <c r="N6360" t="n">
        <v>0</v>
      </c>
      <c r="O6360" t="n">
        <v>0</v>
      </c>
      <c r="P6360" t="n">
        <v>0</v>
      </c>
      <c r="Q6360" t="n">
        <v>0</v>
      </c>
      <c r="R6360" s="2" t="inlineStr"/>
    </row>
    <row r="6361" ht="15" customHeight="1">
      <c r="A6361" t="inlineStr">
        <is>
          <t>A 22232-2023</t>
        </is>
      </c>
      <c r="B6361" s="1" t="n">
        <v>45069</v>
      </c>
      <c r="C6361" s="1" t="n">
        <v>45182</v>
      </c>
      <c r="D6361" t="inlineStr">
        <is>
          <t>JÄMTLANDS LÄN</t>
        </is>
      </c>
      <c r="E6361" t="inlineStr">
        <is>
          <t>BRÄCKE</t>
        </is>
      </c>
      <c r="F6361" t="inlineStr">
        <is>
          <t>SCA</t>
        </is>
      </c>
      <c r="G6361" t="n">
        <v>5.4</v>
      </c>
      <c r="H6361" t="n">
        <v>0</v>
      </c>
      <c r="I6361" t="n">
        <v>0</v>
      </c>
      <c r="J6361" t="n">
        <v>0</v>
      </c>
      <c r="K6361" t="n">
        <v>0</v>
      </c>
      <c r="L6361" t="n">
        <v>0</v>
      </c>
      <c r="M6361" t="n">
        <v>0</v>
      </c>
      <c r="N6361" t="n">
        <v>0</v>
      </c>
      <c r="O6361" t="n">
        <v>0</v>
      </c>
      <c r="P6361" t="n">
        <v>0</v>
      </c>
      <c r="Q6361" t="n">
        <v>0</v>
      </c>
      <c r="R6361" s="2" t="inlineStr"/>
    </row>
    <row r="6362" ht="15" customHeight="1">
      <c r="A6362" t="inlineStr">
        <is>
          <t>A 22471-2023</t>
        </is>
      </c>
      <c r="B6362" s="1" t="n">
        <v>45070</v>
      </c>
      <c r="C6362" s="1" t="n">
        <v>45182</v>
      </c>
      <c r="D6362" t="inlineStr">
        <is>
          <t>JÄMTLANDS LÄN</t>
        </is>
      </c>
      <c r="E6362" t="inlineStr">
        <is>
          <t>BRÄCKE</t>
        </is>
      </c>
      <c r="F6362" t="inlineStr">
        <is>
          <t>SCA</t>
        </is>
      </c>
      <c r="G6362" t="n">
        <v>2.4</v>
      </c>
      <c r="H6362" t="n">
        <v>0</v>
      </c>
      <c r="I6362" t="n">
        <v>0</v>
      </c>
      <c r="J6362" t="n">
        <v>0</v>
      </c>
      <c r="K6362" t="n">
        <v>0</v>
      </c>
      <c r="L6362" t="n">
        <v>0</v>
      </c>
      <c r="M6362" t="n">
        <v>0</v>
      </c>
      <c r="N6362" t="n">
        <v>0</v>
      </c>
      <c r="O6362" t="n">
        <v>0</v>
      </c>
      <c r="P6362" t="n">
        <v>0</v>
      </c>
      <c r="Q6362" t="n">
        <v>0</v>
      </c>
      <c r="R6362" s="2" t="inlineStr"/>
    </row>
    <row r="6363" ht="15" customHeight="1">
      <c r="A6363" t="inlineStr">
        <is>
          <t>A 22477-2023</t>
        </is>
      </c>
      <c r="B6363" s="1" t="n">
        <v>45070</v>
      </c>
      <c r="C6363" s="1" t="n">
        <v>45182</v>
      </c>
      <c r="D6363" t="inlineStr">
        <is>
          <t>JÄMTLANDS LÄN</t>
        </is>
      </c>
      <c r="E6363" t="inlineStr">
        <is>
          <t>STRÖMSUND</t>
        </is>
      </c>
      <c r="F6363" t="inlineStr">
        <is>
          <t>SCA</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22964-2023</t>
        </is>
      </c>
      <c r="B6364" s="1" t="n">
        <v>45070</v>
      </c>
      <c r="C6364" s="1" t="n">
        <v>45182</v>
      </c>
      <c r="D6364" t="inlineStr">
        <is>
          <t>JÄMTLANDS LÄN</t>
        </is>
      </c>
      <c r="E6364" t="inlineStr">
        <is>
          <t>KROKOM</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22476-2023</t>
        </is>
      </c>
      <c r="B6365" s="1" t="n">
        <v>45070</v>
      </c>
      <c r="C6365" s="1" t="n">
        <v>45182</v>
      </c>
      <c r="D6365" t="inlineStr">
        <is>
          <t>JÄMTLANDS LÄN</t>
        </is>
      </c>
      <c r="E6365" t="inlineStr">
        <is>
          <t>STRÖMSUND</t>
        </is>
      </c>
      <c r="F6365" t="inlineStr">
        <is>
          <t>SCA</t>
        </is>
      </c>
      <c r="G6365" t="n">
        <v>3.7</v>
      </c>
      <c r="H6365" t="n">
        <v>0</v>
      </c>
      <c r="I6365" t="n">
        <v>0</v>
      </c>
      <c r="J6365" t="n">
        <v>0</v>
      </c>
      <c r="K6365" t="n">
        <v>0</v>
      </c>
      <c r="L6365" t="n">
        <v>0</v>
      </c>
      <c r="M6365" t="n">
        <v>0</v>
      </c>
      <c r="N6365" t="n">
        <v>0</v>
      </c>
      <c r="O6365" t="n">
        <v>0</v>
      </c>
      <c r="P6365" t="n">
        <v>0</v>
      </c>
      <c r="Q6365" t="n">
        <v>0</v>
      </c>
      <c r="R6365" s="2" t="inlineStr"/>
    </row>
    <row r="6366" ht="15" customHeight="1">
      <c r="A6366" t="inlineStr">
        <is>
          <t>A 23074-2023</t>
        </is>
      </c>
      <c r="B6366" s="1" t="n">
        <v>45070</v>
      </c>
      <c r="C6366" s="1" t="n">
        <v>45182</v>
      </c>
      <c r="D6366" t="inlineStr">
        <is>
          <t>JÄMTLANDS LÄN</t>
        </is>
      </c>
      <c r="E6366" t="inlineStr">
        <is>
          <t>RAGUNDA</t>
        </is>
      </c>
      <c r="G6366" t="n">
        <v>3.6</v>
      </c>
      <c r="H6366" t="n">
        <v>0</v>
      </c>
      <c r="I6366" t="n">
        <v>0</v>
      </c>
      <c r="J6366" t="n">
        <v>0</v>
      </c>
      <c r="K6366" t="n">
        <v>0</v>
      </c>
      <c r="L6366" t="n">
        <v>0</v>
      </c>
      <c r="M6366" t="n">
        <v>0</v>
      </c>
      <c r="N6366" t="n">
        <v>0</v>
      </c>
      <c r="O6366" t="n">
        <v>0</v>
      </c>
      <c r="P6366" t="n">
        <v>0</v>
      </c>
      <c r="Q6366" t="n">
        <v>0</v>
      </c>
      <c r="R6366" s="2" t="inlineStr"/>
    </row>
    <row r="6367" ht="15" customHeight="1">
      <c r="A6367" t="inlineStr">
        <is>
          <t>A 23140-2023</t>
        </is>
      </c>
      <c r="B6367" s="1" t="n">
        <v>45070</v>
      </c>
      <c r="C6367" s="1" t="n">
        <v>45182</v>
      </c>
      <c r="D6367" t="inlineStr">
        <is>
          <t>JÄMTLANDS LÄN</t>
        </is>
      </c>
      <c r="E6367" t="inlineStr">
        <is>
          <t>RAGUNDA</t>
        </is>
      </c>
      <c r="G6367" t="n">
        <v>7</v>
      </c>
      <c r="H6367" t="n">
        <v>0</v>
      </c>
      <c r="I6367" t="n">
        <v>0</v>
      </c>
      <c r="J6367" t="n">
        <v>0</v>
      </c>
      <c r="K6367" t="n">
        <v>0</v>
      </c>
      <c r="L6367" t="n">
        <v>0</v>
      </c>
      <c r="M6367" t="n">
        <v>0</v>
      </c>
      <c r="N6367" t="n">
        <v>0</v>
      </c>
      <c r="O6367" t="n">
        <v>0</v>
      </c>
      <c r="P6367" t="n">
        <v>0</v>
      </c>
      <c r="Q6367" t="n">
        <v>0</v>
      </c>
      <c r="R6367" s="2" t="inlineStr"/>
    </row>
    <row r="6368" ht="15" customHeight="1">
      <c r="A6368" t="inlineStr">
        <is>
          <t>A 22468-2023</t>
        </is>
      </c>
      <c r="B6368" s="1" t="n">
        <v>45070</v>
      </c>
      <c r="C6368" s="1" t="n">
        <v>45182</v>
      </c>
      <c r="D6368" t="inlineStr">
        <is>
          <t>JÄMTLANDS LÄN</t>
        </is>
      </c>
      <c r="E6368" t="inlineStr">
        <is>
          <t>STRÖMSUND</t>
        </is>
      </c>
      <c r="F6368" t="inlineStr">
        <is>
          <t>SCA</t>
        </is>
      </c>
      <c r="G6368" t="n">
        <v>6.7</v>
      </c>
      <c r="H6368" t="n">
        <v>0</v>
      </c>
      <c r="I6368" t="n">
        <v>0</v>
      </c>
      <c r="J6368" t="n">
        <v>0</v>
      </c>
      <c r="K6368" t="n">
        <v>0</v>
      </c>
      <c r="L6368" t="n">
        <v>0</v>
      </c>
      <c r="M6368" t="n">
        <v>0</v>
      </c>
      <c r="N6368" t="n">
        <v>0</v>
      </c>
      <c r="O6368" t="n">
        <v>0</v>
      </c>
      <c r="P6368" t="n">
        <v>0</v>
      </c>
      <c r="Q6368" t="n">
        <v>0</v>
      </c>
      <c r="R6368" s="2" t="inlineStr"/>
    </row>
    <row r="6369" ht="15" customHeight="1">
      <c r="A6369" t="inlineStr">
        <is>
          <t>A 22479-2023</t>
        </is>
      </c>
      <c r="B6369" s="1" t="n">
        <v>45070</v>
      </c>
      <c r="C6369" s="1" t="n">
        <v>45182</v>
      </c>
      <c r="D6369" t="inlineStr">
        <is>
          <t>JÄMTLANDS LÄN</t>
        </is>
      </c>
      <c r="E6369" t="inlineStr">
        <is>
          <t>RAGUNDA</t>
        </is>
      </c>
      <c r="F6369" t="inlineStr">
        <is>
          <t>SCA</t>
        </is>
      </c>
      <c r="G6369" t="n">
        <v>31.8</v>
      </c>
      <c r="H6369" t="n">
        <v>0</v>
      </c>
      <c r="I6369" t="n">
        <v>0</v>
      </c>
      <c r="J6369" t="n">
        <v>0</v>
      </c>
      <c r="K6369" t="n">
        <v>0</v>
      </c>
      <c r="L6369" t="n">
        <v>0</v>
      </c>
      <c r="M6369" t="n">
        <v>0</v>
      </c>
      <c r="N6369" t="n">
        <v>0</v>
      </c>
      <c r="O6369" t="n">
        <v>0</v>
      </c>
      <c r="P6369" t="n">
        <v>0</v>
      </c>
      <c r="Q6369" t="n">
        <v>0</v>
      </c>
      <c r="R6369" s="2" t="inlineStr"/>
    </row>
    <row r="6370" ht="15" customHeight="1">
      <c r="A6370" t="inlineStr">
        <is>
          <t>A 22732-2023</t>
        </is>
      </c>
      <c r="B6370" s="1" t="n">
        <v>45071</v>
      </c>
      <c r="C6370" s="1" t="n">
        <v>45182</v>
      </c>
      <c r="D6370" t="inlineStr">
        <is>
          <t>JÄMTLANDS LÄN</t>
        </is>
      </c>
      <c r="E6370" t="inlineStr">
        <is>
          <t>RAGUNDA</t>
        </is>
      </c>
      <c r="G6370" t="n">
        <v>3.8</v>
      </c>
      <c r="H6370" t="n">
        <v>0</v>
      </c>
      <c r="I6370" t="n">
        <v>0</v>
      </c>
      <c r="J6370" t="n">
        <v>0</v>
      </c>
      <c r="K6370" t="n">
        <v>0</v>
      </c>
      <c r="L6370" t="n">
        <v>0</v>
      </c>
      <c r="M6370" t="n">
        <v>0</v>
      </c>
      <c r="N6370" t="n">
        <v>0</v>
      </c>
      <c r="O6370" t="n">
        <v>0</v>
      </c>
      <c r="P6370" t="n">
        <v>0</v>
      </c>
      <c r="Q6370" t="n">
        <v>0</v>
      </c>
      <c r="R6370" s="2" t="inlineStr"/>
    </row>
    <row r="6371" ht="15" customHeight="1">
      <c r="A6371" t="inlineStr">
        <is>
          <t>A 22746-2023</t>
        </is>
      </c>
      <c r="B6371" s="1" t="n">
        <v>45071</v>
      </c>
      <c r="C6371" s="1" t="n">
        <v>45182</v>
      </c>
      <c r="D6371" t="inlineStr">
        <is>
          <t>JÄMTLANDS LÄN</t>
        </is>
      </c>
      <c r="E6371" t="inlineStr">
        <is>
          <t>HÄRJEDALEN</t>
        </is>
      </c>
      <c r="F6371" t="inlineStr">
        <is>
          <t>SCA</t>
        </is>
      </c>
      <c r="G6371" t="n">
        <v>10.7</v>
      </c>
      <c r="H6371" t="n">
        <v>0</v>
      </c>
      <c r="I6371" t="n">
        <v>0</v>
      </c>
      <c r="J6371" t="n">
        <v>0</v>
      </c>
      <c r="K6371" t="n">
        <v>0</v>
      </c>
      <c r="L6371" t="n">
        <v>0</v>
      </c>
      <c r="M6371" t="n">
        <v>0</v>
      </c>
      <c r="N6371" t="n">
        <v>0</v>
      </c>
      <c r="O6371" t="n">
        <v>0</v>
      </c>
      <c r="P6371" t="n">
        <v>0</v>
      </c>
      <c r="Q6371" t="n">
        <v>0</v>
      </c>
      <c r="R6371" s="2" t="inlineStr"/>
    </row>
    <row r="6372" ht="15" customHeight="1">
      <c r="A6372" t="inlineStr">
        <is>
          <t>A 23326-2023</t>
        </is>
      </c>
      <c r="B6372" s="1" t="n">
        <v>45071</v>
      </c>
      <c r="C6372" s="1" t="n">
        <v>45182</v>
      </c>
      <c r="D6372" t="inlineStr">
        <is>
          <t>JÄMTLANDS LÄN</t>
        </is>
      </c>
      <c r="E6372" t="inlineStr">
        <is>
          <t>KROKOM</t>
        </is>
      </c>
      <c r="G6372" t="n">
        <v>2.7</v>
      </c>
      <c r="H6372" t="n">
        <v>0</v>
      </c>
      <c r="I6372" t="n">
        <v>0</v>
      </c>
      <c r="J6372" t="n">
        <v>0</v>
      </c>
      <c r="K6372" t="n">
        <v>0</v>
      </c>
      <c r="L6372" t="n">
        <v>0</v>
      </c>
      <c r="M6372" t="n">
        <v>0</v>
      </c>
      <c r="N6372" t="n">
        <v>0</v>
      </c>
      <c r="O6372" t="n">
        <v>0</v>
      </c>
      <c r="P6372" t="n">
        <v>0</v>
      </c>
      <c r="Q6372" t="n">
        <v>0</v>
      </c>
      <c r="R6372" s="2" t="inlineStr"/>
    </row>
    <row r="6373" ht="15" customHeight="1">
      <c r="A6373" t="inlineStr">
        <is>
          <t>A 22748-2023</t>
        </is>
      </c>
      <c r="B6373" s="1" t="n">
        <v>45071</v>
      </c>
      <c r="C6373" s="1" t="n">
        <v>45182</v>
      </c>
      <c r="D6373" t="inlineStr">
        <is>
          <t>JÄMTLANDS LÄN</t>
        </is>
      </c>
      <c r="E6373" t="inlineStr">
        <is>
          <t>BRÄCKE</t>
        </is>
      </c>
      <c r="F6373" t="inlineStr">
        <is>
          <t>SCA</t>
        </is>
      </c>
      <c r="G6373" t="n">
        <v>0.9</v>
      </c>
      <c r="H6373" t="n">
        <v>0</v>
      </c>
      <c r="I6373" t="n">
        <v>0</v>
      </c>
      <c r="J6373" t="n">
        <v>0</v>
      </c>
      <c r="K6373" t="n">
        <v>0</v>
      </c>
      <c r="L6373" t="n">
        <v>0</v>
      </c>
      <c r="M6373" t="n">
        <v>0</v>
      </c>
      <c r="N6373" t="n">
        <v>0</v>
      </c>
      <c r="O6373" t="n">
        <v>0</v>
      </c>
      <c r="P6373" t="n">
        <v>0</v>
      </c>
      <c r="Q6373" t="n">
        <v>0</v>
      </c>
      <c r="R6373" s="2" t="inlineStr"/>
    </row>
    <row r="6374" ht="15" customHeight="1">
      <c r="A6374" t="inlineStr">
        <is>
          <t>A 22747-2023</t>
        </is>
      </c>
      <c r="B6374" s="1" t="n">
        <v>45071</v>
      </c>
      <c r="C6374" s="1" t="n">
        <v>45182</v>
      </c>
      <c r="D6374" t="inlineStr">
        <is>
          <t>JÄMTLANDS LÄN</t>
        </is>
      </c>
      <c r="E6374" t="inlineStr">
        <is>
          <t>HÄRJEDALEN</t>
        </is>
      </c>
      <c r="F6374" t="inlineStr">
        <is>
          <t>SCA</t>
        </is>
      </c>
      <c r="G6374" t="n">
        <v>2.1</v>
      </c>
      <c r="H6374" t="n">
        <v>0</v>
      </c>
      <c r="I6374" t="n">
        <v>0</v>
      </c>
      <c r="J6374" t="n">
        <v>0</v>
      </c>
      <c r="K6374" t="n">
        <v>0</v>
      </c>
      <c r="L6374" t="n">
        <v>0</v>
      </c>
      <c r="M6374" t="n">
        <v>0</v>
      </c>
      <c r="N6374" t="n">
        <v>0</v>
      </c>
      <c r="O6374" t="n">
        <v>0</v>
      </c>
      <c r="P6374" t="n">
        <v>0</v>
      </c>
      <c r="Q6374" t="n">
        <v>0</v>
      </c>
      <c r="R6374" s="2" t="inlineStr"/>
    </row>
    <row r="6375" ht="15" customHeight="1">
      <c r="A6375" t="inlineStr">
        <is>
          <t>A 22731-2023</t>
        </is>
      </c>
      <c r="B6375" s="1" t="n">
        <v>45071</v>
      </c>
      <c r="C6375" s="1" t="n">
        <v>45182</v>
      </c>
      <c r="D6375" t="inlineStr">
        <is>
          <t>JÄMTLANDS LÄN</t>
        </is>
      </c>
      <c r="E6375" t="inlineStr">
        <is>
          <t>RAGUNDA</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22985-2023</t>
        </is>
      </c>
      <c r="B6376" s="1" t="n">
        <v>45072</v>
      </c>
      <c r="C6376" s="1" t="n">
        <v>45182</v>
      </c>
      <c r="D6376" t="inlineStr">
        <is>
          <t>JÄMTLANDS LÄN</t>
        </is>
      </c>
      <c r="E6376" t="inlineStr">
        <is>
          <t>BRÄCKE</t>
        </is>
      </c>
      <c r="F6376" t="inlineStr">
        <is>
          <t>SCA</t>
        </is>
      </c>
      <c r="G6376" t="n">
        <v>2.1</v>
      </c>
      <c r="H6376" t="n">
        <v>0</v>
      </c>
      <c r="I6376" t="n">
        <v>0</v>
      </c>
      <c r="J6376" t="n">
        <v>0</v>
      </c>
      <c r="K6376" t="n">
        <v>0</v>
      </c>
      <c r="L6376" t="n">
        <v>0</v>
      </c>
      <c r="M6376" t="n">
        <v>0</v>
      </c>
      <c r="N6376" t="n">
        <v>0</v>
      </c>
      <c r="O6376" t="n">
        <v>0</v>
      </c>
      <c r="P6376" t="n">
        <v>0</v>
      </c>
      <c r="Q6376" t="n">
        <v>0</v>
      </c>
      <c r="R6376" s="2" t="inlineStr"/>
    </row>
    <row r="6377" ht="15" customHeight="1">
      <c r="A6377" t="inlineStr">
        <is>
          <t>A 22984-2023</t>
        </is>
      </c>
      <c r="B6377" s="1" t="n">
        <v>45072</v>
      </c>
      <c r="C6377" s="1" t="n">
        <v>45182</v>
      </c>
      <c r="D6377" t="inlineStr">
        <is>
          <t>JÄMTLANDS LÄN</t>
        </is>
      </c>
      <c r="E6377" t="inlineStr">
        <is>
          <t>BRÄCKE</t>
        </is>
      </c>
      <c r="F6377" t="inlineStr">
        <is>
          <t>SCA</t>
        </is>
      </c>
      <c r="G6377" t="n">
        <v>10.1</v>
      </c>
      <c r="H6377" t="n">
        <v>0</v>
      </c>
      <c r="I6377" t="n">
        <v>0</v>
      </c>
      <c r="J6377" t="n">
        <v>0</v>
      </c>
      <c r="K6377" t="n">
        <v>0</v>
      </c>
      <c r="L6377" t="n">
        <v>0</v>
      </c>
      <c r="M6377" t="n">
        <v>0</v>
      </c>
      <c r="N6377" t="n">
        <v>0</v>
      </c>
      <c r="O6377" t="n">
        <v>0</v>
      </c>
      <c r="P6377" t="n">
        <v>0</v>
      </c>
      <c r="Q6377" t="n">
        <v>0</v>
      </c>
      <c r="R6377" s="2" t="inlineStr"/>
    </row>
    <row r="6378" ht="15" customHeight="1">
      <c r="A6378" t="inlineStr">
        <is>
          <t>A 22950-2023</t>
        </is>
      </c>
      <c r="B6378" s="1" t="n">
        <v>45072</v>
      </c>
      <c r="C6378" s="1" t="n">
        <v>45182</v>
      </c>
      <c r="D6378" t="inlineStr">
        <is>
          <t>JÄMTLANDS LÄN</t>
        </is>
      </c>
      <c r="E6378" t="inlineStr">
        <is>
          <t>BERG</t>
        </is>
      </c>
      <c r="G6378" t="n">
        <v>1.8</v>
      </c>
      <c r="H6378" t="n">
        <v>0</v>
      </c>
      <c r="I6378" t="n">
        <v>0</v>
      </c>
      <c r="J6378" t="n">
        <v>0</v>
      </c>
      <c r="K6378" t="n">
        <v>0</v>
      </c>
      <c r="L6378" t="n">
        <v>0</v>
      </c>
      <c r="M6378" t="n">
        <v>0</v>
      </c>
      <c r="N6378" t="n">
        <v>0</v>
      </c>
      <c r="O6378" t="n">
        <v>0</v>
      </c>
      <c r="P6378" t="n">
        <v>0</v>
      </c>
      <c r="Q6378" t="n">
        <v>0</v>
      </c>
      <c r="R6378" s="2" t="inlineStr"/>
    </row>
    <row r="6379" ht="15" customHeight="1">
      <c r="A6379" t="inlineStr">
        <is>
          <t>A 22988-2023</t>
        </is>
      </c>
      <c r="B6379" s="1" t="n">
        <v>45072</v>
      </c>
      <c r="C6379" s="1" t="n">
        <v>45182</v>
      </c>
      <c r="D6379" t="inlineStr">
        <is>
          <t>JÄMTLANDS LÄN</t>
        </is>
      </c>
      <c r="E6379" t="inlineStr">
        <is>
          <t>BRÄCKE</t>
        </is>
      </c>
      <c r="F6379" t="inlineStr">
        <is>
          <t>SCA</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23311-2023</t>
        </is>
      </c>
      <c r="B6380" s="1" t="n">
        <v>45075</v>
      </c>
      <c r="C6380" s="1" t="n">
        <v>45182</v>
      </c>
      <c r="D6380" t="inlineStr">
        <is>
          <t>JÄMTLANDS LÄN</t>
        </is>
      </c>
      <c r="E6380" t="inlineStr">
        <is>
          <t>STRÖMSUND</t>
        </is>
      </c>
      <c r="F6380" t="inlineStr">
        <is>
          <t>SCA</t>
        </is>
      </c>
      <c r="G6380" t="n">
        <v>2</v>
      </c>
      <c r="H6380" t="n">
        <v>0</v>
      </c>
      <c r="I6380" t="n">
        <v>0</v>
      </c>
      <c r="J6380" t="n">
        <v>0</v>
      </c>
      <c r="K6380" t="n">
        <v>0</v>
      </c>
      <c r="L6380" t="n">
        <v>0</v>
      </c>
      <c r="M6380" t="n">
        <v>0</v>
      </c>
      <c r="N6380" t="n">
        <v>0</v>
      </c>
      <c r="O6380" t="n">
        <v>0</v>
      </c>
      <c r="P6380" t="n">
        <v>0</v>
      </c>
      <c r="Q6380" t="n">
        <v>0</v>
      </c>
      <c r="R6380" s="2" t="inlineStr"/>
    </row>
    <row r="6381" ht="15" customHeight="1">
      <c r="A6381" t="inlineStr">
        <is>
          <t>A 23306-2023</t>
        </is>
      </c>
      <c r="B6381" s="1" t="n">
        <v>45075</v>
      </c>
      <c r="C6381" s="1" t="n">
        <v>45182</v>
      </c>
      <c r="D6381" t="inlineStr">
        <is>
          <t>JÄMTLANDS LÄN</t>
        </is>
      </c>
      <c r="E6381" t="inlineStr">
        <is>
          <t>BRÄCKE</t>
        </is>
      </c>
      <c r="F6381" t="inlineStr">
        <is>
          <t>SCA</t>
        </is>
      </c>
      <c r="G6381" t="n">
        <v>13.9</v>
      </c>
      <c r="H6381" t="n">
        <v>0</v>
      </c>
      <c r="I6381" t="n">
        <v>0</v>
      </c>
      <c r="J6381" t="n">
        <v>0</v>
      </c>
      <c r="K6381" t="n">
        <v>0</v>
      </c>
      <c r="L6381" t="n">
        <v>0</v>
      </c>
      <c r="M6381" t="n">
        <v>0</v>
      </c>
      <c r="N6381" t="n">
        <v>0</v>
      </c>
      <c r="O6381" t="n">
        <v>0</v>
      </c>
      <c r="P6381" t="n">
        <v>0</v>
      </c>
      <c r="Q6381" t="n">
        <v>0</v>
      </c>
      <c r="R6381" s="2" t="inlineStr"/>
    </row>
    <row r="6382" ht="15" customHeight="1">
      <c r="A6382" t="inlineStr">
        <is>
          <t>A 23310-2023</t>
        </is>
      </c>
      <c r="B6382" s="1" t="n">
        <v>45075</v>
      </c>
      <c r="C6382" s="1" t="n">
        <v>45182</v>
      </c>
      <c r="D6382" t="inlineStr">
        <is>
          <t>JÄMTLANDS LÄN</t>
        </is>
      </c>
      <c r="E6382" t="inlineStr">
        <is>
          <t>STRÖMSUND</t>
        </is>
      </c>
      <c r="F6382" t="inlineStr">
        <is>
          <t>SCA</t>
        </is>
      </c>
      <c r="G6382" t="n">
        <v>2.3</v>
      </c>
      <c r="H6382" t="n">
        <v>0</v>
      </c>
      <c r="I6382" t="n">
        <v>0</v>
      </c>
      <c r="J6382" t="n">
        <v>0</v>
      </c>
      <c r="K6382" t="n">
        <v>0</v>
      </c>
      <c r="L6382" t="n">
        <v>0</v>
      </c>
      <c r="M6382" t="n">
        <v>0</v>
      </c>
      <c r="N6382" t="n">
        <v>0</v>
      </c>
      <c r="O6382" t="n">
        <v>0</v>
      </c>
      <c r="P6382" t="n">
        <v>0</v>
      </c>
      <c r="Q6382" t="n">
        <v>0</v>
      </c>
      <c r="R6382" s="2" t="inlineStr"/>
    </row>
    <row r="6383" ht="15" customHeight="1">
      <c r="A6383" t="inlineStr">
        <is>
          <t>A 23906-2023</t>
        </is>
      </c>
      <c r="B6383" s="1" t="n">
        <v>45075</v>
      </c>
      <c r="C6383" s="1" t="n">
        <v>45182</v>
      </c>
      <c r="D6383" t="inlineStr">
        <is>
          <t>JÄMTLANDS LÄN</t>
        </is>
      </c>
      <c r="E6383" t="inlineStr">
        <is>
          <t>STRÖMSUND</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23301-2023</t>
        </is>
      </c>
      <c r="B6384" s="1" t="n">
        <v>45075</v>
      </c>
      <c r="C6384" s="1" t="n">
        <v>45182</v>
      </c>
      <c r="D6384" t="inlineStr">
        <is>
          <t>JÄMTLANDS LÄN</t>
        </is>
      </c>
      <c r="E6384" t="inlineStr">
        <is>
          <t>BRÄCKE</t>
        </is>
      </c>
      <c r="F6384" t="inlineStr">
        <is>
          <t>SCA</t>
        </is>
      </c>
      <c r="G6384" t="n">
        <v>5.9</v>
      </c>
      <c r="H6384" t="n">
        <v>0</v>
      </c>
      <c r="I6384" t="n">
        <v>0</v>
      </c>
      <c r="J6384" t="n">
        <v>0</v>
      </c>
      <c r="K6384" t="n">
        <v>0</v>
      </c>
      <c r="L6384" t="n">
        <v>0</v>
      </c>
      <c r="M6384" t="n">
        <v>0</v>
      </c>
      <c r="N6384" t="n">
        <v>0</v>
      </c>
      <c r="O6384" t="n">
        <v>0</v>
      </c>
      <c r="P6384" t="n">
        <v>0</v>
      </c>
      <c r="Q6384" t="n">
        <v>0</v>
      </c>
      <c r="R6384" s="2" t="inlineStr"/>
    </row>
    <row r="6385" ht="15" customHeight="1">
      <c r="A6385" t="inlineStr">
        <is>
          <t>A 23805-2023</t>
        </is>
      </c>
      <c r="B6385" s="1" t="n">
        <v>45075</v>
      </c>
      <c r="C6385" s="1" t="n">
        <v>45182</v>
      </c>
      <c r="D6385" t="inlineStr">
        <is>
          <t>JÄMTLANDS LÄN</t>
        </is>
      </c>
      <c r="E6385" t="inlineStr">
        <is>
          <t>ÅRE</t>
        </is>
      </c>
      <c r="G6385" t="n">
        <v>0.9</v>
      </c>
      <c r="H6385" t="n">
        <v>0</v>
      </c>
      <c r="I6385" t="n">
        <v>0</v>
      </c>
      <c r="J6385" t="n">
        <v>0</v>
      </c>
      <c r="K6385" t="n">
        <v>0</v>
      </c>
      <c r="L6385" t="n">
        <v>0</v>
      </c>
      <c r="M6385" t="n">
        <v>0</v>
      </c>
      <c r="N6385" t="n">
        <v>0</v>
      </c>
      <c r="O6385" t="n">
        <v>0</v>
      </c>
      <c r="P6385" t="n">
        <v>0</v>
      </c>
      <c r="Q6385" t="n">
        <v>0</v>
      </c>
      <c r="R6385" s="2" t="inlineStr"/>
    </row>
    <row r="6386" ht="15" customHeight="1">
      <c r="A6386" t="inlineStr">
        <is>
          <t>A 23309-2023</t>
        </is>
      </c>
      <c r="B6386" s="1" t="n">
        <v>45075</v>
      </c>
      <c r="C6386" s="1" t="n">
        <v>45182</v>
      </c>
      <c r="D6386" t="inlineStr">
        <is>
          <t>JÄMTLANDS LÄN</t>
        </is>
      </c>
      <c r="E6386" t="inlineStr">
        <is>
          <t>STRÖMSUND</t>
        </is>
      </c>
      <c r="F6386" t="inlineStr">
        <is>
          <t>SCA</t>
        </is>
      </c>
      <c r="G6386" t="n">
        <v>2</v>
      </c>
      <c r="H6386" t="n">
        <v>0</v>
      </c>
      <c r="I6386" t="n">
        <v>0</v>
      </c>
      <c r="J6386" t="n">
        <v>0</v>
      </c>
      <c r="K6386" t="n">
        <v>0</v>
      </c>
      <c r="L6386" t="n">
        <v>0</v>
      </c>
      <c r="M6386" t="n">
        <v>0</v>
      </c>
      <c r="N6386" t="n">
        <v>0</v>
      </c>
      <c r="O6386" t="n">
        <v>0</v>
      </c>
      <c r="P6386" t="n">
        <v>0</v>
      </c>
      <c r="Q6386" t="n">
        <v>0</v>
      </c>
      <c r="R6386" s="2" t="inlineStr"/>
    </row>
    <row r="6387" ht="15" customHeight="1">
      <c r="A6387" t="inlineStr">
        <is>
          <t>A 23839-2023</t>
        </is>
      </c>
      <c r="B6387" s="1" t="n">
        <v>45075</v>
      </c>
      <c r="C6387" s="1" t="n">
        <v>45182</v>
      </c>
      <c r="D6387" t="inlineStr">
        <is>
          <t>JÄMTLANDS LÄN</t>
        </is>
      </c>
      <c r="E6387" t="inlineStr">
        <is>
          <t>STRÖMSUND</t>
        </is>
      </c>
      <c r="G6387" t="n">
        <v>2.1</v>
      </c>
      <c r="H6387" t="n">
        <v>0</v>
      </c>
      <c r="I6387" t="n">
        <v>0</v>
      </c>
      <c r="J6387" t="n">
        <v>0</v>
      </c>
      <c r="K6387" t="n">
        <v>0</v>
      </c>
      <c r="L6387" t="n">
        <v>0</v>
      </c>
      <c r="M6387" t="n">
        <v>0</v>
      </c>
      <c r="N6387" t="n">
        <v>0</v>
      </c>
      <c r="O6387" t="n">
        <v>0</v>
      </c>
      <c r="P6387" t="n">
        <v>0</v>
      </c>
      <c r="Q6387" t="n">
        <v>0</v>
      </c>
      <c r="R6387" s="2" t="inlineStr"/>
    </row>
    <row r="6388" ht="15" customHeight="1">
      <c r="A6388" t="inlineStr">
        <is>
          <t>A 23406-2023</t>
        </is>
      </c>
      <c r="B6388" s="1" t="n">
        <v>45076</v>
      </c>
      <c r="C6388" s="1" t="n">
        <v>45182</v>
      </c>
      <c r="D6388" t="inlineStr">
        <is>
          <t>JÄMTLANDS LÄN</t>
        </is>
      </c>
      <c r="E6388" t="inlineStr">
        <is>
          <t>STRÖMSUND</t>
        </is>
      </c>
      <c r="G6388" t="n">
        <v>11.7</v>
      </c>
      <c r="H6388" t="n">
        <v>0</v>
      </c>
      <c r="I6388" t="n">
        <v>0</v>
      </c>
      <c r="J6388" t="n">
        <v>0</v>
      </c>
      <c r="K6388" t="n">
        <v>0</v>
      </c>
      <c r="L6388" t="n">
        <v>0</v>
      </c>
      <c r="M6388" t="n">
        <v>0</v>
      </c>
      <c r="N6388" t="n">
        <v>0</v>
      </c>
      <c r="O6388" t="n">
        <v>0</v>
      </c>
      <c r="P6388" t="n">
        <v>0</v>
      </c>
      <c r="Q6388" t="n">
        <v>0</v>
      </c>
      <c r="R6388" s="2" t="inlineStr"/>
    </row>
    <row r="6389" ht="15" customHeight="1">
      <c r="A6389" t="inlineStr">
        <is>
          <t>A 23525-2023</t>
        </is>
      </c>
      <c r="B6389" s="1" t="n">
        <v>45076</v>
      </c>
      <c r="C6389" s="1" t="n">
        <v>45182</v>
      </c>
      <c r="D6389" t="inlineStr">
        <is>
          <t>JÄMTLANDS LÄN</t>
        </is>
      </c>
      <c r="E6389" t="inlineStr">
        <is>
          <t>STRÖMSUND</t>
        </is>
      </c>
      <c r="F6389" t="inlineStr">
        <is>
          <t>SCA</t>
        </is>
      </c>
      <c r="G6389" t="n">
        <v>11.8</v>
      </c>
      <c r="H6389" t="n">
        <v>0</v>
      </c>
      <c r="I6389" t="n">
        <v>0</v>
      </c>
      <c r="J6389" t="n">
        <v>0</v>
      </c>
      <c r="K6389" t="n">
        <v>0</v>
      </c>
      <c r="L6389" t="n">
        <v>0</v>
      </c>
      <c r="M6389" t="n">
        <v>0</v>
      </c>
      <c r="N6389" t="n">
        <v>0</v>
      </c>
      <c r="O6389" t="n">
        <v>0</v>
      </c>
      <c r="P6389" t="n">
        <v>0</v>
      </c>
      <c r="Q6389" t="n">
        <v>0</v>
      </c>
      <c r="R6389" s="2" t="inlineStr"/>
    </row>
    <row r="6390" ht="15" customHeight="1">
      <c r="A6390" t="inlineStr">
        <is>
          <t>A 23528-2023</t>
        </is>
      </c>
      <c r="B6390" s="1" t="n">
        <v>45076</v>
      </c>
      <c r="C6390" s="1" t="n">
        <v>45182</v>
      </c>
      <c r="D6390" t="inlineStr">
        <is>
          <t>JÄMTLANDS LÄN</t>
        </is>
      </c>
      <c r="E6390" t="inlineStr">
        <is>
          <t>STRÖMSUND</t>
        </is>
      </c>
      <c r="F6390" t="inlineStr">
        <is>
          <t>SCA</t>
        </is>
      </c>
      <c r="G6390" t="n">
        <v>1</v>
      </c>
      <c r="H6390" t="n">
        <v>0</v>
      </c>
      <c r="I6390" t="n">
        <v>0</v>
      </c>
      <c r="J6390" t="n">
        <v>0</v>
      </c>
      <c r="K6390" t="n">
        <v>0</v>
      </c>
      <c r="L6390" t="n">
        <v>0</v>
      </c>
      <c r="M6390" t="n">
        <v>0</v>
      </c>
      <c r="N6390" t="n">
        <v>0</v>
      </c>
      <c r="O6390" t="n">
        <v>0</v>
      </c>
      <c r="P6390" t="n">
        <v>0</v>
      </c>
      <c r="Q6390" t="n">
        <v>0</v>
      </c>
      <c r="R6390" s="2" t="inlineStr"/>
    </row>
    <row r="6391" ht="15" customHeight="1">
      <c r="A6391" t="inlineStr">
        <is>
          <t>A 23446-2023</t>
        </is>
      </c>
      <c r="B6391" s="1" t="n">
        <v>45076</v>
      </c>
      <c r="C6391" s="1" t="n">
        <v>45182</v>
      </c>
      <c r="D6391" t="inlineStr">
        <is>
          <t>JÄMTLANDS LÄN</t>
        </is>
      </c>
      <c r="E6391" t="inlineStr">
        <is>
          <t>STRÖMSUND</t>
        </is>
      </c>
      <c r="G6391" t="n">
        <v>1.8</v>
      </c>
      <c r="H6391" t="n">
        <v>0</v>
      </c>
      <c r="I6391" t="n">
        <v>0</v>
      </c>
      <c r="J6391" t="n">
        <v>0</v>
      </c>
      <c r="K6391" t="n">
        <v>0</v>
      </c>
      <c r="L6391" t="n">
        <v>0</v>
      </c>
      <c r="M6391" t="n">
        <v>0</v>
      </c>
      <c r="N6391" t="n">
        <v>0</v>
      </c>
      <c r="O6391" t="n">
        <v>0</v>
      </c>
      <c r="P6391" t="n">
        <v>0</v>
      </c>
      <c r="Q6391" t="n">
        <v>0</v>
      </c>
      <c r="R6391" s="2" t="inlineStr"/>
    </row>
    <row r="6392" ht="15" customHeight="1">
      <c r="A6392" t="inlineStr">
        <is>
          <t>A 23465-2023</t>
        </is>
      </c>
      <c r="B6392" s="1" t="n">
        <v>45076</v>
      </c>
      <c r="C6392" s="1" t="n">
        <v>45182</v>
      </c>
      <c r="D6392" t="inlineStr">
        <is>
          <t>JÄMTLANDS LÄN</t>
        </is>
      </c>
      <c r="E6392" t="inlineStr">
        <is>
          <t>HÄRJEDALEN</t>
        </is>
      </c>
      <c r="G6392" t="n">
        <v>14.1</v>
      </c>
      <c r="H6392" t="n">
        <v>0</v>
      </c>
      <c r="I6392" t="n">
        <v>0</v>
      </c>
      <c r="J6392" t="n">
        <v>0</v>
      </c>
      <c r="K6392" t="n">
        <v>0</v>
      </c>
      <c r="L6392" t="n">
        <v>0</v>
      </c>
      <c r="M6392" t="n">
        <v>0</v>
      </c>
      <c r="N6392" t="n">
        <v>0</v>
      </c>
      <c r="O6392" t="n">
        <v>0</v>
      </c>
      <c r="P6392" t="n">
        <v>0</v>
      </c>
      <c r="Q6392" t="n">
        <v>0</v>
      </c>
      <c r="R6392" s="2" t="inlineStr"/>
    </row>
    <row r="6393" ht="15" customHeight="1">
      <c r="A6393" t="inlineStr">
        <is>
          <t>A 23748-2023</t>
        </is>
      </c>
      <c r="B6393" s="1" t="n">
        <v>45077</v>
      </c>
      <c r="C6393" s="1" t="n">
        <v>45182</v>
      </c>
      <c r="D6393" t="inlineStr">
        <is>
          <t>JÄMTLANDS LÄN</t>
        </is>
      </c>
      <c r="E6393" t="inlineStr">
        <is>
          <t>STRÖMSUND</t>
        </is>
      </c>
      <c r="G6393" t="n">
        <v>2.2</v>
      </c>
      <c r="H6393" t="n">
        <v>0</v>
      </c>
      <c r="I6393" t="n">
        <v>0</v>
      </c>
      <c r="J6393" t="n">
        <v>0</v>
      </c>
      <c r="K6393" t="n">
        <v>0</v>
      </c>
      <c r="L6393" t="n">
        <v>0</v>
      </c>
      <c r="M6393" t="n">
        <v>0</v>
      </c>
      <c r="N6393" t="n">
        <v>0</v>
      </c>
      <c r="O6393" t="n">
        <v>0</v>
      </c>
      <c r="P6393" t="n">
        <v>0</v>
      </c>
      <c r="Q6393" t="n">
        <v>0</v>
      </c>
      <c r="R6393" s="2" t="inlineStr"/>
    </row>
    <row r="6394" ht="15" customHeight="1">
      <c r="A6394" t="inlineStr">
        <is>
          <t>A 23767-2023</t>
        </is>
      </c>
      <c r="B6394" s="1" t="n">
        <v>45077</v>
      </c>
      <c r="C6394" s="1" t="n">
        <v>45182</v>
      </c>
      <c r="D6394" t="inlineStr">
        <is>
          <t>JÄMTLANDS LÄN</t>
        </is>
      </c>
      <c r="E6394" t="inlineStr">
        <is>
          <t>BRÄCKE</t>
        </is>
      </c>
      <c r="F6394" t="inlineStr">
        <is>
          <t>SCA</t>
        </is>
      </c>
      <c r="G6394" t="n">
        <v>3.2</v>
      </c>
      <c r="H6394" t="n">
        <v>0</v>
      </c>
      <c r="I6394" t="n">
        <v>0</v>
      </c>
      <c r="J6394" t="n">
        <v>0</v>
      </c>
      <c r="K6394" t="n">
        <v>0</v>
      </c>
      <c r="L6394" t="n">
        <v>0</v>
      </c>
      <c r="M6394" t="n">
        <v>0</v>
      </c>
      <c r="N6394" t="n">
        <v>0</v>
      </c>
      <c r="O6394" t="n">
        <v>0</v>
      </c>
      <c r="P6394" t="n">
        <v>0</v>
      </c>
      <c r="Q6394" t="n">
        <v>0</v>
      </c>
      <c r="R6394" s="2" t="inlineStr"/>
    </row>
    <row r="6395" ht="15" customHeight="1">
      <c r="A6395" t="inlineStr">
        <is>
          <t>A 23772-2023</t>
        </is>
      </c>
      <c r="B6395" s="1" t="n">
        <v>45077</v>
      </c>
      <c r="C6395" s="1" t="n">
        <v>45182</v>
      </c>
      <c r="D6395" t="inlineStr">
        <is>
          <t>JÄMTLANDS LÄN</t>
        </is>
      </c>
      <c r="E6395" t="inlineStr">
        <is>
          <t>BRÄCKE</t>
        </is>
      </c>
      <c r="F6395" t="inlineStr">
        <is>
          <t>SCA</t>
        </is>
      </c>
      <c r="G6395" t="n">
        <v>2.8</v>
      </c>
      <c r="H6395" t="n">
        <v>0</v>
      </c>
      <c r="I6395" t="n">
        <v>0</v>
      </c>
      <c r="J6395" t="n">
        <v>0</v>
      </c>
      <c r="K6395" t="n">
        <v>0</v>
      </c>
      <c r="L6395" t="n">
        <v>0</v>
      </c>
      <c r="M6395" t="n">
        <v>0</v>
      </c>
      <c r="N6395" t="n">
        <v>0</v>
      </c>
      <c r="O6395" t="n">
        <v>0</v>
      </c>
      <c r="P6395" t="n">
        <v>0</v>
      </c>
      <c r="Q6395" t="n">
        <v>0</v>
      </c>
      <c r="R6395" s="2" t="inlineStr"/>
    </row>
    <row r="6396" ht="15" customHeight="1">
      <c r="A6396" t="inlineStr">
        <is>
          <t>A 24515-2023</t>
        </is>
      </c>
      <c r="B6396" s="1" t="n">
        <v>45077</v>
      </c>
      <c r="C6396" s="1" t="n">
        <v>45182</v>
      </c>
      <c r="D6396" t="inlineStr">
        <is>
          <t>JÄMTLANDS LÄN</t>
        </is>
      </c>
      <c r="E6396" t="inlineStr">
        <is>
          <t>ÖSTERSUND</t>
        </is>
      </c>
      <c r="G6396" t="n">
        <v>27.8</v>
      </c>
      <c r="H6396" t="n">
        <v>0</v>
      </c>
      <c r="I6396" t="n">
        <v>0</v>
      </c>
      <c r="J6396" t="n">
        <v>0</v>
      </c>
      <c r="K6396" t="n">
        <v>0</v>
      </c>
      <c r="L6396" t="n">
        <v>0</v>
      </c>
      <c r="M6396" t="n">
        <v>0</v>
      </c>
      <c r="N6396" t="n">
        <v>0</v>
      </c>
      <c r="O6396" t="n">
        <v>0</v>
      </c>
      <c r="P6396" t="n">
        <v>0</v>
      </c>
      <c r="Q6396" t="n">
        <v>0</v>
      </c>
      <c r="R6396" s="2" t="inlineStr"/>
    </row>
    <row r="6397" ht="15" customHeight="1">
      <c r="A6397" t="inlineStr">
        <is>
          <t>A 23771-2023</t>
        </is>
      </c>
      <c r="B6397" s="1" t="n">
        <v>45077</v>
      </c>
      <c r="C6397" s="1" t="n">
        <v>45182</v>
      </c>
      <c r="D6397" t="inlineStr">
        <is>
          <t>JÄMTLANDS LÄN</t>
        </is>
      </c>
      <c r="E6397" t="inlineStr">
        <is>
          <t>BRÄCKE</t>
        </is>
      </c>
      <c r="F6397" t="inlineStr">
        <is>
          <t>SCA</t>
        </is>
      </c>
      <c r="G6397" t="n">
        <v>4.8</v>
      </c>
      <c r="H6397" t="n">
        <v>0</v>
      </c>
      <c r="I6397" t="n">
        <v>0</v>
      </c>
      <c r="J6397" t="n">
        <v>0</v>
      </c>
      <c r="K6397" t="n">
        <v>0</v>
      </c>
      <c r="L6397" t="n">
        <v>0</v>
      </c>
      <c r="M6397" t="n">
        <v>0</v>
      </c>
      <c r="N6397" t="n">
        <v>0</v>
      </c>
      <c r="O6397" t="n">
        <v>0</v>
      </c>
      <c r="P6397" t="n">
        <v>0</v>
      </c>
      <c r="Q6397" t="n">
        <v>0</v>
      </c>
      <c r="R6397" s="2" t="inlineStr"/>
    </row>
    <row r="6398" ht="15" customHeight="1">
      <c r="A6398" t="inlineStr">
        <is>
          <t>A 23778-2023</t>
        </is>
      </c>
      <c r="B6398" s="1" t="n">
        <v>45077</v>
      </c>
      <c r="C6398" s="1" t="n">
        <v>45182</v>
      </c>
      <c r="D6398" t="inlineStr">
        <is>
          <t>JÄMTLANDS LÄN</t>
        </is>
      </c>
      <c r="E6398" t="inlineStr">
        <is>
          <t>BRÄCKE</t>
        </is>
      </c>
      <c r="F6398" t="inlineStr">
        <is>
          <t>SCA</t>
        </is>
      </c>
      <c r="G6398" t="n">
        <v>1.3</v>
      </c>
      <c r="H6398" t="n">
        <v>0</v>
      </c>
      <c r="I6398" t="n">
        <v>0</v>
      </c>
      <c r="J6398" t="n">
        <v>0</v>
      </c>
      <c r="K6398" t="n">
        <v>0</v>
      </c>
      <c r="L6398" t="n">
        <v>0</v>
      </c>
      <c r="M6398" t="n">
        <v>0</v>
      </c>
      <c r="N6398" t="n">
        <v>0</v>
      </c>
      <c r="O6398" t="n">
        <v>0</v>
      </c>
      <c r="P6398" t="n">
        <v>0</v>
      </c>
      <c r="Q6398" t="n">
        <v>0</v>
      </c>
      <c r="R6398" s="2" t="inlineStr"/>
    </row>
    <row r="6399" ht="15" customHeight="1">
      <c r="A6399" t="inlineStr">
        <is>
          <t>A 24046-2023</t>
        </is>
      </c>
      <c r="B6399" s="1" t="n">
        <v>45078</v>
      </c>
      <c r="C6399" s="1" t="n">
        <v>45182</v>
      </c>
      <c r="D6399" t="inlineStr">
        <is>
          <t>JÄMTLANDS LÄN</t>
        </is>
      </c>
      <c r="E6399" t="inlineStr">
        <is>
          <t>BRÄCKE</t>
        </is>
      </c>
      <c r="F6399" t="inlineStr">
        <is>
          <t>SCA</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24011-2023</t>
        </is>
      </c>
      <c r="B6400" s="1" t="n">
        <v>45078</v>
      </c>
      <c r="C6400" s="1" t="n">
        <v>45182</v>
      </c>
      <c r="D6400" t="inlineStr">
        <is>
          <t>JÄMTLANDS LÄN</t>
        </is>
      </c>
      <c r="E6400" t="inlineStr">
        <is>
          <t>BERG</t>
        </is>
      </c>
      <c r="G6400" t="n">
        <v>1.4</v>
      </c>
      <c r="H6400" t="n">
        <v>0</v>
      </c>
      <c r="I6400" t="n">
        <v>0</v>
      </c>
      <c r="J6400" t="n">
        <v>0</v>
      </c>
      <c r="K6400" t="n">
        <v>0</v>
      </c>
      <c r="L6400" t="n">
        <v>0</v>
      </c>
      <c r="M6400" t="n">
        <v>0</v>
      </c>
      <c r="N6400" t="n">
        <v>0</v>
      </c>
      <c r="O6400" t="n">
        <v>0</v>
      </c>
      <c r="P6400" t="n">
        <v>0</v>
      </c>
      <c r="Q6400" t="n">
        <v>0</v>
      </c>
      <c r="R6400" s="2" t="inlineStr"/>
    </row>
    <row r="6401" ht="15" customHeight="1">
      <c r="A6401" t="inlineStr">
        <is>
          <t>A 24043-2023</t>
        </is>
      </c>
      <c r="B6401" s="1" t="n">
        <v>45078</v>
      </c>
      <c r="C6401" s="1" t="n">
        <v>45182</v>
      </c>
      <c r="D6401" t="inlineStr">
        <is>
          <t>JÄMTLANDS LÄN</t>
        </is>
      </c>
      <c r="E6401" t="inlineStr">
        <is>
          <t>BRÄCKE</t>
        </is>
      </c>
      <c r="F6401" t="inlineStr">
        <is>
          <t>SCA</t>
        </is>
      </c>
      <c r="G6401" t="n">
        <v>5.3</v>
      </c>
      <c r="H6401" t="n">
        <v>0</v>
      </c>
      <c r="I6401" t="n">
        <v>0</v>
      </c>
      <c r="J6401" t="n">
        <v>0</v>
      </c>
      <c r="K6401" t="n">
        <v>0</v>
      </c>
      <c r="L6401" t="n">
        <v>0</v>
      </c>
      <c r="M6401" t="n">
        <v>0</v>
      </c>
      <c r="N6401" t="n">
        <v>0</v>
      </c>
      <c r="O6401" t="n">
        <v>0</v>
      </c>
      <c r="P6401" t="n">
        <v>0</v>
      </c>
      <c r="Q6401" t="n">
        <v>0</v>
      </c>
      <c r="R6401" s="2" t="inlineStr"/>
    </row>
    <row r="6402" ht="15" customHeight="1">
      <c r="A6402" t="inlineStr">
        <is>
          <t>A 23895-2023</t>
        </is>
      </c>
      <c r="B6402" s="1" t="n">
        <v>45078</v>
      </c>
      <c r="C6402" s="1" t="n">
        <v>45182</v>
      </c>
      <c r="D6402" t="inlineStr">
        <is>
          <t>JÄMTLANDS LÄN</t>
        </is>
      </c>
      <c r="E6402" t="inlineStr">
        <is>
          <t>HÄRJEDALEN</t>
        </is>
      </c>
      <c r="G6402" t="n">
        <v>3.2</v>
      </c>
      <c r="H6402" t="n">
        <v>0</v>
      </c>
      <c r="I6402" t="n">
        <v>0</v>
      </c>
      <c r="J6402" t="n">
        <v>0</v>
      </c>
      <c r="K6402" t="n">
        <v>0</v>
      </c>
      <c r="L6402" t="n">
        <v>0</v>
      </c>
      <c r="M6402" t="n">
        <v>0</v>
      </c>
      <c r="N6402" t="n">
        <v>0</v>
      </c>
      <c r="O6402" t="n">
        <v>0</v>
      </c>
      <c r="P6402" t="n">
        <v>0</v>
      </c>
      <c r="Q6402" t="n">
        <v>0</v>
      </c>
      <c r="R6402" s="2" t="inlineStr"/>
    </row>
    <row r="6403" ht="15" customHeight="1">
      <c r="A6403" t="inlineStr">
        <is>
          <t>A 23908-2023</t>
        </is>
      </c>
      <c r="B6403" s="1" t="n">
        <v>45078</v>
      </c>
      <c r="C6403" s="1" t="n">
        <v>45182</v>
      </c>
      <c r="D6403" t="inlineStr">
        <is>
          <t>JÄMTLANDS LÄN</t>
        </is>
      </c>
      <c r="E6403" t="inlineStr">
        <is>
          <t>HÄRJEDALEN</t>
        </is>
      </c>
      <c r="G6403" t="n">
        <v>2</v>
      </c>
      <c r="H6403" t="n">
        <v>0</v>
      </c>
      <c r="I6403" t="n">
        <v>0</v>
      </c>
      <c r="J6403" t="n">
        <v>0</v>
      </c>
      <c r="K6403" t="n">
        <v>0</v>
      </c>
      <c r="L6403" t="n">
        <v>0</v>
      </c>
      <c r="M6403" t="n">
        <v>0</v>
      </c>
      <c r="N6403" t="n">
        <v>0</v>
      </c>
      <c r="O6403" t="n">
        <v>0</v>
      </c>
      <c r="P6403" t="n">
        <v>0</v>
      </c>
      <c r="Q6403" t="n">
        <v>0</v>
      </c>
      <c r="R6403" s="2" t="inlineStr"/>
    </row>
    <row r="6404" ht="15" customHeight="1">
      <c r="A6404" t="inlineStr">
        <is>
          <t>A 24070-2023</t>
        </is>
      </c>
      <c r="B6404" s="1" t="n">
        <v>45078</v>
      </c>
      <c r="C6404" s="1" t="n">
        <v>45182</v>
      </c>
      <c r="D6404" t="inlineStr">
        <is>
          <t>JÄMTLANDS LÄN</t>
        </is>
      </c>
      <c r="E6404" t="inlineStr">
        <is>
          <t>STRÖMSUND</t>
        </is>
      </c>
      <c r="F6404" t="inlineStr">
        <is>
          <t>SCA</t>
        </is>
      </c>
      <c r="G6404" t="n">
        <v>25.2</v>
      </c>
      <c r="H6404" t="n">
        <v>0</v>
      </c>
      <c r="I6404" t="n">
        <v>0</v>
      </c>
      <c r="J6404" t="n">
        <v>0</v>
      </c>
      <c r="K6404" t="n">
        <v>0</v>
      </c>
      <c r="L6404" t="n">
        <v>0</v>
      </c>
      <c r="M6404" t="n">
        <v>0</v>
      </c>
      <c r="N6404" t="n">
        <v>0</v>
      </c>
      <c r="O6404" t="n">
        <v>0</v>
      </c>
      <c r="P6404" t="n">
        <v>0</v>
      </c>
      <c r="Q6404" t="n">
        <v>0</v>
      </c>
      <c r="R6404" s="2" t="inlineStr"/>
    </row>
    <row r="6405" ht="15" customHeight="1">
      <c r="A6405" t="inlineStr">
        <is>
          <t>A 24045-2023</t>
        </is>
      </c>
      <c r="B6405" s="1" t="n">
        <v>45078</v>
      </c>
      <c r="C6405" s="1" t="n">
        <v>45182</v>
      </c>
      <c r="D6405" t="inlineStr">
        <is>
          <t>JÄMTLANDS LÄN</t>
        </is>
      </c>
      <c r="E6405" t="inlineStr">
        <is>
          <t>BRÄCKE</t>
        </is>
      </c>
      <c r="F6405" t="inlineStr">
        <is>
          <t>SCA</t>
        </is>
      </c>
      <c r="G6405" t="n">
        <v>6</v>
      </c>
      <c r="H6405" t="n">
        <v>0</v>
      </c>
      <c r="I6405" t="n">
        <v>0</v>
      </c>
      <c r="J6405" t="n">
        <v>0</v>
      </c>
      <c r="K6405" t="n">
        <v>0</v>
      </c>
      <c r="L6405" t="n">
        <v>0</v>
      </c>
      <c r="M6405" t="n">
        <v>0</v>
      </c>
      <c r="N6405" t="n">
        <v>0</v>
      </c>
      <c r="O6405" t="n">
        <v>0</v>
      </c>
      <c r="P6405" t="n">
        <v>0</v>
      </c>
      <c r="Q6405" t="n">
        <v>0</v>
      </c>
      <c r="R6405" s="2" t="inlineStr"/>
    </row>
    <row r="6406" ht="15" customHeight="1">
      <c r="A6406" t="inlineStr">
        <is>
          <t>A 24861-2023</t>
        </is>
      </c>
      <c r="B6406" s="1" t="n">
        <v>45078</v>
      </c>
      <c r="C6406" s="1" t="n">
        <v>45182</v>
      </c>
      <c r="D6406" t="inlineStr">
        <is>
          <t>JÄMTLANDS LÄN</t>
        </is>
      </c>
      <c r="E6406" t="inlineStr">
        <is>
          <t>RAGUNDA</t>
        </is>
      </c>
      <c r="G6406" t="n">
        <v>1.3</v>
      </c>
      <c r="H6406" t="n">
        <v>0</v>
      </c>
      <c r="I6406" t="n">
        <v>0</v>
      </c>
      <c r="J6406" t="n">
        <v>0</v>
      </c>
      <c r="K6406" t="n">
        <v>0</v>
      </c>
      <c r="L6406" t="n">
        <v>0</v>
      </c>
      <c r="M6406" t="n">
        <v>0</v>
      </c>
      <c r="N6406" t="n">
        <v>0</v>
      </c>
      <c r="O6406" t="n">
        <v>0</v>
      </c>
      <c r="P6406" t="n">
        <v>0</v>
      </c>
      <c r="Q6406" t="n">
        <v>0</v>
      </c>
      <c r="R6406" s="2" t="inlineStr"/>
    </row>
    <row r="6407" ht="15" customHeight="1">
      <c r="A6407" t="inlineStr">
        <is>
          <t>A 25086-2023</t>
        </is>
      </c>
      <c r="B6407" s="1" t="n">
        <v>45078</v>
      </c>
      <c r="C6407" s="1" t="n">
        <v>45182</v>
      </c>
      <c r="D6407" t="inlineStr">
        <is>
          <t>JÄMTLANDS LÄN</t>
        </is>
      </c>
      <c r="E6407" t="inlineStr">
        <is>
          <t>RAGUNDA</t>
        </is>
      </c>
      <c r="G6407" t="n">
        <v>16.7</v>
      </c>
      <c r="H6407" t="n">
        <v>0</v>
      </c>
      <c r="I6407" t="n">
        <v>0</v>
      </c>
      <c r="J6407" t="n">
        <v>0</v>
      </c>
      <c r="K6407" t="n">
        <v>0</v>
      </c>
      <c r="L6407" t="n">
        <v>0</v>
      </c>
      <c r="M6407" t="n">
        <v>0</v>
      </c>
      <c r="N6407" t="n">
        <v>0</v>
      </c>
      <c r="O6407" t="n">
        <v>0</v>
      </c>
      <c r="P6407" t="n">
        <v>0</v>
      </c>
      <c r="Q6407" t="n">
        <v>0</v>
      </c>
      <c r="R6407" s="2" t="inlineStr"/>
    </row>
    <row r="6408" ht="15" customHeight="1">
      <c r="A6408" t="inlineStr">
        <is>
          <t>A 25416-2023</t>
        </is>
      </c>
      <c r="B6408" s="1" t="n">
        <v>45078</v>
      </c>
      <c r="C6408" s="1" t="n">
        <v>45182</v>
      </c>
      <c r="D6408" t="inlineStr">
        <is>
          <t>JÄMTLANDS LÄN</t>
        </is>
      </c>
      <c r="E6408" t="inlineStr">
        <is>
          <t>RAGUNDA</t>
        </is>
      </c>
      <c r="G6408" t="n">
        <v>1</v>
      </c>
      <c r="H6408" t="n">
        <v>0</v>
      </c>
      <c r="I6408" t="n">
        <v>0</v>
      </c>
      <c r="J6408" t="n">
        <v>0</v>
      </c>
      <c r="K6408" t="n">
        <v>0</v>
      </c>
      <c r="L6408" t="n">
        <v>0</v>
      </c>
      <c r="M6408" t="n">
        <v>0</v>
      </c>
      <c r="N6408" t="n">
        <v>0</v>
      </c>
      <c r="O6408" t="n">
        <v>0</v>
      </c>
      <c r="P6408" t="n">
        <v>0</v>
      </c>
      <c r="Q6408" t="n">
        <v>0</v>
      </c>
      <c r="R6408" s="2" t="inlineStr"/>
    </row>
    <row r="6409" ht="15" customHeight="1">
      <c r="A6409" t="inlineStr">
        <is>
          <t>A 24300-2023</t>
        </is>
      </c>
      <c r="B6409" s="1" t="n">
        <v>45079</v>
      </c>
      <c r="C6409" s="1" t="n">
        <v>45182</v>
      </c>
      <c r="D6409" t="inlineStr">
        <is>
          <t>JÄMTLANDS LÄN</t>
        </is>
      </c>
      <c r="E6409" t="inlineStr">
        <is>
          <t>RAGUNDA</t>
        </is>
      </c>
      <c r="F6409" t="inlineStr">
        <is>
          <t>SCA</t>
        </is>
      </c>
      <c r="G6409" t="n">
        <v>13.3</v>
      </c>
      <c r="H6409" t="n">
        <v>0</v>
      </c>
      <c r="I6409" t="n">
        <v>0</v>
      </c>
      <c r="J6409" t="n">
        <v>0</v>
      </c>
      <c r="K6409" t="n">
        <v>0</v>
      </c>
      <c r="L6409" t="n">
        <v>0</v>
      </c>
      <c r="M6409" t="n">
        <v>0</v>
      </c>
      <c r="N6409" t="n">
        <v>0</v>
      </c>
      <c r="O6409" t="n">
        <v>0</v>
      </c>
      <c r="P6409" t="n">
        <v>0</v>
      </c>
      <c r="Q6409" t="n">
        <v>0</v>
      </c>
      <c r="R6409" s="2" t="inlineStr"/>
    </row>
    <row r="6410" ht="15" customHeight="1">
      <c r="A6410" t="inlineStr">
        <is>
          <t>A 24310-2023</t>
        </is>
      </c>
      <c r="B6410" s="1" t="n">
        <v>45079</v>
      </c>
      <c r="C6410" s="1" t="n">
        <v>45182</v>
      </c>
      <c r="D6410" t="inlineStr">
        <is>
          <t>JÄMTLANDS LÄN</t>
        </is>
      </c>
      <c r="E6410" t="inlineStr">
        <is>
          <t>BERG</t>
        </is>
      </c>
      <c r="F6410" t="inlineStr">
        <is>
          <t>SCA</t>
        </is>
      </c>
      <c r="G6410" t="n">
        <v>4.7</v>
      </c>
      <c r="H6410" t="n">
        <v>0</v>
      </c>
      <c r="I6410" t="n">
        <v>0</v>
      </c>
      <c r="J6410" t="n">
        <v>0</v>
      </c>
      <c r="K6410" t="n">
        <v>0</v>
      </c>
      <c r="L6410" t="n">
        <v>0</v>
      </c>
      <c r="M6410" t="n">
        <v>0</v>
      </c>
      <c r="N6410" t="n">
        <v>0</v>
      </c>
      <c r="O6410" t="n">
        <v>0</v>
      </c>
      <c r="P6410" t="n">
        <v>0</v>
      </c>
      <c r="Q6410" t="n">
        <v>0</v>
      </c>
      <c r="R6410" s="2" t="inlineStr"/>
    </row>
    <row r="6411" ht="15" customHeight="1">
      <c r="A6411" t="inlineStr">
        <is>
          <t>A 24182-2023</t>
        </is>
      </c>
      <c r="B6411" s="1" t="n">
        <v>45079</v>
      </c>
      <c r="C6411" s="1" t="n">
        <v>45182</v>
      </c>
      <c r="D6411" t="inlineStr">
        <is>
          <t>JÄMTLANDS LÄN</t>
        </is>
      </c>
      <c r="E6411" t="inlineStr">
        <is>
          <t>BRÄCKE</t>
        </is>
      </c>
      <c r="G6411" t="n">
        <v>2.8</v>
      </c>
      <c r="H6411" t="n">
        <v>0</v>
      </c>
      <c r="I6411" t="n">
        <v>0</v>
      </c>
      <c r="J6411" t="n">
        <v>0</v>
      </c>
      <c r="K6411" t="n">
        <v>0</v>
      </c>
      <c r="L6411" t="n">
        <v>0</v>
      </c>
      <c r="M6411" t="n">
        <v>0</v>
      </c>
      <c r="N6411" t="n">
        <v>0</v>
      </c>
      <c r="O6411" t="n">
        <v>0</v>
      </c>
      <c r="P6411" t="n">
        <v>0</v>
      </c>
      <c r="Q6411" t="n">
        <v>0</v>
      </c>
      <c r="R6411" s="2" t="inlineStr"/>
    </row>
    <row r="6412" ht="15" customHeight="1">
      <c r="A6412" t="inlineStr">
        <is>
          <t>A 24206-2023</t>
        </is>
      </c>
      <c r="B6412" s="1" t="n">
        <v>45079</v>
      </c>
      <c r="C6412" s="1" t="n">
        <v>45182</v>
      </c>
      <c r="D6412" t="inlineStr">
        <is>
          <t>JÄMTLANDS LÄN</t>
        </is>
      </c>
      <c r="E6412" t="inlineStr">
        <is>
          <t>BRÄCKE</t>
        </is>
      </c>
      <c r="G6412" t="n">
        <v>0.7</v>
      </c>
      <c r="H6412" t="n">
        <v>0</v>
      </c>
      <c r="I6412" t="n">
        <v>0</v>
      </c>
      <c r="J6412" t="n">
        <v>0</v>
      </c>
      <c r="K6412" t="n">
        <v>0</v>
      </c>
      <c r="L6412" t="n">
        <v>0</v>
      </c>
      <c r="M6412" t="n">
        <v>0</v>
      </c>
      <c r="N6412" t="n">
        <v>0</v>
      </c>
      <c r="O6412" t="n">
        <v>0</v>
      </c>
      <c r="P6412" t="n">
        <v>0</v>
      </c>
      <c r="Q6412" t="n">
        <v>0</v>
      </c>
      <c r="R6412" s="2" t="inlineStr"/>
    </row>
    <row r="6413" ht="15" customHeight="1">
      <c r="A6413" t="inlineStr">
        <is>
          <t>A 24220-2023</t>
        </is>
      </c>
      <c r="B6413" s="1" t="n">
        <v>45079</v>
      </c>
      <c r="C6413" s="1" t="n">
        <v>45182</v>
      </c>
      <c r="D6413" t="inlineStr">
        <is>
          <t>JÄMTLANDS LÄN</t>
        </is>
      </c>
      <c r="E6413" t="inlineStr">
        <is>
          <t>HÄRJEDALEN</t>
        </is>
      </c>
      <c r="F6413" t="inlineStr">
        <is>
          <t>Bergvik skog väst AB</t>
        </is>
      </c>
      <c r="G6413" t="n">
        <v>6.5</v>
      </c>
      <c r="H6413" t="n">
        <v>0</v>
      </c>
      <c r="I6413" t="n">
        <v>0</v>
      </c>
      <c r="J6413" t="n">
        <v>0</v>
      </c>
      <c r="K6413" t="n">
        <v>0</v>
      </c>
      <c r="L6413" t="n">
        <v>0</v>
      </c>
      <c r="M6413" t="n">
        <v>0</v>
      </c>
      <c r="N6413" t="n">
        <v>0</v>
      </c>
      <c r="O6413" t="n">
        <v>0</v>
      </c>
      <c r="P6413" t="n">
        <v>0</v>
      </c>
      <c r="Q6413" t="n">
        <v>0</v>
      </c>
      <c r="R6413" s="2" t="inlineStr"/>
    </row>
    <row r="6414" ht="15" customHeight="1">
      <c r="A6414" t="inlineStr">
        <is>
          <t>A 24303-2023</t>
        </is>
      </c>
      <c r="B6414" s="1" t="n">
        <v>45079</v>
      </c>
      <c r="C6414" s="1" t="n">
        <v>45182</v>
      </c>
      <c r="D6414" t="inlineStr">
        <is>
          <t>JÄMTLANDS LÄN</t>
        </is>
      </c>
      <c r="E6414" t="inlineStr">
        <is>
          <t>STRÖMSUND</t>
        </is>
      </c>
      <c r="F6414" t="inlineStr">
        <is>
          <t>SCA</t>
        </is>
      </c>
      <c r="G6414" t="n">
        <v>2.6</v>
      </c>
      <c r="H6414" t="n">
        <v>0</v>
      </c>
      <c r="I6414" t="n">
        <v>0</v>
      </c>
      <c r="J6414" t="n">
        <v>0</v>
      </c>
      <c r="K6414" t="n">
        <v>0</v>
      </c>
      <c r="L6414" t="n">
        <v>0</v>
      </c>
      <c r="M6414" t="n">
        <v>0</v>
      </c>
      <c r="N6414" t="n">
        <v>0</v>
      </c>
      <c r="O6414" t="n">
        <v>0</v>
      </c>
      <c r="P6414" t="n">
        <v>0</v>
      </c>
      <c r="Q6414" t="n">
        <v>0</v>
      </c>
      <c r="R6414" s="2" t="inlineStr"/>
    </row>
    <row r="6415" ht="15" customHeight="1">
      <c r="A6415" t="inlineStr">
        <is>
          <t>A 24316-2023</t>
        </is>
      </c>
      <c r="B6415" s="1" t="n">
        <v>45079</v>
      </c>
      <c r="C6415" s="1" t="n">
        <v>45182</v>
      </c>
      <c r="D6415" t="inlineStr">
        <is>
          <t>JÄMTLANDS LÄN</t>
        </is>
      </c>
      <c r="E6415" t="inlineStr">
        <is>
          <t>STRÖMSUND</t>
        </is>
      </c>
      <c r="F6415" t="inlineStr">
        <is>
          <t>SCA</t>
        </is>
      </c>
      <c r="G6415" t="n">
        <v>5.1</v>
      </c>
      <c r="H6415" t="n">
        <v>0</v>
      </c>
      <c r="I6415" t="n">
        <v>0</v>
      </c>
      <c r="J6415" t="n">
        <v>0</v>
      </c>
      <c r="K6415" t="n">
        <v>0</v>
      </c>
      <c r="L6415" t="n">
        <v>0</v>
      </c>
      <c r="M6415" t="n">
        <v>0</v>
      </c>
      <c r="N6415" t="n">
        <v>0</v>
      </c>
      <c r="O6415" t="n">
        <v>0</v>
      </c>
      <c r="P6415" t="n">
        <v>0</v>
      </c>
      <c r="Q6415" t="n">
        <v>0</v>
      </c>
      <c r="R6415" s="2" t="inlineStr"/>
    </row>
    <row r="6416" ht="15" customHeight="1">
      <c r="A6416" t="inlineStr">
        <is>
          <t>A 24195-2023</t>
        </is>
      </c>
      <c r="B6416" s="1" t="n">
        <v>45079</v>
      </c>
      <c r="C6416" s="1" t="n">
        <v>45182</v>
      </c>
      <c r="D6416" t="inlineStr">
        <is>
          <t>JÄMTLANDS LÄN</t>
        </is>
      </c>
      <c r="E6416" t="inlineStr">
        <is>
          <t>BRÄCKE</t>
        </is>
      </c>
      <c r="G6416" t="n">
        <v>1.5</v>
      </c>
      <c r="H6416" t="n">
        <v>0</v>
      </c>
      <c r="I6416" t="n">
        <v>0</v>
      </c>
      <c r="J6416" t="n">
        <v>0</v>
      </c>
      <c r="K6416" t="n">
        <v>0</v>
      </c>
      <c r="L6416" t="n">
        <v>0</v>
      </c>
      <c r="M6416" t="n">
        <v>0</v>
      </c>
      <c r="N6416" t="n">
        <v>0</v>
      </c>
      <c r="O6416" t="n">
        <v>0</v>
      </c>
      <c r="P6416" t="n">
        <v>0</v>
      </c>
      <c r="Q6416" t="n">
        <v>0</v>
      </c>
      <c r="R6416" s="2" t="inlineStr"/>
    </row>
    <row r="6417" ht="15" customHeight="1">
      <c r="A6417" t="inlineStr">
        <is>
          <t>A 24315-2023</t>
        </is>
      </c>
      <c r="B6417" s="1" t="n">
        <v>45079</v>
      </c>
      <c r="C6417" s="1" t="n">
        <v>45182</v>
      </c>
      <c r="D6417" t="inlineStr">
        <is>
          <t>JÄMTLANDS LÄN</t>
        </is>
      </c>
      <c r="E6417" t="inlineStr">
        <is>
          <t>STRÖMSUND</t>
        </is>
      </c>
      <c r="F6417" t="inlineStr">
        <is>
          <t>SCA</t>
        </is>
      </c>
      <c r="G6417" t="n">
        <v>7.5</v>
      </c>
      <c r="H6417" t="n">
        <v>0</v>
      </c>
      <c r="I6417" t="n">
        <v>0</v>
      </c>
      <c r="J6417" t="n">
        <v>0</v>
      </c>
      <c r="K6417" t="n">
        <v>0</v>
      </c>
      <c r="L6417" t="n">
        <v>0</v>
      </c>
      <c r="M6417" t="n">
        <v>0</v>
      </c>
      <c r="N6417" t="n">
        <v>0</v>
      </c>
      <c r="O6417" t="n">
        <v>0</v>
      </c>
      <c r="P6417" t="n">
        <v>0</v>
      </c>
      <c r="Q6417" t="n">
        <v>0</v>
      </c>
      <c r="R6417" s="2" t="inlineStr"/>
    </row>
    <row r="6418" ht="15" customHeight="1">
      <c r="A6418" t="inlineStr">
        <is>
          <t>A 24397-2023</t>
        </is>
      </c>
      <c r="B6418" s="1" t="n">
        <v>45082</v>
      </c>
      <c r="C6418" s="1" t="n">
        <v>45182</v>
      </c>
      <c r="D6418" t="inlineStr">
        <is>
          <t>JÄMTLANDS LÄN</t>
        </is>
      </c>
      <c r="E6418" t="inlineStr">
        <is>
          <t>STRÖMSUND</t>
        </is>
      </c>
      <c r="G6418" t="n">
        <v>4.4</v>
      </c>
      <c r="H6418" t="n">
        <v>0</v>
      </c>
      <c r="I6418" t="n">
        <v>0</v>
      </c>
      <c r="J6418" t="n">
        <v>0</v>
      </c>
      <c r="K6418" t="n">
        <v>0</v>
      </c>
      <c r="L6418" t="n">
        <v>0</v>
      </c>
      <c r="M6418" t="n">
        <v>0</v>
      </c>
      <c r="N6418" t="n">
        <v>0</v>
      </c>
      <c r="O6418" t="n">
        <v>0</v>
      </c>
      <c r="P6418" t="n">
        <v>0</v>
      </c>
      <c r="Q6418" t="n">
        <v>0</v>
      </c>
      <c r="R6418" s="2" t="inlineStr"/>
    </row>
    <row r="6419" ht="15" customHeight="1">
      <c r="A6419" t="inlineStr">
        <is>
          <t>A 25507-2023</t>
        </is>
      </c>
      <c r="B6419" s="1" t="n">
        <v>45082</v>
      </c>
      <c r="C6419" s="1" t="n">
        <v>45182</v>
      </c>
      <c r="D6419" t="inlineStr">
        <is>
          <t>JÄMTLANDS LÄN</t>
        </is>
      </c>
      <c r="E6419" t="inlineStr">
        <is>
          <t>BERG</t>
        </is>
      </c>
      <c r="G6419" t="n">
        <v>7</v>
      </c>
      <c r="H6419" t="n">
        <v>0</v>
      </c>
      <c r="I6419" t="n">
        <v>0</v>
      </c>
      <c r="J6419" t="n">
        <v>0</v>
      </c>
      <c r="K6419" t="n">
        <v>0</v>
      </c>
      <c r="L6419" t="n">
        <v>0</v>
      </c>
      <c r="M6419" t="n">
        <v>0</v>
      </c>
      <c r="N6419" t="n">
        <v>0</v>
      </c>
      <c r="O6419" t="n">
        <v>0</v>
      </c>
      <c r="P6419" t="n">
        <v>0</v>
      </c>
      <c r="Q6419" t="n">
        <v>0</v>
      </c>
      <c r="R6419" s="2" t="inlineStr"/>
    </row>
    <row r="6420" ht="15" customHeight="1">
      <c r="A6420" t="inlineStr">
        <is>
          <t>A 24387-2023</t>
        </is>
      </c>
      <c r="B6420" s="1" t="n">
        <v>45082</v>
      </c>
      <c r="C6420" s="1" t="n">
        <v>45182</v>
      </c>
      <c r="D6420" t="inlineStr">
        <is>
          <t>JÄMTLANDS LÄN</t>
        </is>
      </c>
      <c r="E6420" t="inlineStr">
        <is>
          <t>KROKOM</t>
        </is>
      </c>
      <c r="F6420" t="inlineStr">
        <is>
          <t>Kyrkan</t>
        </is>
      </c>
      <c r="G6420" t="n">
        <v>21.2</v>
      </c>
      <c r="H6420" t="n">
        <v>0</v>
      </c>
      <c r="I6420" t="n">
        <v>0</v>
      </c>
      <c r="J6420" t="n">
        <v>0</v>
      </c>
      <c r="K6420" t="n">
        <v>0</v>
      </c>
      <c r="L6420" t="n">
        <v>0</v>
      </c>
      <c r="M6420" t="n">
        <v>0</v>
      </c>
      <c r="N6420" t="n">
        <v>0</v>
      </c>
      <c r="O6420" t="n">
        <v>0</v>
      </c>
      <c r="P6420" t="n">
        <v>0</v>
      </c>
      <c r="Q6420" t="n">
        <v>0</v>
      </c>
      <c r="R6420" s="2" t="inlineStr"/>
    </row>
    <row r="6421" ht="15" customHeight="1">
      <c r="A6421" t="inlineStr">
        <is>
          <t>A 24542-2023</t>
        </is>
      </c>
      <c r="B6421" s="1" t="n">
        <v>45082</v>
      </c>
      <c r="C6421" s="1" t="n">
        <v>45182</v>
      </c>
      <c r="D6421" t="inlineStr">
        <is>
          <t>JÄMTLANDS LÄN</t>
        </is>
      </c>
      <c r="E6421" t="inlineStr">
        <is>
          <t>BERG</t>
        </is>
      </c>
      <c r="F6421" t="inlineStr">
        <is>
          <t>SCA</t>
        </is>
      </c>
      <c r="G6421" t="n">
        <v>12.1</v>
      </c>
      <c r="H6421" t="n">
        <v>0</v>
      </c>
      <c r="I6421" t="n">
        <v>0</v>
      </c>
      <c r="J6421" t="n">
        <v>0</v>
      </c>
      <c r="K6421" t="n">
        <v>0</v>
      </c>
      <c r="L6421" t="n">
        <v>0</v>
      </c>
      <c r="M6421" t="n">
        <v>0</v>
      </c>
      <c r="N6421" t="n">
        <v>0</v>
      </c>
      <c r="O6421" t="n">
        <v>0</v>
      </c>
      <c r="P6421" t="n">
        <v>0</v>
      </c>
      <c r="Q6421" t="n">
        <v>0</v>
      </c>
      <c r="R6421" s="2" t="inlineStr"/>
    </row>
    <row r="6422" ht="15" customHeight="1">
      <c r="A6422" t="inlineStr">
        <is>
          <t>A 24550-2023</t>
        </is>
      </c>
      <c r="B6422" s="1" t="n">
        <v>45082</v>
      </c>
      <c r="C6422" s="1" t="n">
        <v>45182</v>
      </c>
      <c r="D6422" t="inlineStr">
        <is>
          <t>JÄMTLANDS LÄN</t>
        </is>
      </c>
      <c r="E6422" t="inlineStr">
        <is>
          <t>BRÄCKE</t>
        </is>
      </c>
      <c r="F6422" t="inlineStr">
        <is>
          <t>SCA</t>
        </is>
      </c>
      <c r="G6422" t="n">
        <v>1.4</v>
      </c>
      <c r="H6422" t="n">
        <v>0</v>
      </c>
      <c r="I6422" t="n">
        <v>0</v>
      </c>
      <c r="J6422" t="n">
        <v>0</v>
      </c>
      <c r="K6422" t="n">
        <v>0</v>
      </c>
      <c r="L6422" t="n">
        <v>0</v>
      </c>
      <c r="M6422" t="n">
        <v>0</v>
      </c>
      <c r="N6422" t="n">
        <v>0</v>
      </c>
      <c r="O6422" t="n">
        <v>0</v>
      </c>
      <c r="P6422" t="n">
        <v>0</v>
      </c>
      <c r="Q6422" t="n">
        <v>0</v>
      </c>
      <c r="R6422" s="2" t="inlineStr"/>
    </row>
    <row r="6423" ht="15" customHeight="1">
      <c r="A6423" t="inlineStr">
        <is>
          <t>A 25526-2023</t>
        </is>
      </c>
      <c r="B6423" s="1" t="n">
        <v>45082</v>
      </c>
      <c r="C6423" s="1" t="n">
        <v>45182</v>
      </c>
      <c r="D6423" t="inlineStr">
        <is>
          <t>JÄMTLANDS LÄN</t>
        </is>
      </c>
      <c r="E6423" t="inlineStr">
        <is>
          <t>HÄRJEDALEN</t>
        </is>
      </c>
      <c r="F6423" t="inlineStr">
        <is>
          <t>Bergvik skog väst AB</t>
        </is>
      </c>
      <c r="G6423" t="n">
        <v>4.9</v>
      </c>
      <c r="H6423" t="n">
        <v>0</v>
      </c>
      <c r="I6423" t="n">
        <v>0</v>
      </c>
      <c r="J6423" t="n">
        <v>0</v>
      </c>
      <c r="K6423" t="n">
        <v>0</v>
      </c>
      <c r="L6423" t="n">
        <v>0</v>
      </c>
      <c r="M6423" t="n">
        <v>0</v>
      </c>
      <c r="N6423" t="n">
        <v>0</v>
      </c>
      <c r="O6423" t="n">
        <v>0</v>
      </c>
      <c r="P6423" t="n">
        <v>0</v>
      </c>
      <c r="Q6423" t="n">
        <v>0</v>
      </c>
      <c r="R6423" s="2" t="inlineStr"/>
    </row>
    <row r="6424" ht="15" customHeight="1">
      <c r="A6424" t="inlineStr">
        <is>
          <t>A 25582-2023</t>
        </is>
      </c>
      <c r="B6424" s="1" t="n">
        <v>45082</v>
      </c>
      <c r="C6424" s="1" t="n">
        <v>45182</v>
      </c>
      <c r="D6424" t="inlineStr">
        <is>
          <t>JÄMTLANDS LÄN</t>
        </is>
      </c>
      <c r="E6424" t="inlineStr">
        <is>
          <t>HÄRJEDALEN</t>
        </is>
      </c>
      <c r="F6424" t="inlineStr">
        <is>
          <t>Bergvik skog väst AB</t>
        </is>
      </c>
      <c r="G6424" t="n">
        <v>1</v>
      </c>
      <c r="H6424" t="n">
        <v>0</v>
      </c>
      <c r="I6424" t="n">
        <v>0</v>
      </c>
      <c r="J6424" t="n">
        <v>0</v>
      </c>
      <c r="K6424" t="n">
        <v>0</v>
      </c>
      <c r="L6424" t="n">
        <v>0</v>
      </c>
      <c r="M6424" t="n">
        <v>0</v>
      </c>
      <c r="N6424" t="n">
        <v>0</v>
      </c>
      <c r="O6424" t="n">
        <v>0</v>
      </c>
      <c r="P6424" t="n">
        <v>0</v>
      </c>
      <c r="Q6424" t="n">
        <v>0</v>
      </c>
      <c r="R6424" s="2" t="inlineStr"/>
    </row>
    <row r="6425" ht="15" customHeight="1">
      <c r="A6425" t="inlineStr">
        <is>
          <t>A 24396-2023</t>
        </is>
      </c>
      <c r="B6425" s="1" t="n">
        <v>45082</v>
      </c>
      <c r="C6425" s="1" t="n">
        <v>45182</v>
      </c>
      <c r="D6425" t="inlineStr">
        <is>
          <t>JÄMTLANDS LÄN</t>
        </is>
      </c>
      <c r="E6425" t="inlineStr">
        <is>
          <t>ÖSTERSUND</t>
        </is>
      </c>
      <c r="F6425" t="inlineStr">
        <is>
          <t>Kyrkan</t>
        </is>
      </c>
      <c r="G6425" t="n">
        <v>9.300000000000001</v>
      </c>
      <c r="H6425" t="n">
        <v>0</v>
      </c>
      <c r="I6425" t="n">
        <v>0</v>
      </c>
      <c r="J6425" t="n">
        <v>0</v>
      </c>
      <c r="K6425" t="n">
        <v>0</v>
      </c>
      <c r="L6425" t="n">
        <v>0</v>
      </c>
      <c r="M6425" t="n">
        <v>0</v>
      </c>
      <c r="N6425" t="n">
        <v>0</v>
      </c>
      <c r="O6425" t="n">
        <v>0</v>
      </c>
      <c r="P6425" t="n">
        <v>0</v>
      </c>
      <c r="Q6425" t="n">
        <v>0</v>
      </c>
      <c r="R6425" s="2" t="inlineStr"/>
    </row>
    <row r="6426" ht="15" customHeight="1">
      <c r="A6426" t="inlineStr">
        <is>
          <t>A 25536-2023</t>
        </is>
      </c>
      <c r="B6426" s="1" t="n">
        <v>45082</v>
      </c>
      <c r="C6426" s="1" t="n">
        <v>45182</v>
      </c>
      <c r="D6426" t="inlineStr">
        <is>
          <t>JÄMTLANDS LÄN</t>
        </is>
      </c>
      <c r="E6426" t="inlineStr">
        <is>
          <t>HÄRJEDALEN</t>
        </is>
      </c>
      <c r="F6426" t="inlineStr">
        <is>
          <t>Bergvik skog väst AB</t>
        </is>
      </c>
      <c r="G6426" t="n">
        <v>6.9</v>
      </c>
      <c r="H6426" t="n">
        <v>0</v>
      </c>
      <c r="I6426" t="n">
        <v>0</v>
      </c>
      <c r="J6426" t="n">
        <v>0</v>
      </c>
      <c r="K6426" t="n">
        <v>0</v>
      </c>
      <c r="L6426" t="n">
        <v>0</v>
      </c>
      <c r="M6426" t="n">
        <v>0</v>
      </c>
      <c r="N6426" t="n">
        <v>0</v>
      </c>
      <c r="O6426" t="n">
        <v>0</v>
      </c>
      <c r="P6426" t="n">
        <v>0</v>
      </c>
      <c r="Q6426" t="n">
        <v>0</v>
      </c>
      <c r="R6426" s="2" t="inlineStr"/>
    </row>
    <row r="6427" ht="15" customHeight="1">
      <c r="A6427" t="inlineStr">
        <is>
          <t>A 25552-2023</t>
        </is>
      </c>
      <c r="B6427" s="1" t="n">
        <v>45082</v>
      </c>
      <c r="C6427" s="1" t="n">
        <v>45182</v>
      </c>
      <c r="D6427" t="inlineStr">
        <is>
          <t>JÄMTLANDS LÄN</t>
        </is>
      </c>
      <c r="E6427" t="inlineStr">
        <is>
          <t>BERG</t>
        </is>
      </c>
      <c r="G6427" t="n">
        <v>1</v>
      </c>
      <c r="H6427" t="n">
        <v>0</v>
      </c>
      <c r="I6427" t="n">
        <v>0</v>
      </c>
      <c r="J6427" t="n">
        <v>0</v>
      </c>
      <c r="K6427" t="n">
        <v>0</v>
      </c>
      <c r="L6427" t="n">
        <v>0</v>
      </c>
      <c r="M6427" t="n">
        <v>0</v>
      </c>
      <c r="N6427" t="n">
        <v>0</v>
      </c>
      <c r="O6427" t="n">
        <v>0</v>
      </c>
      <c r="P6427" t="n">
        <v>0</v>
      </c>
      <c r="Q6427" t="n">
        <v>0</v>
      </c>
      <c r="R6427" s="2" t="inlineStr"/>
    </row>
    <row r="6428" ht="15" customHeight="1">
      <c r="A6428" t="inlineStr">
        <is>
          <t>A 25565-2023</t>
        </is>
      </c>
      <c r="B6428" s="1" t="n">
        <v>45082</v>
      </c>
      <c r="C6428" s="1" t="n">
        <v>45182</v>
      </c>
      <c r="D6428" t="inlineStr">
        <is>
          <t>JÄMTLANDS LÄN</t>
        </is>
      </c>
      <c r="E6428" t="inlineStr">
        <is>
          <t>BERG</t>
        </is>
      </c>
      <c r="G6428" t="n">
        <v>3.1</v>
      </c>
      <c r="H6428" t="n">
        <v>0</v>
      </c>
      <c r="I6428" t="n">
        <v>0</v>
      </c>
      <c r="J6428" t="n">
        <v>0</v>
      </c>
      <c r="K6428" t="n">
        <v>0</v>
      </c>
      <c r="L6428" t="n">
        <v>0</v>
      </c>
      <c r="M6428" t="n">
        <v>0</v>
      </c>
      <c r="N6428" t="n">
        <v>0</v>
      </c>
      <c r="O6428" t="n">
        <v>0</v>
      </c>
      <c r="P6428" t="n">
        <v>0</v>
      </c>
      <c r="Q6428" t="n">
        <v>0</v>
      </c>
      <c r="R6428" s="2" t="inlineStr"/>
    </row>
    <row r="6429" ht="15" customHeight="1">
      <c r="A6429" t="inlineStr">
        <is>
          <t>A 24602-2023</t>
        </is>
      </c>
      <c r="B6429" s="1" t="n">
        <v>45083</v>
      </c>
      <c r="C6429" s="1" t="n">
        <v>45182</v>
      </c>
      <c r="D6429" t="inlineStr">
        <is>
          <t>JÄMTLANDS LÄN</t>
        </is>
      </c>
      <c r="E6429" t="inlineStr">
        <is>
          <t>STRÖMSUND</t>
        </is>
      </c>
      <c r="F6429" t="inlineStr">
        <is>
          <t>SCA</t>
        </is>
      </c>
      <c r="G6429" t="n">
        <v>3.2</v>
      </c>
      <c r="H6429" t="n">
        <v>0</v>
      </c>
      <c r="I6429" t="n">
        <v>0</v>
      </c>
      <c r="J6429" t="n">
        <v>0</v>
      </c>
      <c r="K6429" t="n">
        <v>0</v>
      </c>
      <c r="L6429" t="n">
        <v>0</v>
      </c>
      <c r="M6429" t="n">
        <v>0</v>
      </c>
      <c r="N6429" t="n">
        <v>0</v>
      </c>
      <c r="O6429" t="n">
        <v>0</v>
      </c>
      <c r="P6429" t="n">
        <v>0</v>
      </c>
      <c r="Q6429" t="n">
        <v>0</v>
      </c>
      <c r="R6429" s="2" t="inlineStr"/>
    </row>
    <row r="6430" ht="15" customHeight="1">
      <c r="A6430" t="inlineStr">
        <is>
          <t>A 24820-2023</t>
        </is>
      </c>
      <c r="B6430" s="1" t="n">
        <v>45084</v>
      </c>
      <c r="C6430" s="1" t="n">
        <v>45182</v>
      </c>
      <c r="D6430" t="inlineStr">
        <is>
          <t>JÄMTLANDS LÄN</t>
        </is>
      </c>
      <c r="E6430" t="inlineStr">
        <is>
          <t>RAGUNDA</t>
        </is>
      </c>
      <c r="G6430" t="n">
        <v>1.5</v>
      </c>
      <c r="H6430" t="n">
        <v>0</v>
      </c>
      <c r="I6430" t="n">
        <v>0</v>
      </c>
      <c r="J6430" t="n">
        <v>0</v>
      </c>
      <c r="K6430" t="n">
        <v>0</v>
      </c>
      <c r="L6430" t="n">
        <v>0</v>
      </c>
      <c r="M6430" t="n">
        <v>0</v>
      </c>
      <c r="N6430" t="n">
        <v>0</v>
      </c>
      <c r="O6430" t="n">
        <v>0</v>
      </c>
      <c r="P6430" t="n">
        <v>0</v>
      </c>
      <c r="Q6430" t="n">
        <v>0</v>
      </c>
      <c r="R6430" s="2" t="inlineStr"/>
    </row>
    <row r="6431" ht="15" customHeight="1">
      <c r="A6431" t="inlineStr">
        <is>
          <t>A 24833-2023</t>
        </is>
      </c>
      <c r="B6431" s="1" t="n">
        <v>45084</v>
      </c>
      <c r="C6431" s="1" t="n">
        <v>45182</v>
      </c>
      <c r="D6431" t="inlineStr">
        <is>
          <t>JÄMTLANDS LÄN</t>
        </is>
      </c>
      <c r="E6431" t="inlineStr">
        <is>
          <t>STRÖMSUND</t>
        </is>
      </c>
      <c r="F6431" t="inlineStr">
        <is>
          <t>SCA</t>
        </is>
      </c>
      <c r="G6431" t="n">
        <v>5.8</v>
      </c>
      <c r="H6431" t="n">
        <v>0</v>
      </c>
      <c r="I6431" t="n">
        <v>0</v>
      </c>
      <c r="J6431" t="n">
        <v>0</v>
      </c>
      <c r="K6431" t="n">
        <v>0</v>
      </c>
      <c r="L6431" t="n">
        <v>0</v>
      </c>
      <c r="M6431" t="n">
        <v>0</v>
      </c>
      <c r="N6431" t="n">
        <v>0</v>
      </c>
      <c r="O6431" t="n">
        <v>0</v>
      </c>
      <c r="P6431" t="n">
        <v>0</v>
      </c>
      <c r="Q6431" t="n">
        <v>0</v>
      </c>
      <c r="R6431" s="2" t="inlineStr"/>
    </row>
    <row r="6432" ht="15" customHeight="1">
      <c r="A6432" t="inlineStr">
        <is>
          <t>A 25727-2023</t>
        </is>
      </c>
      <c r="B6432" s="1" t="n">
        <v>45084</v>
      </c>
      <c r="C6432" s="1" t="n">
        <v>45182</v>
      </c>
      <c r="D6432" t="inlineStr">
        <is>
          <t>JÄMTLANDS LÄN</t>
        </is>
      </c>
      <c r="E6432" t="inlineStr">
        <is>
          <t>ÖSTERSUND</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24834-2023</t>
        </is>
      </c>
      <c r="B6433" s="1" t="n">
        <v>45084</v>
      </c>
      <c r="C6433" s="1" t="n">
        <v>45182</v>
      </c>
      <c r="D6433" t="inlineStr">
        <is>
          <t>JÄMTLANDS LÄN</t>
        </is>
      </c>
      <c r="E6433" t="inlineStr">
        <is>
          <t>HÄRJEDALEN</t>
        </is>
      </c>
      <c r="F6433" t="inlineStr">
        <is>
          <t>SCA</t>
        </is>
      </c>
      <c r="G6433" t="n">
        <v>16.5</v>
      </c>
      <c r="H6433" t="n">
        <v>0</v>
      </c>
      <c r="I6433" t="n">
        <v>0</v>
      </c>
      <c r="J6433" t="n">
        <v>0</v>
      </c>
      <c r="K6433" t="n">
        <v>0</v>
      </c>
      <c r="L6433" t="n">
        <v>0</v>
      </c>
      <c r="M6433" t="n">
        <v>0</v>
      </c>
      <c r="N6433" t="n">
        <v>0</v>
      </c>
      <c r="O6433" t="n">
        <v>0</v>
      </c>
      <c r="P6433" t="n">
        <v>0</v>
      </c>
      <c r="Q6433" t="n">
        <v>0</v>
      </c>
      <c r="R6433" s="2" t="inlineStr"/>
    </row>
    <row r="6434" ht="15" customHeight="1">
      <c r="A6434" t="inlineStr">
        <is>
          <t>A 24835-2023</t>
        </is>
      </c>
      <c r="B6434" s="1" t="n">
        <v>45084</v>
      </c>
      <c r="C6434" s="1" t="n">
        <v>45182</v>
      </c>
      <c r="D6434" t="inlineStr">
        <is>
          <t>JÄMTLANDS LÄN</t>
        </is>
      </c>
      <c r="E6434" t="inlineStr">
        <is>
          <t>HÄRJEDALEN</t>
        </is>
      </c>
      <c r="F6434" t="inlineStr">
        <is>
          <t>SCA</t>
        </is>
      </c>
      <c r="G6434" t="n">
        <v>9.1</v>
      </c>
      <c r="H6434" t="n">
        <v>0</v>
      </c>
      <c r="I6434" t="n">
        <v>0</v>
      </c>
      <c r="J6434" t="n">
        <v>0</v>
      </c>
      <c r="K6434" t="n">
        <v>0</v>
      </c>
      <c r="L6434" t="n">
        <v>0</v>
      </c>
      <c r="M6434" t="n">
        <v>0</v>
      </c>
      <c r="N6434" t="n">
        <v>0</v>
      </c>
      <c r="O6434" t="n">
        <v>0</v>
      </c>
      <c r="P6434" t="n">
        <v>0</v>
      </c>
      <c r="Q6434" t="n">
        <v>0</v>
      </c>
      <c r="R6434" s="2" t="inlineStr"/>
    </row>
    <row r="6435" ht="15" customHeight="1">
      <c r="A6435" t="inlineStr">
        <is>
          <t>A 25866-2023</t>
        </is>
      </c>
      <c r="B6435" s="1" t="n">
        <v>45084</v>
      </c>
      <c r="C6435" s="1" t="n">
        <v>45182</v>
      </c>
      <c r="D6435" t="inlineStr">
        <is>
          <t>JÄMTLANDS LÄN</t>
        </is>
      </c>
      <c r="E6435" t="inlineStr">
        <is>
          <t>ÖSTERSUND</t>
        </is>
      </c>
      <c r="G6435" t="n">
        <v>1.8</v>
      </c>
      <c r="H6435" t="n">
        <v>0</v>
      </c>
      <c r="I6435" t="n">
        <v>0</v>
      </c>
      <c r="J6435" t="n">
        <v>0</v>
      </c>
      <c r="K6435" t="n">
        <v>0</v>
      </c>
      <c r="L6435" t="n">
        <v>0</v>
      </c>
      <c r="M6435" t="n">
        <v>0</v>
      </c>
      <c r="N6435" t="n">
        <v>0</v>
      </c>
      <c r="O6435" t="n">
        <v>0</v>
      </c>
      <c r="P6435" t="n">
        <v>0</v>
      </c>
      <c r="Q6435" t="n">
        <v>0</v>
      </c>
      <c r="R6435" s="2" t="inlineStr"/>
    </row>
    <row r="6436" ht="15" customHeight="1">
      <c r="A6436" t="inlineStr">
        <is>
          <t>A 25726-2023</t>
        </is>
      </c>
      <c r="B6436" s="1" t="n">
        <v>45084</v>
      </c>
      <c r="C6436" s="1" t="n">
        <v>45182</v>
      </c>
      <c r="D6436" t="inlineStr">
        <is>
          <t>JÄMTLANDS LÄN</t>
        </is>
      </c>
      <c r="E6436" t="inlineStr">
        <is>
          <t>KROKOM</t>
        </is>
      </c>
      <c r="G6436" t="n">
        <v>2.3</v>
      </c>
      <c r="H6436" t="n">
        <v>0</v>
      </c>
      <c r="I6436" t="n">
        <v>0</v>
      </c>
      <c r="J6436" t="n">
        <v>0</v>
      </c>
      <c r="K6436" t="n">
        <v>0</v>
      </c>
      <c r="L6436" t="n">
        <v>0</v>
      </c>
      <c r="M6436" t="n">
        <v>0</v>
      </c>
      <c r="N6436" t="n">
        <v>0</v>
      </c>
      <c r="O6436" t="n">
        <v>0</v>
      </c>
      <c r="P6436" t="n">
        <v>0</v>
      </c>
      <c r="Q6436" t="n">
        <v>0</v>
      </c>
      <c r="R6436" s="2" t="inlineStr"/>
    </row>
    <row r="6437" ht="15" customHeight="1">
      <c r="A6437" t="inlineStr">
        <is>
          <t>A 24964-2023</t>
        </is>
      </c>
      <c r="B6437" s="1" t="n">
        <v>45085</v>
      </c>
      <c r="C6437" s="1" t="n">
        <v>45182</v>
      </c>
      <c r="D6437" t="inlineStr">
        <is>
          <t>JÄMTLANDS LÄN</t>
        </is>
      </c>
      <c r="E6437" t="inlineStr">
        <is>
          <t>HÄRJEDALEN</t>
        </is>
      </c>
      <c r="G6437" t="n">
        <v>19</v>
      </c>
      <c r="H6437" t="n">
        <v>0</v>
      </c>
      <c r="I6437" t="n">
        <v>0</v>
      </c>
      <c r="J6437" t="n">
        <v>0</v>
      </c>
      <c r="K6437" t="n">
        <v>0</v>
      </c>
      <c r="L6437" t="n">
        <v>0</v>
      </c>
      <c r="M6437" t="n">
        <v>0</v>
      </c>
      <c r="N6437" t="n">
        <v>0</v>
      </c>
      <c r="O6437" t="n">
        <v>0</v>
      </c>
      <c r="P6437" t="n">
        <v>0</v>
      </c>
      <c r="Q6437" t="n">
        <v>0</v>
      </c>
      <c r="R6437" s="2" t="inlineStr"/>
    </row>
    <row r="6438" ht="15" customHeight="1">
      <c r="A6438" t="inlineStr">
        <is>
          <t>A 25026-2023</t>
        </is>
      </c>
      <c r="B6438" s="1" t="n">
        <v>45085</v>
      </c>
      <c r="C6438" s="1" t="n">
        <v>45182</v>
      </c>
      <c r="D6438" t="inlineStr">
        <is>
          <t>JÄMTLANDS LÄN</t>
        </is>
      </c>
      <c r="E6438" t="inlineStr">
        <is>
          <t>STRÖMSUND</t>
        </is>
      </c>
      <c r="G6438" t="n">
        <v>1.6</v>
      </c>
      <c r="H6438" t="n">
        <v>0</v>
      </c>
      <c r="I6438" t="n">
        <v>0</v>
      </c>
      <c r="J6438" t="n">
        <v>0</v>
      </c>
      <c r="K6438" t="n">
        <v>0</v>
      </c>
      <c r="L6438" t="n">
        <v>0</v>
      </c>
      <c r="M6438" t="n">
        <v>0</v>
      </c>
      <c r="N6438" t="n">
        <v>0</v>
      </c>
      <c r="O6438" t="n">
        <v>0</v>
      </c>
      <c r="P6438" t="n">
        <v>0</v>
      </c>
      <c r="Q6438" t="n">
        <v>0</v>
      </c>
      <c r="R6438" s="2" t="inlineStr"/>
    </row>
    <row r="6439" ht="15" customHeight="1">
      <c r="A6439" t="inlineStr">
        <is>
          <t>A 25895-2023</t>
        </is>
      </c>
      <c r="B6439" s="1" t="n">
        <v>45085</v>
      </c>
      <c r="C6439" s="1" t="n">
        <v>45182</v>
      </c>
      <c r="D6439" t="inlineStr">
        <is>
          <t>JÄMTLANDS LÄN</t>
        </is>
      </c>
      <c r="E6439" t="inlineStr">
        <is>
          <t>BRÄCKE</t>
        </is>
      </c>
      <c r="G6439" t="n">
        <v>4.7</v>
      </c>
      <c r="H6439" t="n">
        <v>0</v>
      </c>
      <c r="I6439" t="n">
        <v>0</v>
      </c>
      <c r="J6439" t="n">
        <v>0</v>
      </c>
      <c r="K6439" t="n">
        <v>0</v>
      </c>
      <c r="L6439" t="n">
        <v>0</v>
      </c>
      <c r="M6439" t="n">
        <v>0</v>
      </c>
      <c r="N6439" t="n">
        <v>0</v>
      </c>
      <c r="O6439" t="n">
        <v>0</v>
      </c>
      <c r="P6439" t="n">
        <v>0</v>
      </c>
      <c r="Q6439" t="n">
        <v>0</v>
      </c>
      <c r="R6439" s="2" t="inlineStr"/>
    </row>
    <row r="6440" ht="15" customHeight="1">
      <c r="A6440" t="inlineStr">
        <is>
          <t>A 25066-2023</t>
        </is>
      </c>
      <c r="B6440" s="1" t="n">
        <v>45085</v>
      </c>
      <c r="C6440" s="1" t="n">
        <v>45182</v>
      </c>
      <c r="D6440" t="inlineStr">
        <is>
          <t>JÄMTLANDS LÄN</t>
        </is>
      </c>
      <c r="E6440" t="inlineStr">
        <is>
          <t>STRÖMSUND</t>
        </is>
      </c>
      <c r="F6440" t="inlineStr">
        <is>
          <t>SCA</t>
        </is>
      </c>
      <c r="G6440" t="n">
        <v>7.3</v>
      </c>
      <c r="H6440" t="n">
        <v>0</v>
      </c>
      <c r="I6440" t="n">
        <v>0</v>
      </c>
      <c r="J6440" t="n">
        <v>0</v>
      </c>
      <c r="K6440" t="n">
        <v>0</v>
      </c>
      <c r="L6440" t="n">
        <v>0</v>
      </c>
      <c r="M6440" t="n">
        <v>0</v>
      </c>
      <c r="N6440" t="n">
        <v>0</v>
      </c>
      <c r="O6440" t="n">
        <v>0</v>
      </c>
      <c r="P6440" t="n">
        <v>0</v>
      </c>
      <c r="Q6440" t="n">
        <v>0</v>
      </c>
      <c r="R6440" s="2" t="inlineStr"/>
    </row>
    <row r="6441" ht="15" customHeight="1">
      <c r="A6441" t="inlineStr">
        <is>
          <t>A 25043-2023</t>
        </is>
      </c>
      <c r="B6441" s="1" t="n">
        <v>45085</v>
      </c>
      <c r="C6441" s="1" t="n">
        <v>45182</v>
      </c>
      <c r="D6441" t="inlineStr">
        <is>
          <t>JÄMTLANDS LÄN</t>
        </is>
      </c>
      <c r="E6441" t="inlineStr">
        <is>
          <t>BRÄCKE</t>
        </is>
      </c>
      <c r="F6441" t="inlineStr">
        <is>
          <t>SCA</t>
        </is>
      </c>
      <c r="G6441" t="n">
        <v>4.4</v>
      </c>
      <c r="H6441" t="n">
        <v>0</v>
      </c>
      <c r="I6441" t="n">
        <v>0</v>
      </c>
      <c r="J6441" t="n">
        <v>0</v>
      </c>
      <c r="K6441" t="n">
        <v>0</v>
      </c>
      <c r="L6441" t="n">
        <v>0</v>
      </c>
      <c r="M6441" t="n">
        <v>0</v>
      </c>
      <c r="N6441" t="n">
        <v>0</v>
      </c>
      <c r="O6441" t="n">
        <v>0</v>
      </c>
      <c r="P6441" t="n">
        <v>0</v>
      </c>
      <c r="Q6441" t="n">
        <v>0</v>
      </c>
      <c r="R6441" s="2" t="inlineStr"/>
    </row>
    <row r="6442" ht="15" customHeight="1">
      <c r="A6442" t="inlineStr">
        <is>
          <t>A 25892-2023</t>
        </is>
      </c>
      <c r="B6442" s="1" t="n">
        <v>45085</v>
      </c>
      <c r="C6442" s="1" t="n">
        <v>45182</v>
      </c>
      <c r="D6442" t="inlineStr">
        <is>
          <t>JÄMTLANDS LÄN</t>
        </is>
      </c>
      <c r="E6442" t="inlineStr">
        <is>
          <t>RAGUNDA</t>
        </is>
      </c>
      <c r="G6442" t="n">
        <v>5.9</v>
      </c>
      <c r="H6442" t="n">
        <v>0</v>
      </c>
      <c r="I6442" t="n">
        <v>0</v>
      </c>
      <c r="J6442" t="n">
        <v>0</v>
      </c>
      <c r="K6442" t="n">
        <v>0</v>
      </c>
      <c r="L6442" t="n">
        <v>0</v>
      </c>
      <c r="M6442" t="n">
        <v>0</v>
      </c>
      <c r="N6442" t="n">
        <v>0</v>
      </c>
      <c r="O6442" t="n">
        <v>0</v>
      </c>
      <c r="P6442" t="n">
        <v>0</v>
      </c>
      <c r="Q6442" t="n">
        <v>0</v>
      </c>
      <c r="R6442" s="2" t="inlineStr"/>
    </row>
    <row r="6443" ht="15" customHeight="1">
      <c r="A6443" t="inlineStr">
        <is>
          <t>A 25926-2023</t>
        </is>
      </c>
      <c r="B6443" s="1" t="n">
        <v>45085</v>
      </c>
      <c r="C6443" s="1" t="n">
        <v>45182</v>
      </c>
      <c r="D6443" t="inlineStr">
        <is>
          <t>JÄMTLANDS LÄN</t>
        </is>
      </c>
      <c r="E6443" t="inlineStr">
        <is>
          <t>ÅRE</t>
        </is>
      </c>
      <c r="G6443" t="n">
        <v>1.7</v>
      </c>
      <c r="H6443" t="n">
        <v>0</v>
      </c>
      <c r="I6443" t="n">
        <v>0</v>
      </c>
      <c r="J6443" t="n">
        <v>0</v>
      </c>
      <c r="K6443" t="n">
        <v>0</v>
      </c>
      <c r="L6443" t="n">
        <v>0</v>
      </c>
      <c r="M6443" t="n">
        <v>0</v>
      </c>
      <c r="N6443" t="n">
        <v>0</v>
      </c>
      <c r="O6443" t="n">
        <v>0</v>
      </c>
      <c r="P6443" t="n">
        <v>0</v>
      </c>
      <c r="Q6443" t="n">
        <v>0</v>
      </c>
      <c r="R6443" s="2" t="inlineStr"/>
    </row>
    <row r="6444" ht="15" customHeight="1">
      <c r="A6444" t="inlineStr">
        <is>
          <t>A 25949-2023</t>
        </is>
      </c>
      <c r="B6444" s="1" t="n">
        <v>45085</v>
      </c>
      <c r="C6444" s="1" t="n">
        <v>45182</v>
      </c>
      <c r="D6444" t="inlineStr">
        <is>
          <t>JÄMTLANDS LÄN</t>
        </is>
      </c>
      <c r="E6444" t="inlineStr">
        <is>
          <t>BERG</t>
        </is>
      </c>
      <c r="G6444" t="n">
        <v>10.4</v>
      </c>
      <c r="H6444" t="n">
        <v>0</v>
      </c>
      <c r="I6444" t="n">
        <v>0</v>
      </c>
      <c r="J6444" t="n">
        <v>0</v>
      </c>
      <c r="K6444" t="n">
        <v>0</v>
      </c>
      <c r="L6444" t="n">
        <v>0</v>
      </c>
      <c r="M6444" t="n">
        <v>0</v>
      </c>
      <c r="N6444" t="n">
        <v>0</v>
      </c>
      <c r="O6444" t="n">
        <v>0</v>
      </c>
      <c r="P6444" t="n">
        <v>0</v>
      </c>
      <c r="Q6444" t="n">
        <v>0</v>
      </c>
      <c r="R6444" s="2" t="inlineStr"/>
    </row>
    <row r="6445" ht="15" customHeight="1">
      <c r="A6445" t="inlineStr">
        <is>
          <t>A 25041-2023</t>
        </is>
      </c>
      <c r="B6445" s="1" t="n">
        <v>45085</v>
      </c>
      <c r="C6445" s="1" t="n">
        <v>45182</v>
      </c>
      <c r="D6445" t="inlineStr">
        <is>
          <t>JÄMTLANDS LÄN</t>
        </is>
      </c>
      <c r="E6445" t="inlineStr">
        <is>
          <t>BRÄCKE</t>
        </is>
      </c>
      <c r="F6445" t="inlineStr">
        <is>
          <t>SCA</t>
        </is>
      </c>
      <c r="G6445" t="n">
        <v>4.9</v>
      </c>
      <c r="H6445" t="n">
        <v>0</v>
      </c>
      <c r="I6445" t="n">
        <v>0</v>
      </c>
      <c r="J6445" t="n">
        <v>0</v>
      </c>
      <c r="K6445" t="n">
        <v>0</v>
      </c>
      <c r="L6445" t="n">
        <v>0</v>
      </c>
      <c r="M6445" t="n">
        <v>0</v>
      </c>
      <c r="N6445" t="n">
        <v>0</v>
      </c>
      <c r="O6445" t="n">
        <v>0</v>
      </c>
      <c r="P6445" t="n">
        <v>0</v>
      </c>
      <c r="Q6445" t="n">
        <v>0</v>
      </c>
      <c r="R6445" s="2" t="inlineStr"/>
    </row>
    <row r="6446" ht="15" customHeight="1">
      <c r="A6446" t="inlineStr">
        <is>
          <t>A 25061-2023</t>
        </is>
      </c>
      <c r="B6446" s="1" t="n">
        <v>45085</v>
      </c>
      <c r="C6446" s="1" t="n">
        <v>45182</v>
      </c>
      <c r="D6446" t="inlineStr">
        <is>
          <t>JÄMTLANDS LÄN</t>
        </is>
      </c>
      <c r="E6446" t="inlineStr">
        <is>
          <t>BRÄCKE</t>
        </is>
      </c>
      <c r="F6446" t="inlineStr">
        <is>
          <t>SCA</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25909-2023</t>
        </is>
      </c>
      <c r="B6447" s="1" t="n">
        <v>45085</v>
      </c>
      <c r="C6447" s="1" t="n">
        <v>45182</v>
      </c>
      <c r="D6447" t="inlineStr">
        <is>
          <t>JÄMTLANDS LÄN</t>
        </is>
      </c>
      <c r="E6447" t="inlineStr">
        <is>
          <t>BRÄCKE</t>
        </is>
      </c>
      <c r="G6447" t="n">
        <v>4</v>
      </c>
      <c r="H6447" t="n">
        <v>0</v>
      </c>
      <c r="I6447" t="n">
        <v>0</v>
      </c>
      <c r="J6447" t="n">
        <v>0</v>
      </c>
      <c r="K6447" t="n">
        <v>0</v>
      </c>
      <c r="L6447" t="n">
        <v>0</v>
      </c>
      <c r="M6447" t="n">
        <v>0</v>
      </c>
      <c r="N6447" t="n">
        <v>0</v>
      </c>
      <c r="O6447" t="n">
        <v>0</v>
      </c>
      <c r="P6447" t="n">
        <v>0</v>
      </c>
      <c r="Q6447" t="n">
        <v>0</v>
      </c>
      <c r="R6447" s="2" t="inlineStr"/>
    </row>
    <row r="6448" ht="15" customHeight="1">
      <c r="A6448" t="inlineStr">
        <is>
          <t>A 25181-2023</t>
        </is>
      </c>
      <c r="B6448" s="1" t="n">
        <v>45086</v>
      </c>
      <c r="C6448" s="1" t="n">
        <v>45182</v>
      </c>
      <c r="D6448" t="inlineStr">
        <is>
          <t>JÄMTLANDS LÄN</t>
        </is>
      </c>
      <c r="E6448" t="inlineStr">
        <is>
          <t>HÄRJEDALEN</t>
        </is>
      </c>
      <c r="F6448" t="inlineStr">
        <is>
          <t>Bergvik skog väst AB</t>
        </is>
      </c>
      <c r="G6448" t="n">
        <v>1.8</v>
      </c>
      <c r="H6448" t="n">
        <v>0</v>
      </c>
      <c r="I6448" t="n">
        <v>0</v>
      </c>
      <c r="J6448" t="n">
        <v>0</v>
      </c>
      <c r="K6448" t="n">
        <v>0</v>
      </c>
      <c r="L6448" t="n">
        <v>0</v>
      </c>
      <c r="M6448" t="n">
        <v>0</v>
      </c>
      <c r="N6448" t="n">
        <v>0</v>
      </c>
      <c r="O6448" t="n">
        <v>0</v>
      </c>
      <c r="P6448" t="n">
        <v>0</v>
      </c>
      <c r="Q6448" t="n">
        <v>0</v>
      </c>
      <c r="R6448" s="2" t="inlineStr"/>
    </row>
    <row r="6449" ht="15" customHeight="1">
      <c r="A6449" t="inlineStr">
        <is>
          <t>A 25306-2023</t>
        </is>
      </c>
      <c r="B6449" s="1" t="n">
        <v>45086</v>
      </c>
      <c r="C6449" s="1" t="n">
        <v>45182</v>
      </c>
      <c r="D6449" t="inlineStr">
        <is>
          <t>JÄMTLANDS LÄN</t>
        </is>
      </c>
      <c r="E6449" t="inlineStr">
        <is>
          <t>BERG</t>
        </is>
      </c>
      <c r="G6449" t="n">
        <v>23.3</v>
      </c>
      <c r="H6449" t="n">
        <v>0</v>
      </c>
      <c r="I6449" t="n">
        <v>0</v>
      </c>
      <c r="J6449" t="n">
        <v>0</v>
      </c>
      <c r="K6449" t="n">
        <v>0</v>
      </c>
      <c r="L6449" t="n">
        <v>0</v>
      </c>
      <c r="M6449" t="n">
        <v>0</v>
      </c>
      <c r="N6449" t="n">
        <v>0</v>
      </c>
      <c r="O6449" t="n">
        <v>0</v>
      </c>
      <c r="P6449" t="n">
        <v>0</v>
      </c>
      <c r="Q6449" t="n">
        <v>0</v>
      </c>
      <c r="R6449" s="2" t="inlineStr"/>
    </row>
    <row r="6450" ht="15" customHeight="1">
      <c r="A6450" t="inlineStr">
        <is>
          <t>A 25300-2023</t>
        </is>
      </c>
      <c r="B6450" s="1" t="n">
        <v>45086</v>
      </c>
      <c r="C6450" s="1" t="n">
        <v>45182</v>
      </c>
      <c r="D6450" t="inlineStr">
        <is>
          <t>JÄMTLANDS LÄN</t>
        </is>
      </c>
      <c r="E6450" t="inlineStr">
        <is>
          <t>RAGUNDA</t>
        </is>
      </c>
      <c r="G6450" t="n">
        <v>15.4</v>
      </c>
      <c r="H6450" t="n">
        <v>0</v>
      </c>
      <c r="I6450" t="n">
        <v>0</v>
      </c>
      <c r="J6450" t="n">
        <v>0</v>
      </c>
      <c r="K6450" t="n">
        <v>0</v>
      </c>
      <c r="L6450" t="n">
        <v>0</v>
      </c>
      <c r="M6450" t="n">
        <v>0</v>
      </c>
      <c r="N6450" t="n">
        <v>0</v>
      </c>
      <c r="O6450" t="n">
        <v>0</v>
      </c>
      <c r="P6450" t="n">
        <v>0</v>
      </c>
      <c r="Q6450" t="n">
        <v>0</v>
      </c>
      <c r="R6450" s="2" t="inlineStr"/>
    </row>
    <row r="6451" ht="15" customHeight="1">
      <c r="A6451" t="inlineStr">
        <is>
          <t>A 25304-2023</t>
        </is>
      </c>
      <c r="B6451" s="1" t="n">
        <v>45086</v>
      </c>
      <c r="C6451" s="1" t="n">
        <v>45182</v>
      </c>
      <c r="D6451" t="inlineStr">
        <is>
          <t>JÄMTLANDS LÄN</t>
        </is>
      </c>
      <c r="E6451" t="inlineStr">
        <is>
          <t>RAGUNDA</t>
        </is>
      </c>
      <c r="F6451" t="inlineStr">
        <is>
          <t>SCA</t>
        </is>
      </c>
      <c r="G6451" t="n">
        <v>1.7</v>
      </c>
      <c r="H6451" t="n">
        <v>0</v>
      </c>
      <c r="I6451" t="n">
        <v>0</v>
      </c>
      <c r="J6451" t="n">
        <v>0</v>
      </c>
      <c r="K6451" t="n">
        <v>0</v>
      </c>
      <c r="L6451" t="n">
        <v>0</v>
      </c>
      <c r="M6451" t="n">
        <v>0</v>
      </c>
      <c r="N6451" t="n">
        <v>0</v>
      </c>
      <c r="O6451" t="n">
        <v>0</v>
      </c>
      <c r="P6451" t="n">
        <v>0</v>
      </c>
      <c r="Q6451" t="n">
        <v>0</v>
      </c>
      <c r="R6451" s="2" t="inlineStr"/>
    </row>
    <row r="6452" ht="15" customHeight="1">
      <c r="A6452" t="inlineStr">
        <is>
          <t>A 25318-2023</t>
        </is>
      </c>
      <c r="B6452" s="1" t="n">
        <v>45086</v>
      </c>
      <c r="C6452" s="1" t="n">
        <v>45182</v>
      </c>
      <c r="D6452" t="inlineStr">
        <is>
          <t>JÄMTLANDS LÄN</t>
        </is>
      </c>
      <c r="E6452" t="inlineStr">
        <is>
          <t>BRÄCKE</t>
        </is>
      </c>
      <c r="F6452" t="inlineStr">
        <is>
          <t>SCA</t>
        </is>
      </c>
      <c r="G6452" t="n">
        <v>6.3</v>
      </c>
      <c r="H6452" t="n">
        <v>0</v>
      </c>
      <c r="I6452" t="n">
        <v>0</v>
      </c>
      <c r="J6452" t="n">
        <v>0</v>
      </c>
      <c r="K6452" t="n">
        <v>0</v>
      </c>
      <c r="L6452" t="n">
        <v>0</v>
      </c>
      <c r="M6452" t="n">
        <v>0</v>
      </c>
      <c r="N6452" t="n">
        <v>0</v>
      </c>
      <c r="O6452" t="n">
        <v>0</v>
      </c>
      <c r="P6452" t="n">
        <v>0</v>
      </c>
      <c r="Q6452" t="n">
        <v>0</v>
      </c>
      <c r="R6452" s="2" t="inlineStr"/>
    </row>
    <row r="6453" ht="15" customHeight="1">
      <c r="A6453" t="inlineStr">
        <is>
          <t>A 25303-2023</t>
        </is>
      </c>
      <c r="B6453" s="1" t="n">
        <v>45086</v>
      </c>
      <c r="C6453" s="1" t="n">
        <v>45182</v>
      </c>
      <c r="D6453" t="inlineStr">
        <is>
          <t>JÄMTLANDS LÄN</t>
        </is>
      </c>
      <c r="E6453" t="inlineStr">
        <is>
          <t>ÅRE</t>
        </is>
      </c>
      <c r="G6453" t="n">
        <v>0.4</v>
      </c>
      <c r="H6453" t="n">
        <v>0</v>
      </c>
      <c r="I6453" t="n">
        <v>0</v>
      </c>
      <c r="J6453" t="n">
        <v>0</v>
      </c>
      <c r="K6453" t="n">
        <v>0</v>
      </c>
      <c r="L6453" t="n">
        <v>0</v>
      </c>
      <c r="M6453" t="n">
        <v>0</v>
      </c>
      <c r="N6453" t="n">
        <v>0</v>
      </c>
      <c r="O6453" t="n">
        <v>0</v>
      </c>
      <c r="P6453" t="n">
        <v>0</v>
      </c>
      <c r="Q6453" t="n">
        <v>0</v>
      </c>
      <c r="R6453" s="2" t="inlineStr"/>
    </row>
    <row r="6454" ht="15" customHeight="1">
      <c r="A6454" t="inlineStr">
        <is>
          <t>A 26225-2023</t>
        </is>
      </c>
      <c r="B6454" s="1" t="n">
        <v>45086</v>
      </c>
      <c r="C6454" s="1" t="n">
        <v>45182</v>
      </c>
      <c r="D6454" t="inlineStr">
        <is>
          <t>JÄMTLANDS LÄN</t>
        </is>
      </c>
      <c r="E6454" t="inlineStr">
        <is>
          <t>BRÄCKE</t>
        </is>
      </c>
      <c r="G6454" t="n">
        <v>3</v>
      </c>
      <c r="H6454" t="n">
        <v>0</v>
      </c>
      <c r="I6454" t="n">
        <v>0</v>
      </c>
      <c r="J6454" t="n">
        <v>0</v>
      </c>
      <c r="K6454" t="n">
        <v>0</v>
      </c>
      <c r="L6454" t="n">
        <v>0</v>
      </c>
      <c r="M6454" t="n">
        <v>0</v>
      </c>
      <c r="N6454" t="n">
        <v>0</v>
      </c>
      <c r="O6454" t="n">
        <v>0</v>
      </c>
      <c r="P6454" t="n">
        <v>0</v>
      </c>
      <c r="Q6454" t="n">
        <v>0</v>
      </c>
      <c r="R6454" s="2" t="inlineStr"/>
    </row>
    <row r="6455" ht="15" customHeight="1">
      <c r="A6455" t="inlineStr">
        <is>
          <t>A 25302-2023</t>
        </is>
      </c>
      <c r="B6455" s="1" t="n">
        <v>45086</v>
      </c>
      <c r="C6455" s="1" t="n">
        <v>45182</v>
      </c>
      <c r="D6455" t="inlineStr">
        <is>
          <t>JÄMTLANDS LÄN</t>
        </is>
      </c>
      <c r="E6455" t="inlineStr">
        <is>
          <t>ÅRE</t>
        </is>
      </c>
      <c r="G6455" t="n">
        <v>1.3</v>
      </c>
      <c r="H6455" t="n">
        <v>0</v>
      </c>
      <c r="I6455" t="n">
        <v>0</v>
      </c>
      <c r="J6455" t="n">
        <v>0</v>
      </c>
      <c r="K6455" t="n">
        <v>0</v>
      </c>
      <c r="L6455" t="n">
        <v>0</v>
      </c>
      <c r="M6455" t="n">
        <v>0</v>
      </c>
      <c r="N6455" t="n">
        <v>0</v>
      </c>
      <c r="O6455" t="n">
        <v>0</v>
      </c>
      <c r="P6455" t="n">
        <v>0</v>
      </c>
      <c r="Q6455" t="n">
        <v>0</v>
      </c>
      <c r="R6455" s="2" t="inlineStr"/>
    </row>
    <row r="6456" ht="15" customHeight="1">
      <c r="A6456" t="inlineStr">
        <is>
          <t>A 26270-2023</t>
        </is>
      </c>
      <c r="B6456" s="1" t="n">
        <v>45086</v>
      </c>
      <c r="C6456" s="1" t="n">
        <v>45182</v>
      </c>
      <c r="D6456" t="inlineStr">
        <is>
          <t>JÄMTLANDS LÄN</t>
        </is>
      </c>
      <c r="E6456" t="inlineStr">
        <is>
          <t>KROKOM</t>
        </is>
      </c>
      <c r="G6456" t="n">
        <v>0.9</v>
      </c>
      <c r="H6456" t="n">
        <v>0</v>
      </c>
      <c r="I6456" t="n">
        <v>0</v>
      </c>
      <c r="J6456" t="n">
        <v>0</v>
      </c>
      <c r="K6456" t="n">
        <v>0</v>
      </c>
      <c r="L6456" t="n">
        <v>0</v>
      </c>
      <c r="M6456" t="n">
        <v>0</v>
      </c>
      <c r="N6456" t="n">
        <v>0</v>
      </c>
      <c r="O6456" t="n">
        <v>0</v>
      </c>
      <c r="P6456" t="n">
        <v>0</v>
      </c>
      <c r="Q6456" t="n">
        <v>0</v>
      </c>
      <c r="R6456" s="2" t="inlineStr"/>
    </row>
    <row r="6457" ht="15" customHeight="1">
      <c r="A6457" t="inlineStr">
        <is>
          <t>A 25351-2023</t>
        </is>
      </c>
      <c r="B6457" s="1" t="n">
        <v>45087</v>
      </c>
      <c r="C6457" s="1" t="n">
        <v>45182</v>
      </c>
      <c r="D6457" t="inlineStr">
        <is>
          <t>JÄMTLANDS LÄN</t>
        </is>
      </c>
      <c r="E6457" t="inlineStr">
        <is>
          <t>BRÄCKE</t>
        </is>
      </c>
      <c r="F6457" t="inlineStr">
        <is>
          <t>SCA</t>
        </is>
      </c>
      <c r="G6457" t="n">
        <v>4.2</v>
      </c>
      <c r="H6457" t="n">
        <v>0</v>
      </c>
      <c r="I6457" t="n">
        <v>0</v>
      </c>
      <c r="J6457" t="n">
        <v>0</v>
      </c>
      <c r="K6457" t="n">
        <v>0</v>
      </c>
      <c r="L6457" t="n">
        <v>0</v>
      </c>
      <c r="M6457" t="n">
        <v>0</v>
      </c>
      <c r="N6457" t="n">
        <v>0</v>
      </c>
      <c r="O6457" t="n">
        <v>0</v>
      </c>
      <c r="P6457" t="n">
        <v>0</v>
      </c>
      <c r="Q6457" t="n">
        <v>0</v>
      </c>
      <c r="R6457" s="2" t="inlineStr"/>
    </row>
    <row r="6458" ht="15" customHeight="1">
      <c r="A6458" t="inlineStr">
        <is>
          <t>A 25350-2023</t>
        </is>
      </c>
      <c r="B6458" s="1" t="n">
        <v>45087</v>
      </c>
      <c r="C6458" s="1" t="n">
        <v>45182</v>
      </c>
      <c r="D6458" t="inlineStr">
        <is>
          <t>JÄMTLANDS LÄN</t>
        </is>
      </c>
      <c r="E6458" t="inlineStr">
        <is>
          <t>BRÄCKE</t>
        </is>
      </c>
      <c r="F6458" t="inlineStr">
        <is>
          <t>SCA</t>
        </is>
      </c>
      <c r="G6458" t="n">
        <v>5.8</v>
      </c>
      <c r="H6458" t="n">
        <v>0</v>
      </c>
      <c r="I6458" t="n">
        <v>0</v>
      </c>
      <c r="J6458" t="n">
        <v>0</v>
      </c>
      <c r="K6458" t="n">
        <v>0</v>
      </c>
      <c r="L6458" t="n">
        <v>0</v>
      </c>
      <c r="M6458" t="n">
        <v>0</v>
      </c>
      <c r="N6458" t="n">
        <v>0</v>
      </c>
      <c r="O6458" t="n">
        <v>0</v>
      </c>
      <c r="P6458" t="n">
        <v>0</v>
      </c>
      <c r="Q6458" t="n">
        <v>0</v>
      </c>
      <c r="R6458" s="2" t="inlineStr"/>
    </row>
    <row r="6459" ht="15" customHeight="1">
      <c r="A6459" t="inlineStr">
        <is>
          <t>A 25374-2023</t>
        </is>
      </c>
      <c r="B6459" s="1" t="n">
        <v>45088</v>
      </c>
      <c r="C6459" s="1" t="n">
        <v>45182</v>
      </c>
      <c r="D6459" t="inlineStr">
        <is>
          <t>JÄMTLANDS LÄN</t>
        </is>
      </c>
      <c r="E6459" t="inlineStr">
        <is>
          <t>BRÄCKE</t>
        </is>
      </c>
      <c r="G6459" t="n">
        <v>4.4</v>
      </c>
      <c r="H6459" t="n">
        <v>0</v>
      </c>
      <c r="I6459" t="n">
        <v>0</v>
      </c>
      <c r="J6459" t="n">
        <v>0</v>
      </c>
      <c r="K6459" t="n">
        <v>0</v>
      </c>
      <c r="L6459" t="n">
        <v>0</v>
      </c>
      <c r="M6459" t="n">
        <v>0</v>
      </c>
      <c r="N6459" t="n">
        <v>0</v>
      </c>
      <c r="O6459" t="n">
        <v>0</v>
      </c>
      <c r="P6459" t="n">
        <v>0</v>
      </c>
      <c r="Q6459" t="n">
        <v>0</v>
      </c>
      <c r="R6459" s="2" t="inlineStr"/>
    </row>
    <row r="6460" ht="15" customHeight="1">
      <c r="A6460" t="inlineStr">
        <is>
          <t>A 25666-2023</t>
        </is>
      </c>
      <c r="B6460" s="1" t="n">
        <v>45089</v>
      </c>
      <c r="C6460" s="1" t="n">
        <v>45182</v>
      </c>
      <c r="D6460" t="inlineStr">
        <is>
          <t>JÄMTLANDS LÄN</t>
        </is>
      </c>
      <c r="E6460" t="inlineStr">
        <is>
          <t>RAGUNDA</t>
        </is>
      </c>
      <c r="G6460" t="n">
        <v>1.5</v>
      </c>
      <c r="H6460" t="n">
        <v>0</v>
      </c>
      <c r="I6460" t="n">
        <v>0</v>
      </c>
      <c r="J6460" t="n">
        <v>0</v>
      </c>
      <c r="K6460" t="n">
        <v>0</v>
      </c>
      <c r="L6460" t="n">
        <v>0</v>
      </c>
      <c r="M6460" t="n">
        <v>0</v>
      </c>
      <c r="N6460" t="n">
        <v>0</v>
      </c>
      <c r="O6460" t="n">
        <v>0</v>
      </c>
      <c r="P6460" t="n">
        <v>0</v>
      </c>
      <c r="Q6460" t="n">
        <v>0</v>
      </c>
      <c r="R6460" s="2" t="inlineStr"/>
    </row>
    <row r="6461" ht="15" customHeight="1">
      <c r="A6461" t="inlineStr">
        <is>
          <t>A 25674-2023</t>
        </is>
      </c>
      <c r="B6461" s="1" t="n">
        <v>45089</v>
      </c>
      <c r="C6461" s="1" t="n">
        <v>45182</v>
      </c>
      <c r="D6461" t="inlineStr">
        <is>
          <t>JÄMTLANDS LÄN</t>
        </is>
      </c>
      <c r="E6461" t="inlineStr">
        <is>
          <t>BRÄCKE</t>
        </is>
      </c>
      <c r="F6461" t="inlineStr">
        <is>
          <t>SCA</t>
        </is>
      </c>
      <c r="G6461" t="n">
        <v>3.1</v>
      </c>
      <c r="H6461" t="n">
        <v>0</v>
      </c>
      <c r="I6461" t="n">
        <v>0</v>
      </c>
      <c r="J6461" t="n">
        <v>0</v>
      </c>
      <c r="K6461" t="n">
        <v>0</v>
      </c>
      <c r="L6461" t="n">
        <v>0</v>
      </c>
      <c r="M6461" t="n">
        <v>0</v>
      </c>
      <c r="N6461" t="n">
        <v>0</v>
      </c>
      <c r="O6461" t="n">
        <v>0</v>
      </c>
      <c r="P6461" t="n">
        <v>0</v>
      </c>
      <c r="Q6461" t="n">
        <v>0</v>
      </c>
      <c r="R6461" s="2" t="inlineStr"/>
    </row>
    <row r="6462" ht="15" customHeight="1">
      <c r="A6462" t="inlineStr">
        <is>
          <t>A 25669-2023</t>
        </is>
      </c>
      <c r="B6462" s="1" t="n">
        <v>45089</v>
      </c>
      <c r="C6462" s="1" t="n">
        <v>45182</v>
      </c>
      <c r="D6462" t="inlineStr">
        <is>
          <t>JÄMTLANDS LÄN</t>
        </is>
      </c>
      <c r="E6462" t="inlineStr">
        <is>
          <t>RAGUNDA</t>
        </is>
      </c>
      <c r="G6462" t="n">
        <v>4</v>
      </c>
      <c r="H6462" t="n">
        <v>0</v>
      </c>
      <c r="I6462" t="n">
        <v>0</v>
      </c>
      <c r="J6462" t="n">
        <v>0</v>
      </c>
      <c r="K6462" t="n">
        <v>0</v>
      </c>
      <c r="L6462" t="n">
        <v>0</v>
      </c>
      <c r="M6462" t="n">
        <v>0</v>
      </c>
      <c r="N6462" t="n">
        <v>0</v>
      </c>
      <c r="O6462" t="n">
        <v>0</v>
      </c>
      <c r="P6462" t="n">
        <v>0</v>
      </c>
      <c r="Q6462" t="n">
        <v>0</v>
      </c>
      <c r="R6462" s="2" t="inlineStr"/>
    </row>
    <row r="6463" ht="15" customHeight="1">
      <c r="A6463" t="inlineStr">
        <is>
          <t>A 25675-2023</t>
        </is>
      </c>
      <c r="B6463" s="1" t="n">
        <v>45089</v>
      </c>
      <c r="C6463" s="1" t="n">
        <v>45182</v>
      </c>
      <c r="D6463" t="inlineStr">
        <is>
          <t>JÄMTLANDS LÄN</t>
        </is>
      </c>
      <c r="E6463" t="inlineStr">
        <is>
          <t>BRÄCKE</t>
        </is>
      </c>
      <c r="F6463" t="inlineStr">
        <is>
          <t>SCA</t>
        </is>
      </c>
      <c r="G6463" t="n">
        <v>9.300000000000001</v>
      </c>
      <c r="H6463" t="n">
        <v>0</v>
      </c>
      <c r="I6463" t="n">
        <v>0</v>
      </c>
      <c r="J6463" t="n">
        <v>0</v>
      </c>
      <c r="K6463" t="n">
        <v>0</v>
      </c>
      <c r="L6463" t="n">
        <v>0</v>
      </c>
      <c r="M6463" t="n">
        <v>0</v>
      </c>
      <c r="N6463" t="n">
        <v>0</v>
      </c>
      <c r="O6463" t="n">
        <v>0</v>
      </c>
      <c r="P6463" t="n">
        <v>0</v>
      </c>
      <c r="Q6463" t="n">
        <v>0</v>
      </c>
      <c r="R6463" s="2" t="inlineStr"/>
    </row>
    <row r="6464" ht="15" customHeight="1">
      <c r="A6464" t="inlineStr">
        <is>
          <t>A 25682-2023</t>
        </is>
      </c>
      <c r="B6464" s="1" t="n">
        <v>45089</v>
      </c>
      <c r="C6464" s="1" t="n">
        <v>45182</v>
      </c>
      <c r="D6464" t="inlineStr">
        <is>
          <t>JÄMTLANDS LÄN</t>
        </is>
      </c>
      <c r="E6464" t="inlineStr">
        <is>
          <t>STRÖMSUND</t>
        </is>
      </c>
      <c r="F6464" t="inlineStr">
        <is>
          <t>SCA</t>
        </is>
      </c>
      <c r="G6464" t="n">
        <v>0.9</v>
      </c>
      <c r="H6464" t="n">
        <v>0</v>
      </c>
      <c r="I6464" t="n">
        <v>0</v>
      </c>
      <c r="J6464" t="n">
        <v>0</v>
      </c>
      <c r="K6464" t="n">
        <v>0</v>
      </c>
      <c r="L6464" t="n">
        <v>0</v>
      </c>
      <c r="M6464" t="n">
        <v>0</v>
      </c>
      <c r="N6464" t="n">
        <v>0</v>
      </c>
      <c r="O6464" t="n">
        <v>0</v>
      </c>
      <c r="P6464" t="n">
        <v>0</v>
      </c>
      <c r="Q6464" t="n">
        <v>0</v>
      </c>
      <c r="R6464" s="2" t="inlineStr"/>
    </row>
    <row r="6465" ht="15" customHeight="1">
      <c r="A6465" t="inlineStr">
        <is>
          <t>A 25694-2023</t>
        </is>
      </c>
      <c r="B6465" s="1" t="n">
        <v>45089</v>
      </c>
      <c r="C6465" s="1" t="n">
        <v>45182</v>
      </c>
      <c r="D6465" t="inlineStr">
        <is>
          <t>JÄMTLANDS LÄN</t>
        </is>
      </c>
      <c r="E6465" t="inlineStr">
        <is>
          <t>RAGUNDA</t>
        </is>
      </c>
      <c r="F6465" t="inlineStr">
        <is>
          <t>SCA</t>
        </is>
      </c>
      <c r="G6465" t="n">
        <v>1.5</v>
      </c>
      <c r="H6465" t="n">
        <v>0</v>
      </c>
      <c r="I6465" t="n">
        <v>0</v>
      </c>
      <c r="J6465" t="n">
        <v>0</v>
      </c>
      <c r="K6465" t="n">
        <v>0</v>
      </c>
      <c r="L6465" t="n">
        <v>0</v>
      </c>
      <c r="M6465" t="n">
        <v>0</v>
      </c>
      <c r="N6465" t="n">
        <v>0</v>
      </c>
      <c r="O6465" t="n">
        <v>0</v>
      </c>
      <c r="P6465" t="n">
        <v>0</v>
      </c>
      <c r="Q6465" t="n">
        <v>0</v>
      </c>
      <c r="R6465" s="2" t="inlineStr"/>
    </row>
    <row r="6466" ht="15" customHeight="1">
      <c r="A6466" t="inlineStr">
        <is>
          <t>A 26521-2023</t>
        </is>
      </c>
      <c r="B6466" s="1" t="n">
        <v>45089</v>
      </c>
      <c r="C6466" s="1" t="n">
        <v>45182</v>
      </c>
      <c r="D6466" t="inlineStr">
        <is>
          <t>JÄMTLANDS LÄN</t>
        </is>
      </c>
      <c r="E6466" t="inlineStr">
        <is>
          <t>ÖSTERSUND</t>
        </is>
      </c>
      <c r="G6466" t="n">
        <v>11.7</v>
      </c>
      <c r="H6466" t="n">
        <v>0</v>
      </c>
      <c r="I6466" t="n">
        <v>0</v>
      </c>
      <c r="J6466" t="n">
        <v>0</v>
      </c>
      <c r="K6466" t="n">
        <v>0</v>
      </c>
      <c r="L6466" t="n">
        <v>0</v>
      </c>
      <c r="M6466" t="n">
        <v>0</v>
      </c>
      <c r="N6466" t="n">
        <v>0</v>
      </c>
      <c r="O6466" t="n">
        <v>0</v>
      </c>
      <c r="P6466" t="n">
        <v>0</v>
      </c>
      <c r="Q6466" t="n">
        <v>0</v>
      </c>
      <c r="R6466" s="2" t="inlineStr"/>
    </row>
    <row r="6467" ht="15" customHeight="1">
      <c r="A6467" t="inlineStr">
        <is>
          <t>A 25430-2023</t>
        </is>
      </c>
      <c r="B6467" s="1" t="n">
        <v>45089</v>
      </c>
      <c r="C6467" s="1" t="n">
        <v>45182</v>
      </c>
      <c r="D6467" t="inlineStr">
        <is>
          <t>JÄMTLANDS LÄN</t>
        </is>
      </c>
      <c r="E6467" t="inlineStr">
        <is>
          <t>RAGUNDA</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25496-2023</t>
        </is>
      </c>
      <c r="B6468" s="1" t="n">
        <v>45089</v>
      </c>
      <c r="C6468" s="1" t="n">
        <v>45182</v>
      </c>
      <c r="D6468" t="inlineStr">
        <is>
          <t>JÄMTLANDS LÄN</t>
        </is>
      </c>
      <c r="E6468" t="inlineStr">
        <is>
          <t>ÖSTERSUND</t>
        </is>
      </c>
      <c r="F6468" t="inlineStr">
        <is>
          <t>Kyrkan</t>
        </is>
      </c>
      <c r="G6468" t="n">
        <v>5.7</v>
      </c>
      <c r="H6468" t="n">
        <v>0</v>
      </c>
      <c r="I6468" t="n">
        <v>0</v>
      </c>
      <c r="J6468" t="n">
        <v>0</v>
      </c>
      <c r="K6468" t="n">
        <v>0</v>
      </c>
      <c r="L6468" t="n">
        <v>0</v>
      </c>
      <c r="M6468" t="n">
        <v>0</v>
      </c>
      <c r="N6468" t="n">
        <v>0</v>
      </c>
      <c r="O6468" t="n">
        <v>0</v>
      </c>
      <c r="P6468" t="n">
        <v>0</v>
      </c>
      <c r="Q6468" t="n">
        <v>0</v>
      </c>
      <c r="R6468" s="2" t="inlineStr"/>
    </row>
    <row r="6469" ht="15" customHeight="1">
      <c r="A6469" t="inlineStr">
        <is>
          <t>A 25678-2023</t>
        </is>
      </c>
      <c r="B6469" s="1" t="n">
        <v>45089</v>
      </c>
      <c r="C6469" s="1" t="n">
        <v>45182</v>
      </c>
      <c r="D6469" t="inlineStr">
        <is>
          <t>JÄMTLANDS LÄN</t>
        </is>
      </c>
      <c r="E6469" t="inlineStr">
        <is>
          <t>BRÄCKE</t>
        </is>
      </c>
      <c r="F6469" t="inlineStr">
        <is>
          <t>SCA</t>
        </is>
      </c>
      <c r="G6469" t="n">
        <v>4.1</v>
      </c>
      <c r="H6469" t="n">
        <v>0</v>
      </c>
      <c r="I6469" t="n">
        <v>0</v>
      </c>
      <c r="J6469" t="n">
        <v>0</v>
      </c>
      <c r="K6469" t="n">
        <v>0</v>
      </c>
      <c r="L6469" t="n">
        <v>0</v>
      </c>
      <c r="M6469" t="n">
        <v>0</v>
      </c>
      <c r="N6469" t="n">
        <v>0</v>
      </c>
      <c r="O6469" t="n">
        <v>0</v>
      </c>
      <c r="P6469" t="n">
        <v>0</v>
      </c>
      <c r="Q6469" t="n">
        <v>0</v>
      </c>
      <c r="R6469" s="2" t="inlineStr"/>
    </row>
    <row r="6470" ht="15" customHeight="1">
      <c r="A6470" t="inlineStr">
        <is>
          <t>A 26476-2023</t>
        </is>
      </c>
      <c r="B6470" s="1" t="n">
        <v>45089</v>
      </c>
      <c r="C6470" s="1" t="n">
        <v>45182</v>
      </c>
      <c r="D6470" t="inlineStr">
        <is>
          <t>JÄMTLANDS LÄN</t>
        </is>
      </c>
      <c r="E6470" t="inlineStr">
        <is>
          <t>BERG</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26565-2023</t>
        </is>
      </c>
      <c r="B6471" s="1" t="n">
        <v>45089</v>
      </c>
      <c r="C6471" s="1" t="n">
        <v>45182</v>
      </c>
      <c r="D6471" t="inlineStr">
        <is>
          <t>JÄMTLANDS LÄN</t>
        </is>
      </c>
      <c r="E6471" t="inlineStr">
        <is>
          <t>ÖSTERSUND</t>
        </is>
      </c>
      <c r="G6471" t="n">
        <v>5.2</v>
      </c>
      <c r="H6471" t="n">
        <v>0</v>
      </c>
      <c r="I6471" t="n">
        <v>0</v>
      </c>
      <c r="J6471" t="n">
        <v>0</v>
      </c>
      <c r="K6471" t="n">
        <v>0</v>
      </c>
      <c r="L6471" t="n">
        <v>0</v>
      </c>
      <c r="M6471" t="n">
        <v>0</v>
      </c>
      <c r="N6471" t="n">
        <v>0</v>
      </c>
      <c r="O6471" t="n">
        <v>0</v>
      </c>
      <c r="P6471" t="n">
        <v>0</v>
      </c>
      <c r="Q6471" t="n">
        <v>0</v>
      </c>
      <c r="R6471" s="2" t="inlineStr"/>
    </row>
    <row r="6472" ht="15" customHeight="1">
      <c r="A6472" t="inlineStr">
        <is>
          <t>A 25789-2023</t>
        </is>
      </c>
      <c r="B6472" s="1" t="n">
        <v>45090</v>
      </c>
      <c r="C6472" s="1" t="n">
        <v>45182</v>
      </c>
      <c r="D6472" t="inlineStr">
        <is>
          <t>JÄMTLANDS LÄN</t>
        </is>
      </c>
      <c r="E6472" t="inlineStr">
        <is>
          <t>ÖSTERSUND</t>
        </is>
      </c>
      <c r="G6472" t="n">
        <v>3.1</v>
      </c>
      <c r="H6472" t="n">
        <v>0</v>
      </c>
      <c r="I6472" t="n">
        <v>0</v>
      </c>
      <c r="J6472" t="n">
        <v>0</v>
      </c>
      <c r="K6472" t="n">
        <v>0</v>
      </c>
      <c r="L6472" t="n">
        <v>0</v>
      </c>
      <c r="M6472" t="n">
        <v>0</v>
      </c>
      <c r="N6472" t="n">
        <v>0</v>
      </c>
      <c r="O6472" t="n">
        <v>0</v>
      </c>
      <c r="P6472" t="n">
        <v>0</v>
      </c>
      <c r="Q6472" t="n">
        <v>0</v>
      </c>
      <c r="R6472" s="2" t="inlineStr"/>
    </row>
    <row r="6473" ht="15" customHeight="1">
      <c r="A6473" t="inlineStr">
        <is>
          <t>A 26693-2023</t>
        </is>
      </c>
      <c r="B6473" s="1" t="n">
        <v>45090</v>
      </c>
      <c r="C6473" s="1" t="n">
        <v>45182</v>
      </c>
      <c r="D6473" t="inlineStr">
        <is>
          <t>JÄMTLANDS LÄN</t>
        </is>
      </c>
      <c r="E6473" t="inlineStr">
        <is>
          <t>KROKOM</t>
        </is>
      </c>
      <c r="G6473" t="n">
        <v>2.7</v>
      </c>
      <c r="H6473" t="n">
        <v>0</v>
      </c>
      <c r="I6473" t="n">
        <v>0</v>
      </c>
      <c r="J6473" t="n">
        <v>0</v>
      </c>
      <c r="K6473" t="n">
        <v>0</v>
      </c>
      <c r="L6473" t="n">
        <v>0</v>
      </c>
      <c r="M6473" t="n">
        <v>0</v>
      </c>
      <c r="N6473" t="n">
        <v>0</v>
      </c>
      <c r="O6473" t="n">
        <v>0</v>
      </c>
      <c r="P6473" t="n">
        <v>0</v>
      </c>
      <c r="Q6473" t="n">
        <v>0</v>
      </c>
      <c r="R6473" s="2" t="inlineStr"/>
    </row>
    <row r="6474" ht="15" customHeight="1">
      <c r="A6474" t="inlineStr">
        <is>
          <t>A 26805-2023</t>
        </is>
      </c>
      <c r="B6474" s="1" t="n">
        <v>45090</v>
      </c>
      <c r="C6474" s="1" t="n">
        <v>45182</v>
      </c>
      <c r="D6474" t="inlineStr">
        <is>
          <t>JÄMTLANDS LÄN</t>
        </is>
      </c>
      <c r="E6474" t="inlineStr">
        <is>
          <t>KROKOM</t>
        </is>
      </c>
      <c r="G6474" t="n">
        <v>20.4</v>
      </c>
      <c r="H6474" t="n">
        <v>0</v>
      </c>
      <c r="I6474" t="n">
        <v>0</v>
      </c>
      <c r="J6474" t="n">
        <v>0</v>
      </c>
      <c r="K6474" t="n">
        <v>0</v>
      </c>
      <c r="L6474" t="n">
        <v>0</v>
      </c>
      <c r="M6474" t="n">
        <v>0</v>
      </c>
      <c r="N6474" t="n">
        <v>0</v>
      </c>
      <c r="O6474" t="n">
        <v>0</v>
      </c>
      <c r="P6474" t="n">
        <v>0</v>
      </c>
      <c r="Q6474" t="n">
        <v>0</v>
      </c>
      <c r="R6474" s="2" t="inlineStr"/>
    </row>
    <row r="6475" ht="15" customHeight="1">
      <c r="A6475" t="inlineStr">
        <is>
          <t>A 26004-2023</t>
        </is>
      </c>
      <c r="B6475" s="1" t="n">
        <v>45090</v>
      </c>
      <c r="C6475" s="1" t="n">
        <v>45182</v>
      </c>
      <c r="D6475" t="inlineStr">
        <is>
          <t>JÄMTLANDS LÄN</t>
        </is>
      </c>
      <c r="E6475" t="inlineStr">
        <is>
          <t>BRÄCKE</t>
        </is>
      </c>
      <c r="F6475" t="inlineStr">
        <is>
          <t>SCA</t>
        </is>
      </c>
      <c r="G6475" t="n">
        <v>4.3</v>
      </c>
      <c r="H6475" t="n">
        <v>0</v>
      </c>
      <c r="I6475" t="n">
        <v>0</v>
      </c>
      <c r="J6475" t="n">
        <v>0</v>
      </c>
      <c r="K6475" t="n">
        <v>0</v>
      </c>
      <c r="L6475" t="n">
        <v>0</v>
      </c>
      <c r="M6475" t="n">
        <v>0</v>
      </c>
      <c r="N6475" t="n">
        <v>0</v>
      </c>
      <c r="O6475" t="n">
        <v>0</v>
      </c>
      <c r="P6475" t="n">
        <v>0</v>
      </c>
      <c r="Q6475" t="n">
        <v>0</v>
      </c>
      <c r="R6475" s="2" t="inlineStr"/>
    </row>
    <row r="6476" ht="15" customHeight="1">
      <c r="A6476" t="inlineStr">
        <is>
          <t>A 26739-2023</t>
        </is>
      </c>
      <c r="B6476" s="1" t="n">
        <v>45090</v>
      </c>
      <c r="C6476" s="1" t="n">
        <v>45182</v>
      </c>
      <c r="D6476" t="inlineStr">
        <is>
          <t>JÄMTLANDS LÄN</t>
        </is>
      </c>
      <c r="E6476" t="inlineStr">
        <is>
          <t>KROKOM</t>
        </is>
      </c>
      <c r="G6476" t="n">
        <v>1.7</v>
      </c>
      <c r="H6476" t="n">
        <v>0</v>
      </c>
      <c r="I6476" t="n">
        <v>0</v>
      </c>
      <c r="J6476" t="n">
        <v>0</v>
      </c>
      <c r="K6476" t="n">
        <v>0</v>
      </c>
      <c r="L6476" t="n">
        <v>0</v>
      </c>
      <c r="M6476" t="n">
        <v>0</v>
      </c>
      <c r="N6476" t="n">
        <v>0</v>
      </c>
      <c r="O6476" t="n">
        <v>0</v>
      </c>
      <c r="P6476" t="n">
        <v>0</v>
      </c>
      <c r="Q6476" t="n">
        <v>0</v>
      </c>
      <c r="R6476" s="2" t="inlineStr"/>
    </row>
    <row r="6477" ht="15" customHeight="1">
      <c r="A6477" t="inlineStr">
        <is>
          <t>A 25708-2023</t>
        </is>
      </c>
      <c r="B6477" s="1" t="n">
        <v>45090</v>
      </c>
      <c r="C6477" s="1" t="n">
        <v>45182</v>
      </c>
      <c r="D6477" t="inlineStr">
        <is>
          <t>JÄMTLANDS LÄN</t>
        </is>
      </c>
      <c r="E6477" t="inlineStr">
        <is>
          <t>RAGUNDA</t>
        </is>
      </c>
      <c r="G6477" t="n">
        <v>16.1</v>
      </c>
      <c r="H6477" t="n">
        <v>0</v>
      </c>
      <c r="I6477" t="n">
        <v>0</v>
      </c>
      <c r="J6477" t="n">
        <v>0</v>
      </c>
      <c r="K6477" t="n">
        <v>0</v>
      </c>
      <c r="L6477" t="n">
        <v>0</v>
      </c>
      <c r="M6477" t="n">
        <v>0</v>
      </c>
      <c r="N6477" t="n">
        <v>0</v>
      </c>
      <c r="O6477" t="n">
        <v>0</v>
      </c>
      <c r="P6477" t="n">
        <v>0</v>
      </c>
      <c r="Q6477" t="n">
        <v>0</v>
      </c>
      <c r="R6477" s="2" t="inlineStr"/>
    </row>
    <row r="6478" ht="15" customHeight="1">
      <c r="A6478" t="inlineStr">
        <is>
          <t>A 26721-2023</t>
        </is>
      </c>
      <c r="B6478" s="1" t="n">
        <v>45090</v>
      </c>
      <c r="C6478" s="1" t="n">
        <v>45182</v>
      </c>
      <c r="D6478" t="inlineStr">
        <is>
          <t>JÄMTLANDS LÄN</t>
        </is>
      </c>
      <c r="E6478" t="inlineStr">
        <is>
          <t>KROKOM</t>
        </is>
      </c>
      <c r="G6478" t="n">
        <v>1</v>
      </c>
      <c r="H6478" t="n">
        <v>0</v>
      </c>
      <c r="I6478" t="n">
        <v>0</v>
      </c>
      <c r="J6478" t="n">
        <v>0</v>
      </c>
      <c r="K6478" t="n">
        <v>0</v>
      </c>
      <c r="L6478" t="n">
        <v>0</v>
      </c>
      <c r="M6478" t="n">
        <v>0</v>
      </c>
      <c r="N6478" t="n">
        <v>0</v>
      </c>
      <c r="O6478" t="n">
        <v>0</v>
      </c>
      <c r="P6478" t="n">
        <v>0</v>
      </c>
      <c r="Q6478" t="n">
        <v>0</v>
      </c>
      <c r="R6478" s="2" t="inlineStr"/>
    </row>
    <row r="6479" ht="15" customHeight="1">
      <c r="A6479" t="inlineStr">
        <is>
          <t>A 26351-2023</t>
        </is>
      </c>
      <c r="B6479" s="1" t="n">
        <v>45091</v>
      </c>
      <c r="C6479" s="1" t="n">
        <v>45182</v>
      </c>
      <c r="D6479" t="inlineStr">
        <is>
          <t>JÄMTLANDS LÄN</t>
        </is>
      </c>
      <c r="E6479" t="inlineStr">
        <is>
          <t>BRÄCKE</t>
        </is>
      </c>
      <c r="F6479" t="inlineStr">
        <is>
          <t>SCA</t>
        </is>
      </c>
      <c r="G6479" t="n">
        <v>7.8</v>
      </c>
      <c r="H6479" t="n">
        <v>0</v>
      </c>
      <c r="I6479" t="n">
        <v>0</v>
      </c>
      <c r="J6479" t="n">
        <v>0</v>
      </c>
      <c r="K6479" t="n">
        <v>0</v>
      </c>
      <c r="L6479" t="n">
        <v>0</v>
      </c>
      <c r="M6479" t="n">
        <v>0</v>
      </c>
      <c r="N6479" t="n">
        <v>0</v>
      </c>
      <c r="O6479" t="n">
        <v>0</v>
      </c>
      <c r="P6479" t="n">
        <v>0</v>
      </c>
      <c r="Q6479" t="n">
        <v>0</v>
      </c>
      <c r="R6479" s="2" t="inlineStr"/>
    </row>
    <row r="6480" ht="15" customHeight="1">
      <c r="A6480" t="inlineStr">
        <is>
          <t>A 26347-2023</t>
        </is>
      </c>
      <c r="B6480" s="1" t="n">
        <v>45091</v>
      </c>
      <c r="C6480" s="1" t="n">
        <v>45182</v>
      </c>
      <c r="D6480" t="inlineStr">
        <is>
          <t>JÄMTLANDS LÄN</t>
        </is>
      </c>
      <c r="E6480" t="inlineStr">
        <is>
          <t>RAGUNDA</t>
        </is>
      </c>
      <c r="F6480" t="inlineStr">
        <is>
          <t>SCA</t>
        </is>
      </c>
      <c r="G6480" t="n">
        <v>6.6</v>
      </c>
      <c r="H6480" t="n">
        <v>0</v>
      </c>
      <c r="I6480" t="n">
        <v>0</v>
      </c>
      <c r="J6480" t="n">
        <v>0</v>
      </c>
      <c r="K6480" t="n">
        <v>0</v>
      </c>
      <c r="L6480" t="n">
        <v>0</v>
      </c>
      <c r="M6480" t="n">
        <v>0</v>
      </c>
      <c r="N6480" t="n">
        <v>0</v>
      </c>
      <c r="O6480" t="n">
        <v>0</v>
      </c>
      <c r="P6480" t="n">
        <v>0</v>
      </c>
      <c r="Q6480" t="n">
        <v>0</v>
      </c>
      <c r="R6480" s="2" t="inlineStr"/>
    </row>
    <row r="6481" ht="15" customHeight="1">
      <c r="A6481" t="inlineStr">
        <is>
          <t>A 26960-2023</t>
        </is>
      </c>
      <c r="B6481" s="1" t="n">
        <v>45091</v>
      </c>
      <c r="C6481" s="1" t="n">
        <v>45182</v>
      </c>
      <c r="D6481" t="inlineStr">
        <is>
          <t>JÄMTLANDS LÄN</t>
        </is>
      </c>
      <c r="E6481" t="inlineStr">
        <is>
          <t>ÅRE</t>
        </is>
      </c>
      <c r="G6481" t="n">
        <v>2.4</v>
      </c>
      <c r="H6481" t="n">
        <v>0</v>
      </c>
      <c r="I6481" t="n">
        <v>0</v>
      </c>
      <c r="J6481" t="n">
        <v>0</v>
      </c>
      <c r="K6481" t="n">
        <v>0</v>
      </c>
      <c r="L6481" t="n">
        <v>0</v>
      </c>
      <c r="M6481" t="n">
        <v>0</v>
      </c>
      <c r="N6481" t="n">
        <v>0</v>
      </c>
      <c r="O6481" t="n">
        <v>0</v>
      </c>
      <c r="P6481" t="n">
        <v>0</v>
      </c>
      <c r="Q6481" t="n">
        <v>0</v>
      </c>
      <c r="R6481" s="2" t="inlineStr"/>
    </row>
    <row r="6482" ht="15" customHeight="1">
      <c r="A6482" t="inlineStr">
        <is>
          <t>A 26345-2023</t>
        </is>
      </c>
      <c r="B6482" s="1" t="n">
        <v>45091</v>
      </c>
      <c r="C6482" s="1" t="n">
        <v>45182</v>
      </c>
      <c r="D6482" t="inlineStr">
        <is>
          <t>JÄMTLANDS LÄN</t>
        </is>
      </c>
      <c r="E6482" t="inlineStr">
        <is>
          <t>BRÄCKE</t>
        </is>
      </c>
      <c r="F6482" t="inlineStr">
        <is>
          <t>SCA</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26368-2023</t>
        </is>
      </c>
      <c r="B6483" s="1" t="n">
        <v>45091</v>
      </c>
      <c r="C6483" s="1" t="n">
        <v>45182</v>
      </c>
      <c r="D6483" t="inlineStr">
        <is>
          <t>JÄMTLANDS LÄN</t>
        </is>
      </c>
      <c r="E6483" t="inlineStr">
        <is>
          <t>STRÖMSUND</t>
        </is>
      </c>
      <c r="F6483" t="inlineStr">
        <is>
          <t>SCA</t>
        </is>
      </c>
      <c r="G6483" t="n">
        <v>3.5</v>
      </c>
      <c r="H6483" t="n">
        <v>0</v>
      </c>
      <c r="I6483" t="n">
        <v>0</v>
      </c>
      <c r="J6483" t="n">
        <v>0</v>
      </c>
      <c r="K6483" t="n">
        <v>0</v>
      </c>
      <c r="L6483" t="n">
        <v>0</v>
      </c>
      <c r="M6483" t="n">
        <v>0</v>
      </c>
      <c r="N6483" t="n">
        <v>0</v>
      </c>
      <c r="O6483" t="n">
        <v>0</v>
      </c>
      <c r="P6483" t="n">
        <v>0</v>
      </c>
      <c r="Q6483" t="n">
        <v>0</v>
      </c>
      <c r="R6483" s="2" t="inlineStr"/>
    </row>
    <row r="6484" ht="15" customHeight="1">
      <c r="A6484" t="inlineStr">
        <is>
          <t>A 26646-2023</t>
        </is>
      </c>
      <c r="B6484" s="1" t="n">
        <v>45092</v>
      </c>
      <c r="C6484" s="1" t="n">
        <v>45182</v>
      </c>
      <c r="D6484" t="inlineStr">
        <is>
          <t>JÄMTLANDS LÄN</t>
        </is>
      </c>
      <c r="E6484" t="inlineStr">
        <is>
          <t>RAGUNDA</t>
        </is>
      </c>
      <c r="G6484" t="n">
        <v>1.4</v>
      </c>
      <c r="H6484" t="n">
        <v>0</v>
      </c>
      <c r="I6484" t="n">
        <v>0</v>
      </c>
      <c r="J6484" t="n">
        <v>0</v>
      </c>
      <c r="K6484" t="n">
        <v>0</v>
      </c>
      <c r="L6484" t="n">
        <v>0</v>
      </c>
      <c r="M6484" t="n">
        <v>0</v>
      </c>
      <c r="N6484" t="n">
        <v>0</v>
      </c>
      <c r="O6484" t="n">
        <v>0</v>
      </c>
      <c r="P6484" t="n">
        <v>0</v>
      </c>
      <c r="Q6484" t="n">
        <v>0</v>
      </c>
      <c r="R6484" s="2" t="inlineStr"/>
    </row>
    <row r="6485" ht="15" customHeight="1">
      <c r="A6485" t="inlineStr">
        <is>
          <t>A 27085-2023</t>
        </is>
      </c>
      <c r="B6485" s="1" t="n">
        <v>45092</v>
      </c>
      <c r="C6485" s="1" t="n">
        <v>45182</v>
      </c>
      <c r="D6485" t="inlineStr">
        <is>
          <t>JÄMTLANDS LÄN</t>
        </is>
      </c>
      <c r="E6485" t="inlineStr">
        <is>
          <t>RAGUNDA</t>
        </is>
      </c>
      <c r="G6485" t="n">
        <v>4</v>
      </c>
      <c r="H6485" t="n">
        <v>0</v>
      </c>
      <c r="I6485" t="n">
        <v>0</v>
      </c>
      <c r="J6485" t="n">
        <v>0</v>
      </c>
      <c r="K6485" t="n">
        <v>0</v>
      </c>
      <c r="L6485" t="n">
        <v>0</v>
      </c>
      <c r="M6485" t="n">
        <v>0</v>
      </c>
      <c r="N6485" t="n">
        <v>0</v>
      </c>
      <c r="O6485" t="n">
        <v>0</v>
      </c>
      <c r="P6485" t="n">
        <v>0</v>
      </c>
      <c r="Q6485" t="n">
        <v>0</v>
      </c>
      <c r="R6485" s="2" t="inlineStr"/>
    </row>
    <row r="6486" ht="15" customHeight="1">
      <c r="A6486" t="inlineStr">
        <is>
          <t>A 26659-2023</t>
        </is>
      </c>
      <c r="B6486" s="1" t="n">
        <v>45092</v>
      </c>
      <c r="C6486" s="1" t="n">
        <v>45182</v>
      </c>
      <c r="D6486" t="inlineStr">
        <is>
          <t>JÄMTLANDS LÄN</t>
        </is>
      </c>
      <c r="E6486" t="inlineStr">
        <is>
          <t>STRÖMSUND</t>
        </is>
      </c>
      <c r="F6486" t="inlineStr">
        <is>
          <t>SCA</t>
        </is>
      </c>
      <c r="G6486" t="n">
        <v>8.300000000000001</v>
      </c>
      <c r="H6486" t="n">
        <v>0</v>
      </c>
      <c r="I6486" t="n">
        <v>0</v>
      </c>
      <c r="J6486" t="n">
        <v>0</v>
      </c>
      <c r="K6486" t="n">
        <v>0</v>
      </c>
      <c r="L6486" t="n">
        <v>0</v>
      </c>
      <c r="M6486" t="n">
        <v>0</v>
      </c>
      <c r="N6486" t="n">
        <v>0</v>
      </c>
      <c r="O6486" t="n">
        <v>0</v>
      </c>
      <c r="P6486" t="n">
        <v>0</v>
      </c>
      <c r="Q6486" t="n">
        <v>0</v>
      </c>
      <c r="R6486" s="2" t="inlineStr"/>
    </row>
    <row r="6487" ht="15" customHeight="1">
      <c r="A6487" t="inlineStr">
        <is>
          <t>A 26455-2023</t>
        </is>
      </c>
      <c r="B6487" s="1" t="n">
        <v>45092</v>
      </c>
      <c r="C6487" s="1" t="n">
        <v>45182</v>
      </c>
      <c r="D6487" t="inlineStr">
        <is>
          <t>JÄMTLANDS LÄN</t>
        </is>
      </c>
      <c r="E6487" t="inlineStr">
        <is>
          <t>RAGUNDA</t>
        </is>
      </c>
      <c r="G6487" t="n">
        <v>3.8</v>
      </c>
      <c r="H6487" t="n">
        <v>0</v>
      </c>
      <c r="I6487" t="n">
        <v>0</v>
      </c>
      <c r="J6487" t="n">
        <v>0</v>
      </c>
      <c r="K6487" t="n">
        <v>0</v>
      </c>
      <c r="L6487" t="n">
        <v>0</v>
      </c>
      <c r="M6487" t="n">
        <v>0</v>
      </c>
      <c r="N6487" t="n">
        <v>0</v>
      </c>
      <c r="O6487" t="n">
        <v>0</v>
      </c>
      <c r="P6487" t="n">
        <v>0</v>
      </c>
      <c r="Q6487" t="n">
        <v>0</v>
      </c>
      <c r="R6487" s="2" t="inlineStr"/>
    </row>
    <row r="6488" ht="15" customHeight="1">
      <c r="A6488" t="inlineStr">
        <is>
          <t>A 27091-2023</t>
        </is>
      </c>
      <c r="B6488" s="1" t="n">
        <v>45092</v>
      </c>
      <c r="C6488" s="1" t="n">
        <v>45182</v>
      </c>
      <c r="D6488" t="inlineStr">
        <is>
          <t>JÄMTLANDS LÄN</t>
        </is>
      </c>
      <c r="E6488" t="inlineStr">
        <is>
          <t>RAGUNDA</t>
        </is>
      </c>
      <c r="G6488" t="n">
        <v>3.6</v>
      </c>
      <c r="H6488" t="n">
        <v>0</v>
      </c>
      <c r="I6488" t="n">
        <v>0</v>
      </c>
      <c r="J6488" t="n">
        <v>0</v>
      </c>
      <c r="K6488" t="n">
        <v>0</v>
      </c>
      <c r="L6488" t="n">
        <v>0</v>
      </c>
      <c r="M6488" t="n">
        <v>0</v>
      </c>
      <c r="N6488" t="n">
        <v>0</v>
      </c>
      <c r="O6488" t="n">
        <v>0</v>
      </c>
      <c r="P6488" t="n">
        <v>0</v>
      </c>
      <c r="Q6488" t="n">
        <v>0</v>
      </c>
      <c r="R6488" s="2" t="inlineStr"/>
    </row>
    <row r="6489" ht="15" customHeight="1">
      <c r="A6489" t="inlineStr">
        <is>
          <t>A 27239-2023</t>
        </is>
      </c>
      <c r="B6489" s="1" t="n">
        <v>45092</v>
      </c>
      <c r="C6489" s="1" t="n">
        <v>45182</v>
      </c>
      <c r="D6489" t="inlineStr">
        <is>
          <t>JÄMTLANDS LÄN</t>
        </is>
      </c>
      <c r="E6489" t="inlineStr">
        <is>
          <t>BERG</t>
        </is>
      </c>
      <c r="G6489" t="n">
        <v>5.3</v>
      </c>
      <c r="H6489" t="n">
        <v>0</v>
      </c>
      <c r="I6489" t="n">
        <v>0</v>
      </c>
      <c r="J6489" t="n">
        <v>0</v>
      </c>
      <c r="K6489" t="n">
        <v>0</v>
      </c>
      <c r="L6489" t="n">
        <v>0</v>
      </c>
      <c r="M6489" t="n">
        <v>0</v>
      </c>
      <c r="N6489" t="n">
        <v>0</v>
      </c>
      <c r="O6489" t="n">
        <v>0</v>
      </c>
      <c r="P6489" t="n">
        <v>0</v>
      </c>
      <c r="Q6489" t="n">
        <v>0</v>
      </c>
      <c r="R6489" s="2" t="inlineStr"/>
    </row>
    <row r="6490" ht="15" customHeight="1">
      <c r="A6490" t="inlineStr">
        <is>
          <t>A 27294-2023</t>
        </is>
      </c>
      <c r="B6490" s="1" t="n">
        <v>45092</v>
      </c>
      <c r="C6490" s="1" t="n">
        <v>45182</v>
      </c>
      <c r="D6490" t="inlineStr">
        <is>
          <t>JÄMTLANDS LÄN</t>
        </is>
      </c>
      <c r="E6490" t="inlineStr">
        <is>
          <t>ÖSTERSUND</t>
        </is>
      </c>
      <c r="G6490" t="n">
        <v>2.8</v>
      </c>
      <c r="H6490" t="n">
        <v>0</v>
      </c>
      <c r="I6490" t="n">
        <v>0</v>
      </c>
      <c r="J6490" t="n">
        <v>0</v>
      </c>
      <c r="K6490" t="n">
        <v>0</v>
      </c>
      <c r="L6490" t="n">
        <v>0</v>
      </c>
      <c r="M6490" t="n">
        <v>0</v>
      </c>
      <c r="N6490" t="n">
        <v>0</v>
      </c>
      <c r="O6490" t="n">
        <v>0</v>
      </c>
      <c r="P6490" t="n">
        <v>0</v>
      </c>
      <c r="Q6490" t="n">
        <v>0</v>
      </c>
      <c r="R6490" s="2" t="inlineStr"/>
    </row>
    <row r="6491" ht="15" customHeight="1">
      <c r="A6491" t="inlineStr">
        <is>
          <t>A 27001-2023</t>
        </is>
      </c>
      <c r="B6491" s="1" t="n">
        <v>45093</v>
      </c>
      <c r="C6491" s="1" t="n">
        <v>45182</v>
      </c>
      <c r="D6491" t="inlineStr">
        <is>
          <t>JÄMTLANDS LÄN</t>
        </is>
      </c>
      <c r="E6491" t="inlineStr">
        <is>
          <t>STRÖMSUND</t>
        </is>
      </c>
      <c r="F6491" t="inlineStr">
        <is>
          <t>SCA</t>
        </is>
      </c>
      <c r="G6491" t="n">
        <v>3.3</v>
      </c>
      <c r="H6491" t="n">
        <v>0</v>
      </c>
      <c r="I6491" t="n">
        <v>0</v>
      </c>
      <c r="J6491" t="n">
        <v>0</v>
      </c>
      <c r="K6491" t="n">
        <v>0</v>
      </c>
      <c r="L6491" t="n">
        <v>0</v>
      </c>
      <c r="M6491" t="n">
        <v>0</v>
      </c>
      <c r="N6491" t="n">
        <v>0</v>
      </c>
      <c r="O6491" t="n">
        <v>0</v>
      </c>
      <c r="P6491" t="n">
        <v>0</v>
      </c>
      <c r="Q6491" t="n">
        <v>0</v>
      </c>
      <c r="R6491" s="2" t="inlineStr"/>
    </row>
    <row r="6492" ht="15" customHeight="1">
      <c r="A6492" t="inlineStr">
        <is>
          <t>A 26993-2023</t>
        </is>
      </c>
      <c r="B6492" s="1" t="n">
        <v>45093</v>
      </c>
      <c r="C6492" s="1" t="n">
        <v>45182</v>
      </c>
      <c r="D6492" t="inlineStr">
        <is>
          <t>JÄMTLANDS LÄN</t>
        </is>
      </c>
      <c r="E6492" t="inlineStr">
        <is>
          <t>RAGUNDA</t>
        </is>
      </c>
      <c r="G6492" t="n">
        <v>1.1</v>
      </c>
      <c r="H6492" t="n">
        <v>0</v>
      </c>
      <c r="I6492" t="n">
        <v>0</v>
      </c>
      <c r="J6492" t="n">
        <v>0</v>
      </c>
      <c r="K6492" t="n">
        <v>0</v>
      </c>
      <c r="L6492" t="n">
        <v>0</v>
      </c>
      <c r="M6492" t="n">
        <v>0</v>
      </c>
      <c r="N6492" t="n">
        <v>0</v>
      </c>
      <c r="O6492" t="n">
        <v>0</v>
      </c>
      <c r="P6492" t="n">
        <v>0</v>
      </c>
      <c r="Q6492" t="n">
        <v>0</v>
      </c>
      <c r="R6492" s="2" t="inlineStr"/>
    </row>
    <row r="6493" ht="15" customHeight="1">
      <c r="A6493" t="inlineStr">
        <is>
          <t>A 26995-2023</t>
        </is>
      </c>
      <c r="B6493" s="1" t="n">
        <v>45093</v>
      </c>
      <c r="C6493" s="1" t="n">
        <v>45182</v>
      </c>
      <c r="D6493" t="inlineStr">
        <is>
          <t>JÄMTLANDS LÄN</t>
        </is>
      </c>
      <c r="E6493" t="inlineStr">
        <is>
          <t>RAGUNDA</t>
        </is>
      </c>
      <c r="G6493" t="n">
        <v>1.7</v>
      </c>
      <c r="H6493" t="n">
        <v>0</v>
      </c>
      <c r="I6493" t="n">
        <v>0</v>
      </c>
      <c r="J6493" t="n">
        <v>0</v>
      </c>
      <c r="K6493" t="n">
        <v>0</v>
      </c>
      <c r="L6493" t="n">
        <v>0</v>
      </c>
      <c r="M6493" t="n">
        <v>0</v>
      </c>
      <c r="N6493" t="n">
        <v>0</v>
      </c>
      <c r="O6493" t="n">
        <v>0</v>
      </c>
      <c r="P6493" t="n">
        <v>0</v>
      </c>
      <c r="Q6493" t="n">
        <v>0</v>
      </c>
      <c r="R6493" s="2" t="inlineStr"/>
    </row>
    <row r="6494" ht="15" customHeight="1">
      <c r="A6494" t="inlineStr">
        <is>
          <t>A 27368-2023</t>
        </is>
      </c>
      <c r="B6494" s="1" t="n">
        <v>45096</v>
      </c>
      <c r="C6494" s="1" t="n">
        <v>45182</v>
      </c>
      <c r="D6494" t="inlineStr">
        <is>
          <t>JÄMTLANDS LÄN</t>
        </is>
      </c>
      <c r="E6494" t="inlineStr">
        <is>
          <t>STRÖMSUND</t>
        </is>
      </c>
      <c r="F6494" t="inlineStr">
        <is>
          <t>SCA</t>
        </is>
      </c>
      <c r="G6494" t="n">
        <v>3.7</v>
      </c>
      <c r="H6494" t="n">
        <v>0</v>
      </c>
      <c r="I6494" t="n">
        <v>0</v>
      </c>
      <c r="J6494" t="n">
        <v>0</v>
      </c>
      <c r="K6494" t="n">
        <v>0</v>
      </c>
      <c r="L6494" t="n">
        <v>0</v>
      </c>
      <c r="M6494" t="n">
        <v>0</v>
      </c>
      <c r="N6494" t="n">
        <v>0</v>
      </c>
      <c r="O6494" t="n">
        <v>0</v>
      </c>
      <c r="P6494" t="n">
        <v>0</v>
      </c>
      <c r="Q6494" t="n">
        <v>0</v>
      </c>
      <c r="R6494" s="2" t="inlineStr"/>
    </row>
    <row r="6495" ht="15" customHeight="1">
      <c r="A6495" t="inlineStr">
        <is>
          <t>A 27389-2023</t>
        </is>
      </c>
      <c r="B6495" s="1" t="n">
        <v>45096</v>
      </c>
      <c r="C6495" s="1" t="n">
        <v>45182</v>
      </c>
      <c r="D6495" t="inlineStr">
        <is>
          <t>JÄMTLANDS LÄN</t>
        </is>
      </c>
      <c r="E6495" t="inlineStr">
        <is>
          <t>STRÖMSUND</t>
        </is>
      </c>
      <c r="F6495" t="inlineStr">
        <is>
          <t>SCA</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28796-2023</t>
        </is>
      </c>
      <c r="B6496" s="1" t="n">
        <v>45096</v>
      </c>
      <c r="C6496" s="1" t="n">
        <v>45182</v>
      </c>
      <c r="D6496" t="inlineStr">
        <is>
          <t>JÄMTLANDS LÄN</t>
        </is>
      </c>
      <c r="E6496" t="inlineStr">
        <is>
          <t>BRÄCKE</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28685-2023</t>
        </is>
      </c>
      <c r="B6497" s="1" t="n">
        <v>45096</v>
      </c>
      <c r="C6497" s="1" t="n">
        <v>45182</v>
      </c>
      <c r="D6497" t="inlineStr">
        <is>
          <t>JÄMTLANDS LÄN</t>
        </is>
      </c>
      <c r="E6497" t="inlineStr">
        <is>
          <t>RAGUNDA</t>
        </is>
      </c>
      <c r="G6497" t="n">
        <v>2.1</v>
      </c>
      <c r="H6497" t="n">
        <v>0</v>
      </c>
      <c r="I6497" t="n">
        <v>0</v>
      </c>
      <c r="J6497" t="n">
        <v>0</v>
      </c>
      <c r="K6497" t="n">
        <v>0</v>
      </c>
      <c r="L6497" t="n">
        <v>0</v>
      </c>
      <c r="M6497" t="n">
        <v>0</v>
      </c>
      <c r="N6497" t="n">
        <v>0</v>
      </c>
      <c r="O6497" t="n">
        <v>0</v>
      </c>
      <c r="P6497" t="n">
        <v>0</v>
      </c>
      <c r="Q6497" t="n">
        <v>0</v>
      </c>
      <c r="R6497" s="2" t="inlineStr"/>
    </row>
    <row r="6498" ht="15" customHeight="1">
      <c r="A6498" t="inlineStr">
        <is>
          <t>A 27354-2023</t>
        </is>
      </c>
      <c r="B6498" s="1" t="n">
        <v>45096</v>
      </c>
      <c r="C6498" s="1" t="n">
        <v>45182</v>
      </c>
      <c r="D6498" t="inlineStr">
        <is>
          <t>JÄMTLANDS LÄN</t>
        </is>
      </c>
      <c r="E6498" t="inlineStr">
        <is>
          <t>BRÄCKE</t>
        </is>
      </c>
      <c r="G6498" t="n">
        <v>2.3</v>
      </c>
      <c r="H6498" t="n">
        <v>0</v>
      </c>
      <c r="I6498" t="n">
        <v>0</v>
      </c>
      <c r="J6498" t="n">
        <v>0</v>
      </c>
      <c r="K6498" t="n">
        <v>0</v>
      </c>
      <c r="L6498" t="n">
        <v>0</v>
      </c>
      <c r="M6498" t="n">
        <v>0</v>
      </c>
      <c r="N6498" t="n">
        <v>0</v>
      </c>
      <c r="O6498" t="n">
        <v>0</v>
      </c>
      <c r="P6498" t="n">
        <v>0</v>
      </c>
      <c r="Q6498" t="n">
        <v>0</v>
      </c>
      <c r="R6498" s="2" t="inlineStr"/>
    </row>
    <row r="6499" ht="15" customHeight="1">
      <c r="A6499" t="inlineStr">
        <is>
          <t>A 27377-2023</t>
        </is>
      </c>
      <c r="B6499" s="1" t="n">
        <v>45096</v>
      </c>
      <c r="C6499" s="1" t="n">
        <v>45182</v>
      </c>
      <c r="D6499" t="inlineStr">
        <is>
          <t>JÄMTLANDS LÄN</t>
        </is>
      </c>
      <c r="E6499" t="inlineStr">
        <is>
          <t>BERG</t>
        </is>
      </c>
      <c r="F6499" t="inlineStr">
        <is>
          <t>SCA</t>
        </is>
      </c>
      <c r="G6499" t="n">
        <v>25.3</v>
      </c>
      <c r="H6499" t="n">
        <v>0</v>
      </c>
      <c r="I6499" t="n">
        <v>0</v>
      </c>
      <c r="J6499" t="n">
        <v>0</v>
      </c>
      <c r="K6499" t="n">
        <v>0</v>
      </c>
      <c r="L6499" t="n">
        <v>0</v>
      </c>
      <c r="M6499" t="n">
        <v>0</v>
      </c>
      <c r="N6499" t="n">
        <v>0</v>
      </c>
      <c r="O6499" t="n">
        <v>0</v>
      </c>
      <c r="P6499" t="n">
        <v>0</v>
      </c>
      <c r="Q6499" t="n">
        <v>0</v>
      </c>
      <c r="R6499" s="2" t="inlineStr"/>
    </row>
    <row r="6500" ht="15" customHeight="1">
      <c r="A6500" t="inlineStr">
        <is>
          <t>A 28137-2023</t>
        </is>
      </c>
      <c r="B6500" s="1" t="n">
        <v>45096</v>
      </c>
      <c r="C6500" s="1" t="n">
        <v>45182</v>
      </c>
      <c r="D6500" t="inlineStr">
        <is>
          <t>JÄMTLANDS LÄN</t>
        </is>
      </c>
      <c r="E6500" t="inlineStr">
        <is>
          <t>KROKOM</t>
        </is>
      </c>
      <c r="G6500" t="n">
        <v>1</v>
      </c>
      <c r="H6500" t="n">
        <v>0</v>
      </c>
      <c r="I6500" t="n">
        <v>0</v>
      </c>
      <c r="J6500" t="n">
        <v>0</v>
      </c>
      <c r="K6500" t="n">
        <v>0</v>
      </c>
      <c r="L6500" t="n">
        <v>0</v>
      </c>
      <c r="M6500" t="n">
        <v>0</v>
      </c>
      <c r="N6500" t="n">
        <v>0</v>
      </c>
      <c r="O6500" t="n">
        <v>0</v>
      </c>
      <c r="P6500" t="n">
        <v>0</v>
      </c>
      <c r="Q6500" t="n">
        <v>0</v>
      </c>
      <c r="R6500" s="2" t="inlineStr"/>
    </row>
    <row r="6501" ht="15" customHeight="1">
      <c r="A6501" t="inlineStr">
        <is>
          <t>A 28801-2023</t>
        </is>
      </c>
      <c r="B6501" s="1" t="n">
        <v>45096</v>
      </c>
      <c r="C6501" s="1" t="n">
        <v>45182</v>
      </c>
      <c r="D6501" t="inlineStr">
        <is>
          <t>JÄMTLANDS LÄN</t>
        </is>
      </c>
      <c r="E6501" t="inlineStr">
        <is>
          <t>BRÄCKE</t>
        </is>
      </c>
      <c r="G6501" t="n">
        <v>1.5</v>
      </c>
      <c r="H6501" t="n">
        <v>0</v>
      </c>
      <c r="I6501" t="n">
        <v>0</v>
      </c>
      <c r="J6501" t="n">
        <v>0</v>
      </c>
      <c r="K6501" t="n">
        <v>0</v>
      </c>
      <c r="L6501" t="n">
        <v>0</v>
      </c>
      <c r="M6501" t="n">
        <v>0</v>
      </c>
      <c r="N6501" t="n">
        <v>0</v>
      </c>
      <c r="O6501" t="n">
        <v>0</v>
      </c>
      <c r="P6501" t="n">
        <v>0</v>
      </c>
      <c r="Q6501" t="n">
        <v>0</v>
      </c>
      <c r="R6501" s="2" t="inlineStr"/>
    </row>
    <row r="6502" ht="15" customHeight="1">
      <c r="A6502" t="inlineStr">
        <is>
          <t>A 27118-2023</t>
        </is>
      </c>
      <c r="B6502" s="1" t="n">
        <v>45096</v>
      </c>
      <c r="C6502" s="1" t="n">
        <v>45182</v>
      </c>
      <c r="D6502" t="inlineStr">
        <is>
          <t>JÄMTLANDS LÄN</t>
        </is>
      </c>
      <c r="E6502" t="inlineStr">
        <is>
          <t>ÖSTERSUND</t>
        </is>
      </c>
      <c r="G6502" t="n">
        <v>1.2</v>
      </c>
      <c r="H6502" t="n">
        <v>0</v>
      </c>
      <c r="I6502" t="n">
        <v>0</v>
      </c>
      <c r="J6502" t="n">
        <v>0</v>
      </c>
      <c r="K6502" t="n">
        <v>0</v>
      </c>
      <c r="L6502" t="n">
        <v>0</v>
      </c>
      <c r="M6502" t="n">
        <v>0</v>
      </c>
      <c r="N6502" t="n">
        <v>0</v>
      </c>
      <c r="O6502" t="n">
        <v>0</v>
      </c>
      <c r="P6502" t="n">
        <v>0</v>
      </c>
      <c r="Q6502" t="n">
        <v>0</v>
      </c>
      <c r="R6502" s="2" t="inlineStr"/>
    </row>
    <row r="6503" ht="15" customHeight="1">
      <c r="A6503" t="inlineStr">
        <is>
          <t>A 27124-2023</t>
        </is>
      </c>
      <c r="B6503" s="1" t="n">
        <v>45096</v>
      </c>
      <c r="C6503" s="1" t="n">
        <v>45182</v>
      </c>
      <c r="D6503" t="inlineStr">
        <is>
          <t>JÄMTLANDS LÄN</t>
        </is>
      </c>
      <c r="E6503" t="inlineStr">
        <is>
          <t>ÖSTERSUND</t>
        </is>
      </c>
      <c r="G6503" t="n">
        <v>1.9</v>
      </c>
      <c r="H6503" t="n">
        <v>0</v>
      </c>
      <c r="I6503" t="n">
        <v>0</v>
      </c>
      <c r="J6503" t="n">
        <v>0</v>
      </c>
      <c r="K6503" t="n">
        <v>0</v>
      </c>
      <c r="L6503" t="n">
        <v>0</v>
      </c>
      <c r="M6503" t="n">
        <v>0</v>
      </c>
      <c r="N6503" t="n">
        <v>0</v>
      </c>
      <c r="O6503" t="n">
        <v>0</v>
      </c>
      <c r="P6503" t="n">
        <v>0</v>
      </c>
      <c r="Q6503" t="n">
        <v>0</v>
      </c>
      <c r="R6503" s="2" t="inlineStr"/>
    </row>
    <row r="6504" ht="15" customHeight="1">
      <c r="A6504" t="inlineStr">
        <is>
          <t>A 27130-2023</t>
        </is>
      </c>
      <c r="B6504" s="1" t="n">
        <v>45096</v>
      </c>
      <c r="C6504" s="1" t="n">
        <v>45182</v>
      </c>
      <c r="D6504" t="inlineStr">
        <is>
          <t>JÄMTLANDS LÄN</t>
        </is>
      </c>
      <c r="E6504" t="inlineStr">
        <is>
          <t>ÖSTERSUND</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27366-2023</t>
        </is>
      </c>
      <c r="B6505" s="1" t="n">
        <v>45096</v>
      </c>
      <c r="C6505" s="1" t="n">
        <v>45182</v>
      </c>
      <c r="D6505" t="inlineStr">
        <is>
          <t>JÄMTLANDS LÄN</t>
        </is>
      </c>
      <c r="E6505" t="inlineStr">
        <is>
          <t>STRÖMSUND</t>
        </is>
      </c>
      <c r="F6505" t="inlineStr">
        <is>
          <t>SCA</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28660-2023</t>
        </is>
      </c>
      <c r="B6506" s="1" t="n">
        <v>45096</v>
      </c>
      <c r="C6506" s="1" t="n">
        <v>45182</v>
      </c>
      <c r="D6506" t="inlineStr">
        <is>
          <t>JÄMTLANDS LÄN</t>
        </is>
      </c>
      <c r="E6506" t="inlineStr">
        <is>
          <t>STRÖMSUND</t>
        </is>
      </c>
      <c r="G6506" t="n">
        <v>6.9</v>
      </c>
      <c r="H6506" t="n">
        <v>0</v>
      </c>
      <c r="I6506" t="n">
        <v>0</v>
      </c>
      <c r="J6506" t="n">
        <v>0</v>
      </c>
      <c r="K6506" t="n">
        <v>0</v>
      </c>
      <c r="L6506" t="n">
        <v>0</v>
      </c>
      <c r="M6506" t="n">
        <v>0</v>
      </c>
      <c r="N6506" t="n">
        <v>0</v>
      </c>
      <c r="O6506" t="n">
        <v>0</v>
      </c>
      <c r="P6506" t="n">
        <v>0</v>
      </c>
      <c r="Q6506" t="n">
        <v>0</v>
      </c>
      <c r="R6506" s="2" t="inlineStr"/>
    </row>
    <row r="6507" ht="15" customHeight="1">
      <c r="A6507" t="inlineStr">
        <is>
          <t>A 28806-2023</t>
        </is>
      </c>
      <c r="B6507" s="1" t="n">
        <v>45096</v>
      </c>
      <c r="C6507" s="1" t="n">
        <v>45182</v>
      </c>
      <c r="D6507" t="inlineStr">
        <is>
          <t>JÄMTLANDS LÄN</t>
        </is>
      </c>
      <c r="E6507" t="inlineStr">
        <is>
          <t>RAGUNDA</t>
        </is>
      </c>
      <c r="G6507" t="n">
        <v>1</v>
      </c>
      <c r="H6507" t="n">
        <v>0</v>
      </c>
      <c r="I6507" t="n">
        <v>0</v>
      </c>
      <c r="J6507" t="n">
        <v>0</v>
      </c>
      <c r="K6507" t="n">
        <v>0</v>
      </c>
      <c r="L6507" t="n">
        <v>0</v>
      </c>
      <c r="M6507" t="n">
        <v>0</v>
      </c>
      <c r="N6507" t="n">
        <v>0</v>
      </c>
      <c r="O6507" t="n">
        <v>0</v>
      </c>
      <c r="P6507" t="n">
        <v>0</v>
      </c>
      <c r="Q6507" t="n">
        <v>0</v>
      </c>
      <c r="R6507" s="2" t="inlineStr"/>
    </row>
    <row r="6508" ht="15" customHeight="1">
      <c r="A6508" t="inlineStr">
        <is>
          <t>A 27541-2023</t>
        </is>
      </c>
      <c r="B6508" s="1" t="n">
        <v>45097</v>
      </c>
      <c r="C6508" s="1" t="n">
        <v>45182</v>
      </c>
      <c r="D6508" t="inlineStr">
        <is>
          <t>JÄMTLANDS LÄN</t>
        </is>
      </c>
      <c r="E6508" t="inlineStr">
        <is>
          <t>HÄRJEDALEN</t>
        </is>
      </c>
      <c r="F6508" t="inlineStr">
        <is>
          <t>Bergvik skog väst AB</t>
        </is>
      </c>
      <c r="G6508" t="n">
        <v>4</v>
      </c>
      <c r="H6508" t="n">
        <v>0</v>
      </c>
      <c r="I6508" t="n">
        <v>0</v>
      </c>
      <c r="J6508" t="n">
        <v>0</v>
      </c>
      <c r="K6508" t="n">
        <v>0</v>
      </c>
      <c r="L6508" t="n">
        <v>0</v>
      </c>
      <c r="M6508" t="n">
        <v>0</v>
      </c>
      <c r="N6508" t="n">
        <v>0</v>
      </c>
      <c r="O6508" t="n">
        <v>0</v>
      </c>
      <c r="P6508" t="n">
        <v>0</v>
      </c>
      <c r="Q6508" t="n">
        <v>0</v>
      </c>
      <c r="R6508" s="2" t="inlineStr"/>
    </row>
    <row r="6509" ht="15" customHeight="1">
      <c r="A6509" t="inlineStr">
        <is>
          <t>A 29078-2023</t>
        </is>
      </c>
      <c r="B6509" s="1" t="n">
        <v>45097</v>
      </c>
      <c r="C6509" s="1" t="n">
        <v>45182</v>
      </c>
      <c r="D6509" t="inlineStr">
        <is>
          <t>JÄMTLANDS LÄN</t>
        </is>
      </c>
      <c r="E6509" t="inlineStr">
        <is>
          <t>BERG</t>
        </is>
      </c>
      <c r="G6509" t="n">
        <v>5.9</v>
      </c>
      <c r="H6509" t="n">
        <v>0</v>
      </c>
      <c r="I6509" t="n">
        <v>0</v>
      </c>
      <c r="J6509" t="n">
        <v>0</v>
      </c>
      <c r="K6509" t="n">
        <v>0</v>
      </c>
      <c r="L6509" t="n">
        <v>0</v>
      </c>
      <c r="M6509" t="n">
        <v>0</v>
      </c>
      <c r="N6509" t="n">
        <v>0</v>
      </c>
      <c r="O6509" t="n">
        <v>0</v>
      </c>
      <c r="P6509" t="n">
        <v>0</v>
      </c>
      <c r="Q6509" t="n">
        <v>0</v>
      </c>
      <c r="R6509" s="2" t="inlineStr"/>
    </row>
    <row r="6510" ht="15" customHeight="1">
      <c r="A6510" t="inlineStr">
        <is>
          <t>A 29244-2023</t>
        </is>
      </c>
      <c r="B6510" s="1" t="n">
        <v>45097</v>
      </c>
      <c r="C6510" s="1" t="n">
        <v>45182</v>
      </c>
      <c r="D6510" t="inlineStr">
        <is>
          <t>JÄMTLANDS LÄN</t>
        </is>
      </c>
      <c r="E6510" t="inlineStr">
        <is>
          <t>KROKOM</t>
        </is>
      </c>
      <c r="G6510" t="n">
        <v>4.4</v>
      </c>
      <c r="H6510" t="n">
        <v>0</v>
      </c>
      <c r="I6510" t="n">
        <v>0</v>
      </c>
      <c r="J6510" t="n">
        <v>0</v>
      </c>
      <c r="K6510" t="n">
        <v>0</v>
      </c>
      <c r="L6510" t="n">
        <v>0</v>
      </c>
      <c r="M6510" t="n">
        <v>0</v>
      </c>
      <c r="N6510" t="n">
        <v>0</v>
      </c>
      <c r="O6510" t="n">
        <v>0</v>
      </c>
      <c r="P6510" t="n">
        <v>0</v>
      </c>
      <c r="Q6510" t="n">
        <v>0</v>
      </c>
      <c r="R6510" s="2" t="inlineStr"/>
    </row>
    <row r="6511" ht="15" customHeight="1">
      <c r="A6511" t="inlineStr">
        <is>
          <t>A 29076-2023</t>
        </is>
      </c>
      <c r="B6511" s="1" t="n">
        <v>45097</v>
      </c>
      <c r="C6511" s="1" t="n">
        <v>45182</v>
      </c>
      <c r="D6511" t="inlineStr">
        <is>
          <t>JÄMTLANDS LÄN</t>
        </is>
      </c>
      <c r="E6511" t="inlineStr">
        <is>
          <t>BERG</t>
        </is>
      </c>
      <c r="G6511" t="n">
        <v>10</v>
      </c>
      <c r="H6511" t="n">
        <v>0</v>
      </c>
      <c r="I6511" t="n">
        <v>0</v>
      </c>
      <c r="J6511" t="n">
        <v>0</v>
      </c>
      <c r="K6511" t="n">
        <v>0</v>
      </c>
      <c r="L6511" t="n">
        <v>0</v>
      </c>
      <c r="M6511" t="n">
        <v>0</v>
      </c>
      <c r="N6511" t="n">
        <v>0</v>
      </c>
      <c r="O6511" t="n">
        <v>0</v>
      </c>
      <c r="P6511" t="n">
        <v>0</v>
      </c>
      <c r="Q6511" t="n">
        <v>0</v>
      </c>
      <c r="R6511" s="2" t="inlineStr"/>
    </row>
    <row r="6512" ht="15" customHeight="1">
      <c r="A6512" t="inlineStr">
        <is>
          <t>A 29143-2023</t>
        </is>
      </c>
      <c r="B6512" s="1" t="n">
        <v>45097</v>
      </c>
      <c r="C6512" s="1" t="n">
        <v>45182</v>
      </c>
      <c r="D6512" t="inlineStr">
        <is>
          <t>JÄMTLANDS LÄN</t>
        </is>
      </c>
      <c r="E6512" t="inlineStr">
        <is>
          <t>BERG</t>
        </is>
      </c>
      <c r="G6512" t="n">
        <v>3.1</v>
      </c>
      <c r="H6512" t="n">
        <v>0</v>
      </c>
      <c r="I6512" t="n">
        <v>0</v>
      </c>
      <c r="J6512" t="n">
        <v>0</v>
      </c>
      <c r="K6512" t="n">
        <v>0</v>
      </c>
      <c r="L6512" t="n">
        <v>0</v>
      </c>
      <c r="M6512" t="n">
        <v>0</v>
      </c>
      <c r="N6512" t="n">
        <v>0</v>
      </c>
      <c r="O6512" t="n">
        <v>0</v>
      </c>
      <c r="P6512" t="n">
        <v>0</v>
      </c>
      <c r="Q6512" t="n">
        <v>0</v>
      </c>
      <c r="R6512" s="2" t="inlineStr"/>
    </row>
    <row r="6513" ht="15" customHeight="1">
      <c r="A6513" t="inlineStr">
        <is>
          <t>A 29224-2023</t>
        </is>
      </c>
      <c r="B6513" s="1" t="n">
        <v>45097</v>
      </c>
      <c r="C6513" s="1" t="n">
        <v>45182</v>
      </c>
      <c r="D6513" t="inlineStr">
        <is>
          <t>JÄMTLANDS LÄN</t>
        </is>
      </c>
      <c r="E6513" t="inlineStr">
        <is>
          <t>KROKOM</t>
        </is>
      </c>
      <c r="G6513" t="n">
        <v>2.6</v>
      </c>
      <c r="H6513" t="n">
        <v>0</v>
      </c>
      <c r="I6513" t="n">
        <v>0</v>
      </c>
      <c r="J6513" t="n">
        <v>0</v>
      </c>
      <c r="K6513" t="n">
        <v>0</v>
      </c>
      <c r="L6513" t="n">
        <v>0</v>
      </c>
      <c r="M6513" t="n">
        <v>0</v>
      </c>
      <c r="N6513" t="n">
        <v>0</v>
      </c>
      <c r="O6513" t="n">
        <v>0</v>
      </c>
      <c r="P6513" t="n">
        <v>0</v>
      </c>
      <c r="Q6513" t="n">
        <v>0</v>
      </c>
      <c r="R6513" s="2" t="inlineStr"/>
    </row>
    <row r="6514" ht="15" customHeight="1">
      <c r="A6514" t="inlineStr">
        <is>
          <t>A 27616-2023</t>
        </is>
      </c>
      <c r="B6514" s="1" t="n">
        <v>45097</v>
      </c>
      <c r="C6514" s="1" t="n">
        <v>45182</v>
      </c>
      <c r="D6514" t="inlineStr">
        <is>
          <t>JÄMTLANDS LÄN</t>
        </is>
      </c>
      <c r="E6514" t="inlineStr">
        <is>
          <t>KROKOM</t>
        </is>
      </c>
      <c r="F6514" t="inlineStr">
        <is>
          <t>Övriga Aktiebolag</t>
        </is>
      </c>
      <c r="G6514" t="n">
        <v>13.3</v>
      </c>
      <c r="H6514" t="n">
        <v>0</v>
      </c>
      <c r="I6514" t="n">
        <v>0</v>
      </c>
      <c r="J6514" t="n">
        <v>0</v>
      </c>
      <c r="K6514" t="n">
        <v>0</v>
      </c>
      <c r="L6514" t="n">
        <v>0</v>
      </c>
      <c r="M6514" t="n">
        <v>0</v>
      </c>
      <c r="N6514" t="n">
        <v>0</v>
      </c>
      <c r="O6514" t="n">
        <v>0</v>
      </c>
      <c r="P6514" t="n">
        <v>0</v>
      </c>
      <c r="Q6514" t="n">
        <v>0</v>
      </c>
      <c r="R6514" s="2" t="inlineStr"/>
    </row>
    <row r="6515" ht="15" customHeight="1">
      <c r="A6515" t="inlineStr">
        <is>
          <t>A 28014-2023</t>
        </is>
      </c>
      <c r="B6515" s="1" t="n">
        <v>45098</v>
      </c>
      <c r="C6515" s="1" t="n">
        <v>45182</v>
      </c>
      <c r="D6515" t="inlineStr">
        <is>
          <t>JÄMTLANDS LÄN</t>
        </is>
      </c>
      <c r="E6515" t="inlineStr">
        <is>
          <t>STRÖMSUND</t>
        </is>
      </c>
      <c r="F6515" t="inlineStr">
        <is>
          <t>SCA</t>
        </is>
      </c>
      <c r="G6515" t="n">
        <v>3</v>
      </c>
      <c r="H6515" t="n">
        <v>0</v>
      </c>
      <c r="I6515" t="n">
        <v>0</v>
      </c>
      <c r="J6515" t="n">
        <v>0</v>
      </c>
      <c r="K6515" t="n">
        <v>0</v>
      </c>
      <c r="L6515" t="n">
        <v>0</v>
      </c>
      <c r="M6515" t="n">
        <v>0</v>
      </c>
      <c r="N6515" t="n">
        <v>0</v>
      </c>
      <c r="O6515" t="n">
        <v>0</v>
      </c>
      <c r="P6515" t="n">
        <v>0</v>
      </c>
      <c r="Q6515" t="n">
        <v>0</v>
      </c>
      <c r="R6515" s="2" t="inlineStr"/>
    </row>
    <row r="6516" ht="15" customHeight="1">
      <c r="A6516" t="inlineStr">
        <is>
          <t>A 29295-2023</t>
        </is>
      </c>
      <c r="B6516" s="1" t="n">
        <v>45098</v>
      </c>
      <c r="C6516" s="1" t="n">
        <v>45182</v>
      </c>
      <c r="D6516" t="inlineStr">
        <is>
          <t>JÄMTLANDS LÄN</t>
        </is>
      </c>
      <c r="E6516" t="inlineStr">
        <is>
          <t>ÅRE</t>
        </is>
      </c>
      <c r="G6516" t="n">
        <v>3.9</v>
      </c>
      <c r="H6516" t="n">
        <v>0</v>
      </c>
      <c r="I6516" t="n">
        <v>0</v>
      </c>
      <c r="J6516" t="n">
        <v>0</v>
      </c>
      <c r="K6516" t="n">
        <v>0</v>
      </c>
      <c r="L6516" t="n">
        <v>0</v>
      </c>
      <c r="M6516" t="n">
        <v>0</v>
      </c>
      <c r="N6516" t="n">
        <v>0</v>
      </c>
      <c r="O6516" t="n">
        <v>0</v>
      </c>
      <c r="P6516" t="n">
        <v>0</v>
      </c>
      <c r="Q6516" t="n">
        <v>0</v>
      </c>
      <c r="R6516" s="2" t="inlineStr"/>
    </row>
    <row r="6517" ht="15" customHeight="1">
      <c r="A6517" t="inlineStr">
        <is>
          <t>A 29469-2023</t>
        </is>
      </c>
      <c r="B6517" s="1" t="n">
        <v>45098</v>
      </c>
      <c r="C6517" s="1" t="n">
        <v>45182</v>
      </c>
      <c r="D6517" t="inlineStr">
        <is>
          <t>JÄMTLANDS LÄN</t>
        </is>
      </c>
      <c r="E6517" t="inlineStr">
        <is>
          <t>ÅRE</t>
        </is>
      </c>
      <c r="G6517" t="n">
        <v>0.6</v>
      </c>
      <c r="H6517" t="n">
        <v>0</v>
      </c>
      <c r="I6517" t="n">
        <v>0</v>
      </c>
      <c r="J6517" t="n">
        <v>0</v>
      </c>
      <c r="K6517" t="n">
        <v>0</v>
      </c>
      <c r="L6517" t="n">
        <v>0</v>
      </c>
      <c r="M6517" t="n">
        <v>0</v>
      </c>
      <c r="N6517" t="n">
        <v>0</v>
      </c>
      <c r="O6517" t="n">
        <v>0</v>
      </c>
      <c r="P6517" t="n">
        <v>0</v>
      </c>
      <c r="Q6517" t="n">
        <v>0</v>
      </c>
      <c r="R6517" s="2" t="inlineStr"/>
    </row>
    <row r="6518" ht="15" customHeight="1">
      <c r="A6518" t="inlineStr">
        <is>
          <t>A 29531-2023</t>
        </is>
      </c>
      <c r="B6518" s="1" t="n">
        <v>45098</v>
      </c>
      <c r="C6518" s="1" t="n">
        <v>45182</v>
      </c>
      <c r="D6518" t="inlineStr">
        <is>
          <t>JÄMTLANDS LÄN</t>
        </is>
      </c>
      <c r="E6518" t="inlineStr">
        <is>
          <t>ÅRE</t>
        </is>
      </c>
      <c r="G6518" t="n">
        <v>2.4</v>
      </c>
      <c r="H6518" t="n">
        <v>0</v>
      </c>
      <c r="I6518" t="n">
        <v>0</v>
      </c>
      <c r="J6518" t="n">
        <v>0</v>
      </c>
      <c r="K6518" t="n">
        <v>0</v>
      </c>
      <c r="L6518" t="n">
        <v>0</v>
      </c>
      <c r="M6518" t="n">
        <v>0</v>
      </c>
      <c r="N6518" t="n">
        <v>0</v>
      </c>
      <c r="O6518" t="n">
        <v>0</v>
      </c>
      <c r="P6518" t="n">
        <v>0</v>
      </c>
      <c r="Q6518" t="n">
        <v>0</v>
      </c>
      <c r="R6518" s="2" t="inlineStr"/>
    </row>
    <row r="6519" ht="15" customHeight="1">
      <c r="A6519" t="inlineStr">
        <is>
          <t>A 29593-2023</t>
        </is>
      </c>
      <c r="B6519" s="1" t="n">
        <v>45098</v>
      </c>
      <c r="C6519" s="1" t="n">
        <v>45182</v>
      </c>
      <c r="D6519" t="inlineStr">
        <is>
          <t>JÄMTLANDS LÄN</t>
        </is>
      </c>
      <c r="E6519" t="inlineStr">
        <is>
          <t>STRÖMSUND</t>
        </is>
      </c>
      <c r="G6519" t="n">
        <v>1.5</v>
      </c>
      <c r="H6519" t="n">
        <v>0</v>
      </c>
      <c r="I6519" t="n">
        <v>0</v>
      </c>
      <c r="J6519" t="n">
        <v>0</v>
      </c>
      <c r="K6519" t="n">
        <v>0</v>
      </c>
      <c r="L6519" t="n">
        <v>0</v>
      </c>
      <c r="M6519" t="n">
        <v>0</v>
      </c>
      <c r="N6519" t="n">
        <v>0</v>
      </c>
      <c r="O6519" t="n">
        <v>0</v>
      </c>
      <c r="P6519" t="n">
        <v>0</v>
      </c>
      <c r="Q6519" t="n">
        <v>0</v>
      </c>
      <c r="R6519" s="2" t="inlineStr"/>
    </row>
    <row r="6520" ht="15" customHeight="1">
      <c r="A6520" t="inlineStr">
        <is>
          <t>A 29766-2023</t>
        </is>
      </c>
      <c r="B6520" s="1" t="n">
        <v>45098</v>
      </c>
      <c r="C6520" s="1" t="n">
        <v>45182</v>
      </c>
      <c r="D6520" t="inlineStr">
        <is>
          <t>JÄMTLANDS LÄN</t>
        </is>
      </c>
      <c r="E6520" t="inlineStr">
        <is>
          <t>RAGUNDA</t>
        </is>
      </c>
      <c r="G6520" t="n">
        <v>2.7</v>
      </c>
      <c r="H6520" t="n">
        <v>0</v>
      </c>
      <c r="I6520" t="n">
        <v>0</v>
      </c>
      <c r="J6520" t="n">
        <v>0</v>
      </c>
      <c r="K6520" t="n">
        <v>0</v>
      </c>
      <c r="L6520" t="n">
        <v>0</v>
      </c>
      <c r="M6520" t="n">
        <v>0</v>
      </c>
      <c r="N6520" t="n">
        <v>0</v>
      </c>
      <c r="O6520" t="n">
        <v>0</v>
      </c>
      <c r="P6520" t="n">
        <v>0</v>
      </c>
      <c r="Q6520" t="n">
        <v>0</v>
      </c>
      <c r="R6520" s="2" t="inlineStr"/>
    </row>
    <row r="6521" ht="15" customHeight="1">
      <c r="A6521" t="inlineStr">
        <is>
          <t>A 27753-2023</t>
        </is>
      </c>
      <c r="B6521" s="1" t="n">
        <v>45098</v>
      </c>
      <c r="C6521" s="1" t="n">
        <v>45182</v>
      </c>
      <c r="D6521" t="inlineStr">
        <is>
          <t>JÄMTLANDS LÄN</t>
        </is>
      </c>
      <c r="E6521" t="inlineStr">
        <is>
          <t>KROKOM</t>
        </is>
      </c>
      <c r="F6521" t="inlineStr">
        <is>
          <t>Övriga Aktiebolag</t>
        </is>
      </c>
      <c r="G6521" t="n">
        <v>20.9</v>
      </c>
      <c r="H6521" t="n">
        <v>0</v>
      </c>
      <c r="I6521" t="n">
        <v>0</v>
      </c>
      <c r="J6521" t="n">
        <v>0</v>
      </c>
      <c r="K6521" t="n">
        <v>0</v>
      </c>
      <c r="L6521" t="n">
        <v>0</v>
      </c>
      <c r="M6521" t="n">
        <v>0</v>
      </c>
      <c r="N6521" t="n">
        <v>0</v>
      </c>
      <c r="O6521" t="n">
        <v>0</v>
      </c>
      <c r="P6521" t="n">
        <v>0</v>
      </c>
      <c r="Q6521" t="n">
        <v>0</v>
      </c>
      <c r="R6521" s="2" t="inlineStr"/>
    </row>
    <row r="6522" ht="15" customHeight="1">
      <c r="A6522" t="inlineStr">
        <is>
          <t>A 28009-2023</t>
        </is>
      </c>
      <c r="B6522" s="1" t="n">
        <v>45098</v>
      </c>
      <c r="C6522" s="1" t="n">
        <v>45182</v>
      </c>
      <c r="D6522" t="inlineStr">
        <is>
          <t>JÄMTLANDS LÄN</t>
        </is>
      </c>
      <c r="E6522" t="inlineStr">
        <is>
          <t>BERG</t>
        </is>
      </c>
      <c r="F6522" t="inlineStr">
        <is>
          <t>SCA</t>
        </is>
      </c>
      <c r="G6522" t="n">
        <v>6.4</v>
      </c>
      <c r="H6522" t="n">
        <v>0</v>
      </c>
      <c r="I6522" t="n">
        <v>0</v>
      </c>
      <c r="J6522" t="n">
        <v>0</v>
      </c>
      <c r="K6522" t="n">
        <v>0</v>
      </c>
      <c r="L6522" t="n">
        <v>0</v>
      </c>
      <c r="M6522" t="n">
        <v>0</v>
      </c>
      <c r="N6522" t="n">
        <v>0</v>
      </c>
      <c r="O6522" t="n">
        <v>0</v>
      </c>
      <c r="P6522" t="n">
        <v>0</v>
      </c>
      <c r="Q6522" t="n">
        <v>0</v>
      </c>
      <c r="R6522" s="2" t="inlineStr"/>
    </row>
    <row r="6523" ht="15" customHeight="1">
      <c r="A6523" t="inlineStr">
        <is>
          <t>A 29294-2023</t>
        </is>
      </c>
      <c r="B6523" s="1" t="n">
        <v>45098</v>
      </c>
      <c r="C6523" s="1" t="n">
        <v>45182</v>
      </c>
      <c r="D6523" t="inlineStr">
        <is>
          <t>JÄMTLANDS LÄN</t>
        </is>
      </c>
      <c r="E6523" t="inlineStr">
        <is>
          <t>ÅRE</t>
        </is>
      </c>
      <c r="G6523" t="n">
        <v>0.7</v>
      </c>
      <c r="H6523" t="n">
        <v>0</v>
      </c>
      <c r="I6523" t="n">
        <v>0</v>
      </c>
      <c r="J6523" t="n">
        <v>0</v>
      </c>
      <c r="K6523" t="n">
        <v>0</v>
      </c>
      <c r="L6523" t="n">
        <v>0</v>
      </c>
      <c r="M6523" t="n">
        <v>0</v>
      </c>
      <c r="N6523" t="n">
        <v>0</v>
      </c>
      <c r="O6523" t="n">
        <v>0</v>
      </c>
      <c r="P6523" t="n">
        <v>0</v>
      </c>
      <c r="Q6523" t="n">
        <v>0</v>
      </c>
      <c r="R6523" s="2" t="inlineStr"/>
    </row>
    <row r="6524" ht="15" customHeight="1">
      <c r="A6524" t="inlineStr">
        <is>
          <t>A 29548-2023</t>
        </is>
      </c>
      <c r="B6524" s="1" t="n">
        <v>45098</v>
      </c>
      <c r="C6524" s="1" t="n">
        <v>45182</v>
      </c>
      <c r="D6524" t="inlineStr">
        <is>
          <t>JÄMTLANDS LÄN</t>
        </is>
      </c>
      <c r="E6524" t="inlineStr">
        <is>
          <t>ÖSTERSUND</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30660-2023</t>
        </is>
      </c>
      <c r="B6525" s="1" t="n">
        <v>45098</v>
      </c>
      <c r="C6525" s="1" t="n">
        <v>45182</v>
      </c>
      <c r="D6525" t="inlineStr">
        <is>
          <t>JÄMTLANDS LÄN</t>
        </is>
      </c>
      <c r="E6525" t="inlineStr">
        <is>
          <t>ÅRE</t>
        </is>
      </c>
      <c r="G6525" t="n">
        <v>1</v>
      </c>
      <c r="H6525" t="n">
        <v>0</v>
      </c>
      <c r="I6525" t="n">
        <v>0</v>
      </c>
      <c r="J6525" t="n">
        <v>0</v>
      </c>
      <c r="K6525" t="n">
        <v>0</v>
      </c>
      <c r="L6525" t="n">
        <v>0</v>
      </c>
      <c r="M6525" t="n">
        <v>0</v>
      </c>
      <c r="N6525" t="n">
        <v>0</v>
      </c>
      <c r="O6525" t="n">
        <v>0</v>
      </c>
      <c r="P6525" t="n">
        <v>0</v>
      </c>
      <c r="Q6525" t="n">
        <v>0</v>
      </c>
      <c r="R6525" s="2" t="inlineStr"/>
    </row>
    <row r="6526" ht="15" customHeight="1">
      <c r="A6526" t="inlineStr">
        <is>
          <t>A 29293-2023</t>
        </is>
      </c>
      <c r="B6526" s="1" t="n">
        <v>45098</v>
      </c>
      <c r="C6526" s="1" t="n">
        <v>45182</v>
      </c>
      <c r="D6526" t="inlineStr">
        <is>
          <t>JÄMTLANDS LÄN</t>
        </is>
      </c>
      <c r="E6526" t="inlineStr">
        <is>
          <t>ÅRE</t>
        </is>
      </c>
      <c r="G6526" t="n">
        <v>1</v>
      </c>
      <c r="H6526" t="n">
        <v>0</v>
      </c>
      <c r="I6526" t="n">
        <v>0</v>
      </c>
      <c r="J6526" t="n">
        <v>0</v>
      </c>
      <c r="K6526" t="n">
        <v>0</v>
      </c>
      <c r="L6526" t="n">
        <v>0</v>
      </c>
      <c r="M6526" t="n">
        <v>0</v>
      </c>
      <c r="N6526" t="n">
        <v>0</v>
      </c>
      <c r="O6526" t="n">
        <v>0</v>
      </c>
      <c r="P6526" t="n">
        <v>0</v>
      </c>
      <c r="Q6526" t="n">
        <v>0</v>
      </c>
      <c r="R6526" s="2" t="inlineStr"/>
    </row>
    <row r="6527" ht="15" customHeight="1">
      <c r="A6527" t="inlineStr">
        <is>
          <t>A 29383-2023</t>
        </is>
      </c>
      <c r="B6527" s="1" t="n">
        <v>45098</v>
      </c>
      <c r="C6527" s="1" t="n">
        <v>45182</v>
      </c>
      <c r="D6527" t="inlineStr">
        <is>
          <t>JÄMTLANDS LÄN</t>
        </is>
      </c>
      <c r="E6527" t="inlineStr">
        <is>
          <t>BERG</t>
        </is>
      </c>
      <c r="G6527" t="n">
        <v>6.1</v>
      </c>
      <c r="H6527" t="n">
        <v>0</v>
      </c>
      <c r="I6527" t="n">
        <v>0</v>
      </c>
      <c r="J6527" t="n">
        <v>0</v>
      </c>
      <c r="K6527" t="n">
        <v>0</v>
      </c>
      <c r="L6527" t="n">
        <v>0</v>
      </c>
      <c r="M6527" t="n">
        <v>0</v>
      </c>
      <c r="N6527" t="n">
        <v>0</v>
      </c>
      <c r="O6527" t="n">
        <v>0</v>
      </c>
      <c r="P6527" t="n">
        <v>0</v>
      </c>
      <c r="Q6527" t="n">
        <v>0</v>
      </c>
      <c r="R6527" s="2" t="inlineStr"/>
      <c r="U6527">
        <f>HYPERLINK("https://klasma.github.io/Logging_BERG/knärot/A 29383-2023.png")</f>
        <v/>
      </c>
      <c r="V6527">
        <f>HYPERLINK("https://klasma.github.io/Logging_BERG/klagomål/A 29383-2023.docx")</f>
        <v/>
      </c>
      <c r="W6527">
        <f>HYPERLINK("https://klasma.github.io/Logging_BERG/klagomålsmail/A 29383-2023.docx")</f>
        <v/>
      </c>
      <c r="X6527">
        <f>HYPERLINK("https://klasma.github.io/Logging_BERG/tillsyn/A 29383-2023.docx")</f>
        <v/>
      </c>
      <c r="Y6527">
        <f>HYPERLINK("https://klasma.github.io/Logging_BERG/tillsynsmail/A 29383-2023.docx")</f>
        <v/>
      </c>
    </row>
    <row r="6528" ht="15" customHeight="1">
      <c r="A6528" t="inlineStr">
        <is>
          <t>A 29775-2023</t>
        </is>
      </c>
      <c r="B6528" s="1" t="n">
        <v>45098</v>
      </c>
      <c r="C6528" s="1" t="n">
        <v>45182</v>
      </c>
      <c r="D6528" t="inlineStr">
        <is>
          <t>JÄMTLANDS LÄN</t>
        </is>
      </c>
      <c r="E6528" t="inlineStr">
        <is>
          <t>RAGUNDA</t>
        </is>
      </c>
      <c r="G6528" t="n">
        <v>3.6</v>
      </c>
      <c r="H6528" t="n">
        <v>0</v>
      </c>
      <c r="I6528" t="n">
        <v>0</v>
      </c>
      <c r="J6528" t="n">
        <v>0</v>
      </c>
      <c r="K6528" t="n">
        <v>0</v>
      </c>
      <c r="L6528" t="n">
        <v>0</v>
      </c>
      <c r="M6528" t="n">
        <v>0</v>
      </c>
      <c r="N6528" t="n">
        <v>0</v>
      </c>
      <c r="O6528" t="n">
        <v>0</v>
      </c>
      <c r="P6528" t="n">
        <v>0</v>
      </c>
      <c r="Q6528" t="n">
        <v>0</v>
      </c>
      <c r="R6528" s="2" t="inlineStr"/>
    </row>
    <row r="6529" ht="15" customHeight="1">
      <c r="A6529" t="inlineStr">
        <is>
          <t>A 28392-2023</t>
        </is>
      </c>
      <c r="B6529" s="1" t="n">
        <v>45099</v>
      </c>
      <c r="C6529" s="1" t="n">
        <v>45182</v>
      </c>
      <c r="D6529" t="inlineStr">
        <is>
          <t>JÄMTLANDS LÄN</t>
        </is>
      </c>
      <c r="E6529" t="inlineStr">
        <is>
          <t>BRÄCKE</t>
        </is>
      </c>
      <c r="F6529" t="inlineStr">
        <is>
          <t>SCA</t>
        </is>
      </c>
      <c r="G6529" t="n">
        <v>3.7</v>
      </c>
      <c r="H6529" t="n">
        <v>0</v>
      </c>
      <c r="I6529" t="n">
        <v>0</v>
      </c>
      <c r="J6529" t="n">
        <v>0</v>
      </c>
      <c r="K6529" t="n">
        <v>0</v>
      </c>
      <c r="L6529" t="n">
        <v>0</v>
      </c>
      <c r="M6529" t="n">
        <v>0</v>
      </c>
      <c r="N6529" t="n">
        <v>0</v>
      </c>
      <c r="O6529" t="n">
        <v>0</v>
      </c>
      <c r="P6529" t="n">
        <v>0</v>
      </c>
      <c r="Q6529" t="n">
        <v>0</v>
      </c>
      <c r="R6529" s="2" t="inlineStr"/>
    </row>
    <row r="6530" ht="15" customHeight="1">
      <c r="A6530" t="inlineStr">
        <is>
          <t>A 30255-2023</t>
        </is>
      </c>
      <c r="B6530" s="1" t="n">
        <v>45099</v>
      </c>
      <c r="C6530" s="1" t="n">
        <v>45182</v>
      </c>
      <c r="D6530" t="inlineStr">
        <is>
          <t>JÄMTLANDS LÄN</t>
        </is>
      </c>
      <c r="E6530" t="inlineStr">
        <is>
          <t>ÖSTERSUND</t>
        </is>
      </c>
      <c r="G6530" t="n">
        <v>20.2</v>
      </c>
      <c r="H6530" t="n">
        <v>0</v>
      </c>
      <c r="I6530" t="n">
        <v>0</v>
      </c>
      <c r="J6530" t="n">
        <v>0</v>
      </c>
      <c r="K6530" t="n">
        <v>0</v>
      </c>
      <c r="L6530" t="n">
        <v>0</v>
      </c>
      <c r="M6530" t="n">
        <v>0</v>
      </c>
      <c r="N6530" t="n">
        <v>0</v>
      </c>
      <c r="O6530" t="n">
        <v>0</v>
      </c>
      <c r="P6530" t="n">
        <v>0</v>
      </c>
      <c r="Q6530" t="n">
        <v>0</v>
      </c>
      <c r="R6530" s="2" t="inlineStr"/>
    </row>
    <row r="6531" ht="15" customHeight="1">
      <c r="A6531" t="inlineStr">
        <is>
          <t>A 30264-2023</t>
        </is>
      </c>
      <c r="B6531" s="1" t="n">
        <v>45099</v>
      </c>
      <c r="C6531" s="1" t="n">
        <v>45182</v>
      </c>
      <c r="D6531" t="inlineStr">
        <is>
          <t>JÄMTLANDS LÄN</t>
        </is>
      </c>
      <c r="E6531" t="inlineStr">
        <is>
          <t>ÖSTERSUND</t>
        </is>
      </c>
      <c r="G6531" t="n">
        <v>10</v>
      </c>
      <c r="H6531" t="n">
        <v>0</v>
      </c>
      <c r="I6531" t="n">
        <v>0</v>
      </c>
      <c r="J6531" t="n">
        <v>0</v>
      </c>
      <c r="K6531" t="n">
        <v>0</v>
      </c>
      <c r="L6531" t="n">
        <v>0</v>
      </c>
      <c r="M6531" t="n">
        <v>0</v>
      </c>
      <c r="N6531" t="n">
        <v>0</v>
      </c>
      <c r="O6531" t="n">
        <v>0</v>
      </c>
      <c r="P6531" t="n">
        <v>0</v>
      </c>
      <c r="Q6531" t="n">
        <v>0</v>
      </c>
      <c r="R6531" s="2" t="inlineStr"/>
    </row>
    <row r="6532" ht="15" customHeight="1">
      <c r="A6532" t="inlineStr">
        <is>
          <t>A 30206-2023</t>
        </is>
      </c>
      <c r="B6532" s="1" t="n">
        <v>45099</v>
      </c>
      <c r="C6532" s="1" t="n">
        <v>45182</v>
      </c>
      <c r="D6532" t="inlineStr">
        <is>
          <t>JÄMTLANDS LÄN</t>
        </is>
      </c>
      <c r="E6532" t="inlineStr">
        <is>
          <t>ÖSTERSUND</t>
        </is>
      </c>
      <c r="G6532" t="n">
        <v>3.9</v>
      </c>
      <c r="H6532" t="n">
        <v>0</v>
      </c>
      <c r="I6532" t="n">
        <v>0</v>
      </c>
      <c r="J6532" t="n">
        <v>0</v>
      </c>
      <c r="K6532" t="n">
        <v>0</v>
      </c>
      <c r="L6532" t="n">
        <v>0</v>
      </c>
      <c r="M6532" t="n">
        <v>0</v>
      </c>
      <c r="N6532" t="n">
        <v>0</v>
      </c>
      <c r="O6532" t="n">
        <v>0</v>
      </c>
      <c r="P6532" t="n">
        <v>0</v>
      </c>
      <c r="Q6532" t="n">
        <v>0</v>
      </c>
      <c r="R6532" s="2" t="inlineStr"/>
    </row>
    <row r="6533" ht="15" customHeight="1">
      <c r="A6533" t="inlineStr">
        <is>
          <t>A 30236-2023</t>
        </is>
      </c>
      <c r="B6533" s="1" t="n">
        <v>45099</v>
      </c>
      <c r="C6533" s="1" t="n">
        <v>45182</v>
      </c>
      <c r="D6533" t="inlineStr">
        <is>
          <t>JÄMTLANDS LÄN</t>
        </is>
      </c>
      <c r="E6533" t="inlineStr">
        <is>
          <t>ÖSTERSUND</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30191-2023</t>
        </is>
      </c>
      <c r="B6534" s="1" t="n">
        <v>45099</v>
      </c>
      <c r="C6534" s="1" t="n">
        <v>45182</v>
      </c>
      <c r="D6534" t="inlineStr">
        <is>
          <t>JÄMTLANDS LÄN</t>
        </is>
      </c>
      <c r="E6534" t="inlineStr">
        <is>
          <t>BERG</t>
        </is>
      </c>
      <c r="G6534" t="n">
        <v>6.4</v>
      </c>
      <c r="H6534" t="n">
        <v>0</v>
      </c>
      <c r="I6534" t="n">
        <v>0</v>
      </c>
      <c r="J6534" t="n">
        <v>0</v>
      </c>
      <c r="K6534" t="n">
        <v>0</v>
      </c>
      <c r="L6534" t="n">
        <v>0</v>
      </c>
      <c r="M6534" t="n">
        <v>0</v>
      </c>
      <c r="N6534" t="n">
        <v>0</v>
      </c>
      <c r="O6534" t="n">
        <v>0</v>
      </c>
      <c r="P6534" t="n">
        <v>0</v>
      </c>
      <c r="Q6534" t="n">
        <v>0</v>
      </c>
      <c r="R6534" s="2" t="inlineStr"/>
    </row>
    <row r="6535" ht="15" customHeight="1">
      <c r="A6535" t="inlineStr">
        <is>
          <t>A 30262-2023</t>
        </is>
      </c>
      <c r="B6535" s="1" t="n">
        <v>45099</v>
      </c>
      <c r="C6535" s="1" t="n">
        <v>45182</v>
      </c>
      <c r="D6535" t="inlineStr">
        <is>
          <t>JÄMTLANDS LÄN</t>
        </is>
      </c>
      <c r="E6535" t="inlineStr">
        <is>
          <t>ÖSTERSUND</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30450-2023</t>
        </is>
      </c>
      <c r="B6536" s="1" t="n">
        <v>45099</v>
      </c>
      <c r="C6536" s="1" t="n">
        <v>45182</v>
      </c>
      <c r="D6536" t="inlineStr">
        <is>
          <t>JÄMTLANDS LÄN</t>
        </is>
      </c>
      <c r="E6536" t="inlineStr">
        <is>
          <t>KROKOM</t>
        </is>
      </c>
      <c r="G6536" t="n">
        <v>5.3</v>
      </c>
      <c r="H6536" t="n">
        <v>0</v>
      </c>
      <c r="I6536" t="n">
        <v>0</v>
      </c>
      <c r="J6536" t="n">
        <v>0</v>
      </c>
      <c r="K6536" t="n">
        <v>0</v>
      </c>
      <c r="L6536" t="n">
        <v>0</v>
      </c>
      <c r="M6536" t="n">
        <v>0</v>
      </c>
      <c r="N6536" t="n">
        <v>0</v>
      </c>
      <c r="O6536" t="n">
        <v>0</v>
      </c>
      <c r="P6536" t="n">
        <v>0</v>
      </c>
      <c r="Q6536" t="n">
        <v>0</v>
      </c>
      <c r="R6536" s="2" t="inlineStr"/>
    </row>
    <row r="6537" ht="15" customHeight="1">
      <c r="A6537" t="inlineStr">
        <is>
          <t>A 30244-2023</t>
        </is>
      </c>
      <c r="B6537" s="1" t="n">
        <v>45099</v>
      </c>
      <c r="C6537" s="1" t="n">
        <v>45182</v>
      </c>
      <c r="D6537" t="inlineStr">
        <is>
          <t>JÄMTLANDS LÄN</t>
        </is>
      </c>
      <c r="E6537" t="inlineStr">
        <is>
          <t>ÖSTERSUND</t>
        </is>
      </c>
      <c r="G6537" t="n">
        <v>1.4</v>
      </c>
      <c r="H6537" t="n">
        <v>0</v>
      </c>
      <c r="I6537" t="n">
        <v>0</v>
      </c>
      <c r="J6537" t="n">
        <v>0</v>
      </c>
      <c r="K6537" t="n">
        <v>0</v>
      </c>
      <c r="L6537" t="n">
        <v>0</v>
      </c>
      <c r="M6537" t="n">
        <v>0</v>
      </c>
      <c r="N6537" t="n">
        <v>0</v>
      </c>
      <c r="O6537" t="n">
        <v>0</v>
      </c>
      <c r="P6537" t="n">
        <v>0</v>
      </c>
      <c r="Q6537" t="n">
        <v>0</v>
      </c>
      <c r="R6537" s="2" t="inlineStr"/>
    </row>
    <row r="6538" ht="15" customHeight="1">
      <c r="A6538" t="inlineStr">
        <is>
          <t>A 30263-2023</t>
        </is>
      </c>
      <c r="B6538" s="1" t="n">
        <v>45099</v>
      </c>
      <c r="C6538" s="1" t="n">
        <v>45182</v>
      </c>
      <c r="D6538" t="inlineStr">
        <is>
          <t>JÄMTLANDS LÄN</t>
        </is>
      </c>
      <c r="E6538" t="inlineStr">
        <is>
          <t>ÅRE</t>
        </is>
      </c>
      <c r="G6538" t="n">
        <v>15.9</v>
      </c>
      <c r="H6538" t="n">
        <v>0</v>
      </c>
      <c r="I6538" t="n">
        <v>0</v>
      </c>
      <c r="J6538" t="n">
        <v>0</v>
      </c>
      <c r="K6538" t="n">
        <v>0</v>
      </c>
      <c r="L6538" t="n">
        <v>0</v>
      </c>
      <c r="M6538" t="n">
        <v>0</v>
      </c>
      <c r="N6538" t="n">
        <v>0</v>
      </c>
      <c r="O6538" t="n">
        <v>0</v>
      </c>
      <c r="P6538" t="n">
        <v>0</v>
      </c>
      <c r="Q6538" t="n">
        <v>0</v>
      </c>
      <c r="R6538" s="2" t="inlineStr"/>
    </row>
    <row r="6539" ht="15" customHeight="1">
      <c r="A6539" t="inlineStr">
        <is>
          <t>A 28743-2023</t>
        </is>
      </c>
      <c r="B6539" s="1" t="n">
        <v>45103</v>
      </c>
      <c r="C6539" s="1" t="n">
        <v>45182</v>
      </c>
      <c r="D6539" t="inlineStr">
        <is>
          <t>JÄMTLANDS LÄN</t>
        </is>
      </c>
      <c r="E6539" t="inlineStr">
        <is>
          <t>STRÖMSUND</t>
        </is>
      </c>
      <c r="G6539" t="n">
        <v>1.6</v>
      </c>
      <c r="H6539" t="n">
        <v>0</v>
      </c>
      <c r="I6539" t="n">
        <v>0</v>
      </c>
      <c r="J6539" t="n">
        <v>0</v>
      </c>
      <c r="K6539" t="n">
        <v>0</v>
      </c>
      <c r="L6539" t="n">
        <v>0</v>
      </c>
      <c r="M6539" t="n">
        <v>0</v>
      </c>
      <c r="N6539" t="n">
        <v>0</v>
      </c>
      <c r="O6539" t="n">
        <v>0</v>
      </c>
      <c r="P6539" t="n">
        <v>0</v>
      </c>
      <c r="Q6539" t="n">
        <v>0</v>
      </c>
      <c r="R6539" s="2" t="inlineStr"/>
    </row>
    <row r="6540" ht="15" customHeight="1">
      <c r="A6540" t="inlineStr">
        <is>
          <t>A 31135-2023</t>
        </is>
      </c>
      <c r="B6540" s="1" t="n">
        <v>45103</v>
      </c>
      <c r="C6540" s="1" t="n">
        <v>45182</v>
      </c>
      <c r="D6540" t="inlineStr">
        <is>
          <t>JÄMTLANDS LÄN</t>
        </is>
      </c>
      <c r="E6540" t="inlineStr">
        <is>
          <t>RAGUNDA</t>
        </is>
      </c>
      <c r="G6540" t="n">
        <v>0.9</v>
      </c>
      <c r="H6540" t="n">
        <v>0</v>
      </c>
      <c r="I6540" t="n">
        <v>0</v>
      </c>
      <c r="J6540" t="n">
        <v>0</v>
      </c>
      <c r="K6540" t="n">
        <v>0</v>
      </c>
      <c r="L6540" t="n">
        <v>0</v>
      </c>
      <c r="M6540" t="n">
        <v>0</v>
      </c>
      <c r="N6540" t="n">
        <v>0</v>
      </c>
      <c r="O6540" t="n">
        <v>0</v>
      </c>
      <c r="P6540" t="n">
        <v>0</v>
      </c>
      <c r="Q6540" t="n">
        <v>0</v>
      </c>
      <c r="R6540" s="2" t="inlineStr"/>
    </row>
    <row r="6541" ht="15" customHeight="1">
      <c r="A6541" t="inlineStr">
        <is>
          <t>A 28742-2023</t>
        </is>
      </c>
      <c r="B6541" s="1" t="n">
        <v>45103</v>
      </c>
      <c r="C6541" s="1" t="n">
        <v>45182</v>
      </c>
      <c r="D6541" t="inlineStr">
        <is>
          <t>JÄMTLANDS LÄN</t>
        </is>
      </c>
      <c r="E6541" t="inlineStr">
        <is>
          <t>RAGUNDA</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28747-2023</t>
        </is>
      </c>
      <c r="B6542" s="1" t="n">
        <v>45103</v>
      </c>
      <c r="C6542" s="1" t="n">
        <v>45182</v>
      </c>
      <c r="D6542" t="inlineStr">
        <is>
          <t>JÄMTLANDS LÄN</t>
        </is>
      </c>
      <c r="E6542" t="inlineStr">
        <is>
          <t>ÖSTERSUND</t>
        </is>
      </c>
      <c r="F6542" t="inlineStr">
        <is>
          <t>SCA</t>
        </is>
      </c>
      <c r="G6542" t="n">
        <v>8</v>
      </c>
      <c r="H6542" t="n">
        <v>0</v>
      </c>
      <c r="I6542" t="n">
        <v>0</v>
      </c>
      <c r="J6542" t="n">
        <v>0</v>
      </c>
      <c r="K6542" t="n">
        <v>0</v>
      </c>
      <c r="L6542" t="n">
        <v>0</v>
      </c>
      <c r="M6542" t="n">
        <v>0</v>
      </c>
      <c r="N6542" t="n">
        <v>0</v>
      </c>
      <c r="O6542" t="n">
        <v>0</v>
      </c>
      <c r="P6542" t="n">
        <v>0</v>
      </c>
      <c r="Q6542" t="n">
        <v>0</v>
      </c>
      <c r="R6542" s="2" t="inlineStr"/>
    </row>
    <row r="6543" ht="15" customHeight="1">
      <c r="A6543" t="inlineStr">
        <is>
          <t>A 31156-2023</t>
        </is>
      </c>
      <c r="B6543" s="1" t="n">
        <v>45103</v>
      </c>
      <c r="C6543" s="1" t="n">
        <v>45182</v>
      </c>
      <c r="D6543" t="inlineStr">
        <is>
          <t>JÄMTLANDS LÄN</t>
        </is>
      </c>
      <c r="E6543" t="inlineStr">
        <is>
          <t>STRÖMSUND</t>
        </is>
      </c>
      <c r="G6543" t="n">
        <v>0.9</v>
      </c>
      <c r="H6543" t="n">
        <v>0</v>
      </c>
      <c r="I6543" t="n">
        <v>0</v>
      </c>
      <c r="J6543" t="n">
        <v>0</v>
      </c>
      <c r="K6543" t="n">
        <v>0</v>
      </c>
      <c r="L6543" t="n">
        <v>0</v>
      </c>
      <c r="M6543" t="n">
        <v>0</v>
      </c>
      <c r="N6543" t="n">
        <v>0</v>
      </c>
      <c r="O6543" t="n">
        <v>0</v>
      </c>
      <c r="P6543" t="n">
        <v>0</v>
      </c>
      <c r="Q6543" t="n">
        <v>0</v>
      </c>
      <c r="R6543" s="2" t="inlineStr"/>
    </row>
    <row r="6544" ht="15" customHeight="1">
      <c r="A6544" t="inlineStr">
        <is>
          <t>A 31467-2023</t>
        </is>
      </c>
      <c r="B6544" s="1" t="n">
        <v>45104</v>
      </c>
      <c r="C6544" s="1" t="n">
        <v>45182</v>
      </c>
      <c r="D6544" t="inlineStr">
        <is>
          <t>JÄMTLANDS LÄN</t>
        </is>
      </c>
      <c r="E6544" t="inlineStr">
        <is>
          <t>BRÄCKE</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29053-2023</t>
        </is>
      </c>
      <c r="B6545" s="1" t="n">
        <v>45104</v>
      </c>
      <c r="C6545" s="1" t="n">
        <v>45182</v>
      </c>
      <c r="D6545" t="inlineStr">
        <is>
          <t>JÄMTLANDS LÄN</t>
        </is>
      </c>
      <c r="E6545" t="inlineStr">
        <is>
          <t>RAGUNDA</t>
        </is>
      </c>
      <c r="G6545" t="n">
        <v>6.2</v>
      </c>
      <c r="H6545" t="n">
        <v>0</v>
      </c>
      <c r="I6545" t="n">
        <v>0</v>
      </c>
      <c r="J6545" t="n">
        <v>0</v>
      </c>
      <c r="K6545" t="n">
        <v>0</v>
      </c>
      <c r="L6545" t="n">
        <v>0</v>
      </c>
      <c r="M6545" t="n">
        <v>0</v>
      </c>
      <c r="N6545" t="n">
        <v>0</v>
      </c>
      <c r="O6545" t="n">
        <v>0</v>
      </c>
      <c r="P6545" t="n">
        <v>0</v>
      </c>
      <c r="Q6545" t="n">
        <v>0</v>
      </c>
      <c r="R6545" s="2" t="inlineStr"/>
    </row>
    <row r="6546" ht="15" customHeight="1">
      <c r="A6546" t="inlineStr">
        <is>
          <t>A 29067-2023</t>
        </is>
      </c>
      <c r="B6546" s="1" t="n">
        <v>45104</v>
      </c>
      <c r="C6546" s="1" t="n">
        <v>45182</v>
      </c>
      <c r="D6546" t="inlineStr">
        <is>
          <t>JÄMTLANDS LÄN</t>
        </is>
      </c>
      <c r="E6546" t="inlineStr">
        <is>
          <t>HÄRJEDALEN</t>
        </is>
      </c>
      <c r="F6546" t="inlineStr">
        <is>
          <t>SCA</t>
        </is>
      </c>
      <c r="G6546" t="n">
        <v>2.4</v>
      </c>
      <c r="H6546" t="n">
        <v>0</v>
      </c>
      <c r="I6546" t="n">
        <v>0</v>
      </c>
      <c r="J6546" t="n">
        <v>0</v>
      </c>
      <c r="K6546" t="n">
        <v>0</v>
      </c>
      <c r="L6546" t="n">
        <v>0</v>
      </c>
      <c r="M6546" t="n">
        <v>0</v>
      </c>
      <c r="N6546" t="n">
        <v>0</v>
      </c>
      <c r="O6546" t="n">
        <v>0</v>
      </c>
      <c r="P6546" t="n">
        <v>0</v>
      </c>
      <c r="Q6546" t="n">
        <v>0</v>
      </c>
      <c r="R6546" s="2" t="inlineStr"/>
    </row>
    <row r="6547" ht="15" customHeight="1">
      <c r="A6547" t="inlineStr">
        <is>
          <t>A 31470-2023</t>
        </is>
      </c>
      <c r="B6547" s="1" t="n">
        <v>45104</v>
      </c>
      <c r="C6547" s="1" t="n">
        <v>45182</v>
      </c>
      <c r="D6547" t="inlineStr">
        <is>
          <t>JÄMTLANDS LÄN</t>
        </is>
      </c>
      <c r="E6547" t="inlineStr">
        <is>
          <t>BRÄCKE</t>
        </is>
      </c>
      <c r="G6547" t="n">
        <v>1.9</v>
      </c>
      <c r="H6547" t="n">
        <v>0</v>
      </c>
      <c r="I6547" t="n">
        <v>0</v>
      </c>
      <c r="J6547" t="n">
        <v>0</v>
      </c>
      <c r="K6547" t="n">
        <v>0</v>
      </c>
      <c r="L6547" t="n">
        <v>0</v>
      </c>
      <c r="M6547" t="n">
        <v>0</v>
      </c>
      <c r="N6547" t="n">
        <v>0</v>
      </c>
      <c r="O6547" t="n">
        <v>0</v>
      </c>
      <c r="P6547" t="n">
        <v>0</v>
      </c>
      <c r="Q6547" t="n">
        <v>0</v>
      </c>
      <c r="R6547" s="2" t="inlineStr"/>
    </row>
    <row r="6548" ht="15" customHeight="1">
      <c r="A6548" t="inlineStr">
        <is>
          <t>A 31471-2023</t>
        </is>
      </c>
      <c r="B6548" s="1" t="n">
        <v>45104</v>
      </c>
      <c r="C6548" s="1" t="n">
        <v>45182</v>
      </c>
      <c r="D6548" t="inlineStr">
        <is>
          <t>JÄMTLANDS LÄN</t>
        </is>
      </c>
      <c r="E6548" t="inlineStr">
        <is>
          <t>BRÄCKE</t>
        </is>
      </c>
      <c r="G6548" t="n">
        <v>0.3</v>
      </c>
      <c r="H6548" t="n">
        <v>0</v>
      </c>
      <c r="I6548" t="n">
        <v>0</v>
      </c>
      <c r="J6548" t="n">
        <v>0</v>
      </c>
      <c r="K6548" t="n">
        <v>0</v>
      </c>
      <c r="L6548" t="n">
        <v>0</v>
      </c>
      <c r="M6548" t="n">
        <v>0</v>
      </c>
      <c r="N6548" t="n">
        <v>0</v>
      </c>
      <c r="O6548" t="n">
        <v>0</v>
      </c>
      <c r="P6548" t="n">
        <v>0</v>
      </c>
      <c r="Q6548" t="n">
        <v>0</v>
      </c>
      <c r="R6548" s="2" t="inlineStr"/>
    </row>
    <row r="6549" ht="15" customHeight="1">
      <c r="A6549" t="inlineStr">
        <is>
          <t>A 29194-2023</t>
        </is>
      </c>
      <c r="B6549" s="1" t="n">
        <v>45105</v>
      </c>
      <c r="C6549" s="1" t="n">
        <v>45182</v>
      </c>
      <c r="D6549" t="inlineStr">
        <is>
          <t>JÄMTLANDS LÄN</t>
        </is>
      </c>
      <c r="E6549" t="inlineStr">
        <is>
          <t>HÄRJEDALEN</t>
        </is>
      </c>
      <c r="F6549" t="inlineStr">
        <is>
          <t>Bergvik skog väst AB</t>
        </is>
      </c>
      <c r="G6549" t="n">
        <v>21.4</v>
      </c>
      <c r="H6549" t="n">
        <v>0</v>
      </c>
      <c r="I6549" t="n">
        <v>0</v>
      </c>
      <c r="J6549" t="n">
        <v>0</v>
      </c>
      <c r="K6549" t="n">
        <v>0</v>
      </c>
      <c r="L6549" t="n">
        <v>0</v>
      </c>
      <c r="M6549" t="n">
        <v>0</v>
      </c>
      <c r="N6549" t="n">
        <v>0</v>
      </c>
      <c r="O6549" t="n">
        <v>0</v>
      </c>
      <c r="P6549" t="n">
        <v>0</v>
      </c>
      <c r="Q6549" t="n">
        <v>0</v>
      </c>
      <c r="R6549" s="2" t="inlineStr"/>
    </row>
    <row r="6550" ht="15" customHeight="1">
      <c r="A6550" t="inlineStr">
        <is>
          <t>A 29319-2023</t>
        </is>
      </c>
      <c r="B6550" s="1" t="n">
        <v>45105</v>
      </c>
      <c r="C6550" s="1" t="n">
        <v>45182</v>
      </c>
      <c r="D6550" t="inlineStr">
        <is>
          <t>JÄMTLANDS LÄN</t>
        </is>
      </c>
      <c r="E6550" t="inlineStr">
        <is>
          <t>RAGUNDA</t>
        </is>
      </c>
      <c r="F6550" t="inlineStr">
        <is>
          <t>SCA</t>
        </is>
      </c>
      <c r="G6550" t="n">
        <v>0.5</v>
      </c>
      <c r="H6550" t="n">
        <v>0</v>
      </c>
      <c r="I6550" t="n">
        <v>0</v>
      </c>
      <c r="J6550" t="n">
        <v>0</v>
      </c>
      <c r="K6550" t="n">
        <v>0</v>
      </c>
      <c r="L6550" t="n">
        <v>0</v>
      </c>
      <c r="M6550" t="n">
        <v>0</v>
      </c>
      <c r="N6550" t="n">
        <v>0</v>
      </c>
      <c r="O6550" t="n">
        <v>0</v>
      </c>
      <c r="P6550" t="n">
        <v>0</v>
      </c>
      <c r="Q6550" t="n">
        <v>0</v>
      </c>
      <c r="R6550" s="2" t="inlineStr"/>
    </row>
    <row r="6551" ht="15" customHeight="1">
      <c r="A6551" t="inlineStr">
        <is>
          <t>A 29334-2023</t>
        </is>
      </c>
      <c r="B6551" s="1" t="n">
        <v>45105</v>
      </c>
      <c r="C6551" s="1" t="n">
        <v>45182</v>
      </c>
      <c r="D6551" t="inlineStr">
        <is>
          <t>JÄMTLANDS LÄN</t>
        </is>
      </c>
      <c r="E6551" t="inlineStr">
        <is>
          <t>BRÄCKE</t>
        </is>
      </c>
      <c r="F6551" t="inlineStr">
        <is>
          <t>SCA</t>
        </is>
      </c>
      <c r="G6551" t="n">
        <v>4.3</v>
      </c>
      <c r="H6551" t="n">
        <v>0</v>
      </c>
      <c r="I6551" t="n">
        <v>0</v>
      </c>
      <c r="J6551" t="n">
        <v>0</v>
      </c>
      <c r="K6551" t="n">
        <v>0</v>
      </c>
      <c r="L6551" t="n">
        <v>0</v>
      </c>
      <c r="M6551" t="n">
        <v>0</v>
      </c>
      <c r="N6551" t="n">
        <v>0</v>
      </c>
      <c r="O6551" t="n">
        <v>0</v>
      </c>
      <c r="P6551" t="n">
        <v>0</v>
      </c>
      <c r="Q6551" t="n">
        <v>0</v>
      </c>
      <c r="R6551" s="2" t="inlineStr"/>
    </row>
    <row r="6552" ht="15" customHeight="1">
      <c r="A6552" t="inlineStr">
        <is>
          <t>A 29323-2023</t>
        </is>
      </c>
      <c r="B6552" s="1" t="n">
        <v>45105</v>
      </c>
      <c r="C6552" s="1" t="n">
        <v>45182</v>
      </c>
      <c r="D6552" t="inlineStr">
        <is>
          <t>JÄMTLANDS LÄN</t>
        </is>
      </c>
      <c r="E6552" t="inlineStr">
        <is>
          <t>BRÄCKE</t>
        </is>
      </c>
      <c r="F6552" t="inlineStr">
        <is>
          <t>SCA</t>
        </is>
      </c>
      <c r="G6552" t="n">
        <v>3.4</v>
      </c>
      <c r="H6552" t="n">
        <v>0</v>
      </c>
      <c r="I6552" t="n">
        <v>0</v>
      </c>
      <c r="J6552" t="n">
        <v>0</v>
      </c>
      <c r="K6552" t="n">
        <v>0</v>
      </c>
      <c r="L6552" t="n">
        <v>0</v>
      </c>
      <c r="M6552" t="n">
        <v>0</v>
      </c>
      <c r="N6552" t="n">
        <v>0</v>
      </c>
      <c r="O6552" t="n">
        <v>0</v>
      </c>
      <c r="P6552" t="n">
        <v>0</v>
      </c>
      <c r="Q6552" t="n">
        <v>0</v>
      </c>
      <c r="R6552" s="2" t="inlineStr"/>
    </row>
    <row r="6553" ht="15" customHeight="1">
      <c r="A6553" t="inlineStr">
        <is>
          <t>A 29345-2023</t>
        </is>
      </c>
      <c r="B6553" s="1" t="n">
        <v>45105</v>
      </c>
      <c r="C6553" s="1" t="n">
        <v>45182</v>
      </c>
      <c r="D6553" t="inlineStr">
        <is>
          <t>JÄMTLANDS LÄN</t>
        </is>
      </c>
      <c r="E6553" t="inlineStr">
        <is>
          <t>KROKOM</t>
        </is>
      </c>
      <c r="G6553" t="n">
        <v>33.9</v>
      </c>
      <c r="H6553" t="n">
        <v>0</v>
      </c>
      <c r="I6553" t="n">
        <v>0</v>
      </c>
      <c r="J6553" t="n">
        <v>0</v>
      </c>
      <c r="K6553" t="n">
        <v>0</v>
      </c>
      <c r="L6553" t="n">
        <v>0</v>
      </c>
      <c r="M6553" t="n">
        <v>0</v>
      </c>
      <c r="N6553" t="n">
        <v>0</v>
      </c>
      <c r="O6553" t="n">
        <v>0</v>
      </c>
      <c r="P6553" t="n">
        <v>0</v>
      </c>
      <c r="Q6553" t="n">
        <v>0</v>
      </c>
      <c r="R6553" s="2" t="inlineStr"/>
    </row>
    <row r="6554" ht="15" customHeight="1">
      <c r="A6554" t="inlineStr">
        <is>
          <t>A 29322-2023</t>
        </is>
      </c>
      <c r="B6554" s="1" t="n">
        <v>45105</v>
      </c>
      <c r="C6554" s="1" t="n">
        <v>45182</v>
      </c>
      <c r="D6554" t="inlineStr">
        <is>
          <t>JÄMTLANDS LÄN</t>
        </is>
      </c>
      <c r="E6554" t="inlineStr">
        <is>
          <t>BRÄCKE</t>
        </is>
      </c>
      <c r="F6554" t="inlineStr">
        <is>
          <t>SCA</t>
        </is>
      </c>
      <c r="G6554" t="n">
        <v>3.2</v>
      </c>
      <c r="H6554" t="n">
        <v>0</v>
      </c>
      <c r="I6554" t="n">
        <v>0</v>
      </c>
      <c r="J6554" t="n">
        <v>0</v>
      </c>
      <c r="K6554" t="n">
        <v>0</v>
      </c>
      <c r="L6554" t="n">
        <v>0</v>
      </c>
      <c r="M6554" t="n">
        <v>0</v>
      </c>
      <c r="N6554" t="n">
        <v>0</v>
      </c>
      <c r="O6554" t="n">
        <v>0</v>
      </c>
      <c r="P6554" t="n">
        <v>0</v>
      </c>
      <c r="Q6554" t="n">
        <v>0</v>
      </c>
      <c r="R6554" s="2" t="inlineStr"/>
    </row>
    <row r="6555" ht="15" customHeight="1">
      <c r="A6555" t="inlineStr">
        <is>
          <t>A 31870-2023</t>
        </is>
      </c>
      <c r="B6555" s="1" t="n">
        <v>45106</v>
      </c>
      <c r="C6555" s="1" t="n">
        <v>45182</v>
      </c>
      <c r="D6555" t="inlineStr">
        <is>
          <t>JÄMTLANDS LÄN</t>
        </is>
      </c>
      <c r="E6555" t="inlineStr">
        <is>
          <t>ÖSTERSUND</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29431-2023</t>
        </is>
      </c>
      <c r="B6556" s="1" t="n">
        <v>45106</v>
      </c>
      <c r="C6556" s="1" t="n">
        <v>45182</v>
      </c>
      <c r="D6556" t="inlineStr">
        <is>
          <t>JÄMTLANDS LÄN</t>
        </is>
      </c>
      <c r="E6556" t="inlineStr">
        <is>
          <t>HÄRJEDALEN</t>
        </is>
      </c>
      <c r="F6556" t="inlineStr">
        <is>
          <t>Bergvik skog väst AB</t>
        </is>
      </c>
      <c r="G6556" t="n">
        <v>3</v>
      </c>
      <c r="H6556" t="n">
        <v>0</v>
      </c>
      <c r="I6556" t="n">
        <v>0</v>
      </c>
      <c r="J6556" t="n">
        <v>0</v>
      </c>
      <c r="K6556" t="n">
        <v>0</v>
      </c>
      <c r="L6556" t="n">
        <v>0</v>
      </c>
      <c r="M6556" t="n">
        <v>0</v>
      </c>
      <c r="N6556" t="n">
        <v>0</v>
      </c>
      <c r="O6556" t="n">
        <v>0</v>
      </c>
      <c r="P6556" t="n">
        <v>0</v>
      </c>
      <c r="Q6556" t="n">
        <v>0</v>
      </c>
      <c r="R6556" s="2" t="inlineStr"/>
    </row>
    <row r="6557" ht="15" customHeight="1">
      <c r="A6557" t="inlineStr">
        <is>
          <t>A 29939-2023</t>
        </is>
      </c>
      <c r="B6557" s="1" t="n">
        <v>45107</v>
      </c>
      <c r="C6557" s="1" t="n">
        <v>45182</v>
      </c>
      <c r="D6557" t="inlineStr">
        <is>
          <t>JÄMTLANDS LÄN</t>
        </is>
      </c>
      <c r="E6557" t="inlineStr">
        <is>
          <t>RAGUNDA</t>
        </is>
      </c>
      <c r="G6557" t="n">
        <v>11.3</v>
      </c>
      <c r="H6557" t="n">
        <v>0</v>
      </c>
      <c r="I6557" t="n">
        <v>0</v>
      </c>
      <c r="J6557" t="n">
        <v>0</v>
      </c>
      <c r="K6557" t="n">
        <v>0</v>
      </c>
      <c r="L6557" t="n">
        <v>0</v>
      </c>
      <c r="M6557" t="n">
        <v>0</v>
      </c>
      <c r="N6557" t="n">
        <v>0</v>
      </c>
      <c r="O6557" t="n">
        <v>0</v>
      </c>
      <c r="P6557" t="n">
        <v>0</v>
      </c>
      <c r="Q6557" t="n">
        <v>0</v>
      </c>
      <c r="R6557" s="2" t="inlineStr"/>
    </row>
    <row r="6558" ht="15" customHeight="1">
      <c r="A6558" t="inlineStr">
        <is>
          <t>A 29965-2023</t>
        </is>
      </c>
      <c r="B6558" s="1" t="n">
        <v>45107</v>
      </c>
      <c r="C6558" s="1" t="n">
        <v>45182</v>
      </c>
      <c r="D6558" t="inlineStr">
        <is>
          <t>JÄMTLANDS LÄN</t>
        </is>
      </c>
      <c r="E6558" t="inlineStr">
        <is>
          <t>STRÖMSUND</t>
        </is>
      </c>
      <c r="G6558" t="n">
        <v>7.5</v>
      </c>
      <c r="H6558" t="n">
        <v>0</v>
      </c>
      <c r="I6558" t="n">
        <v>0</v>
      </c>
      <c r="J6558" t="n">
        <v>0</v>
      </c>
      <c r="K6558" t="n">
        <v>0</v>
      </c>
      <c r="L6558" t="n">
        <v>0</v>
      </c>
      <c r="M6558" t="n">
        <v>0</v>
      </c>
      <c r="N6558" t="n">
        <v>0</v>
      </c>
      <c r="O6558" t="n">
        <v>0</v>
      </c>
      <c r="P6558" t="n">
        <v>0</v>
      </c>
      <c r="Q6558" t="n">
        <v>0</v>
      </c>
      <c r="R6558" s="2" t="inlineStr"/>
    </row>
    <row r="6559" ht="15" customHeight="1">
      <c r="A6559" t="inlineStr">
        <is>
          <t>A 32131-2023</t>
        </is>
      </c>
      <c r="B6559" s="1" t="n">
        <v>45107</v>
      </c>
      <c r="C6559" s="1" t="n">
        <v>45182</v>
      </c>
      <c r="D6559" t="inlineStr">
        <is>
          <t>JÄMTLANDS LÄN</t>
        </is>
      </c>
      <c r="E6559" t="inlineStr">
        <is>
          <t>KROKOM</t>
        </is>
      </c>
      <c r="G6559" t="n">
        <v>3.1</v>
      </c>
      <c r="H6559" t="n">
        <v>0</v>
      </c>
      <c r="I6559" t="n">
        <v>0</v>
      </c>
      <c r="J6559" t="n">
        <v>0</v>
      </c>
      <c r="K6559" t="n">
        <v>0</v>
      </c>
      <c r="L6559" t="n">
        <v>0</v>
      </c>
      <c r="M6559" t="n">
        <v>0</v>
      </c>
      <c r="N6559" t="n">
        <v>0</v>
      </c>
      <c r="O6559" t="n">
        <v>0</v>
      </c>
      <c r="P6559" t="n">
        <v>0</v>
      </c>
      <c r="Q6559" t="n">
        <v>0</v>
      </c>
      <c r="R6559" s="2" t="inlineStr"/>
    </row>
    <row r="6560" ht="15" customHeight="1">
      <c r="A6560" t="inlineStr">
        <is>
          <t>A 29682-2023</t>
        </is>
      </c>
      <c r="B6560" s="1" t="n">
        <v>45107</v>
      </c>
      <c r="C6560" s="1" t="n">
        <v>45182</v>
      </c>
      <c r="D6560" t="inlineStr">
        <is>
          <t>JÄMTLANDS LÄN</t>
        </is>
      </c>
      <c r="E6560" t="inlineStr">
        <is>
          <t>ÖSTERSUND</t>
        </is>
      </c>
      <c r="G6560" t="n">
        <v>1.2</v>
      </c>
      <c r="H6560" t="n">
        <v>0</v>
      </c>
      <c r="I6560" t="n">
        <v>0</v>
      </c>
      <c r="J6560" t="n">
        <v>0</v>
      </c>
      <c r="K6560" t="n">
        <v>0</v>
      </c>
      <c r="L6560" t="n">
        <v>0</v>
      </c>
      <c r="M6560" t="n">
        <v>0</v>
      </c>
      <c r="N6560" t="n">
        <v>0</v>
      </c>
      <c r="O6560" t="n">
        <v>0</v>
      </c>
      <c r="P6560" t="n">
        <v>0</v>
      </c>
      <c r="Q6560" t="n">
        <v>0</v>
      </c>
      <c r="R6560" s="2" t="inlineStr"/>
    </row>
    <row r="6561" ht="15" customHeight="1">
      <c r="A6561" t="inlineStr">
        <is>
          <t>A 29703-2023</t>
        </is>
      </c>
      <c r="B6561" s="1" t="n">
        <v>45107</v>
      </c>
      <c r="C6561" s="1" t="n">
        <v>45182</v>
      </c>
      <c r="D6561" t="inlineStr">
        <is>
          <t>JÄMTLANDS LÄN</t>
        </is>
      </c>
      <c r="E6561" t="inlineStr">
        <is>
          <t>ÖSTERSUND</t>
        </is>
      </c>
      <c r="G6561" t="n">
        <v>0.3</v>
      </c>
      <c r="H6561" t="n">
        <v>0</v>
      </c>
      <c r="I6561" t="n">
        <v>0</v>
      </c>
      <c r="J6561" t="n">
        <v>0</v>
      </c>
      <c r="K6561" t="n">
        <v>0</v>
      </c>
      <c r="L6561" t="n">
        <v>0</v>
      </c>
      <c r="M6561" t="n">
        <v>0</v>
      </c>
      <c r="N6561" t="n">
        <v>0</v>
      </c>
      <c r="O6561" t="n">
        <v>0</v>
      </c>
      <c r="P6561" t="n">
        <v>0</v>
      </c>
      <c r="Q6561" t="n">
        <v>0</v>
      </c>
      <c r="R6561" s="2" t="inlineStr"/>
    </row>
    <row r="6562" ht="15" customHeight="1">
      <c r="A6562" t="inlineStr">
        <is>
          <t>A 29751-2023</t>
        </is>
      </c>
      <c r="B6562" s="1" t="n">
        <v>45107</v>
      </c>
      <c r="C6562" s="1" t="n">
        <v>45182</v>
      </c>
      <c r="D6562" t="inlineStr">
        <is>
          <t>JÄMTLANDS LÄN</t>
        </is>
      </c>
      <c r="E6562" t="inlineStr">
        <is>
          <t>BRÄCKE</t>
        </is>
      </c>
      <c r="G6562" t="n">
        <v>1</v>
      </c>
      <c r="H6562" t="n">
        <v>0</v>
      </c>
      <c r="I6562" t="n">
        <v>0</v>
      </c>
      <c r="J6562" t="n">
        <v>0</v>
      </c>
      <c r="K6562" t="n">
        <v>0</v>
      </c>
      <c r="L6562" t="n">
        <v>0</v>
      </c>
      <c r="M6562" t="n">
        <v>0</v>
      </c>
      <c r="N6562" t="n">
        <v>0</v>
      </c>
      <c r="O6562" t="n">
        <v>0</v>
      </c>
      <c r="P6562" t="n">
        <v>0</v>
      </c>
      <c r="Q6562" t="n">
        <v>0</v>
      </c>
      <c r="R6562" s="2" t="inlineStr"/>
    </row>
    <row r="6563" ht="15" customHeight="1">
      <c r="A6563" t="inlineStr">
        <is>
          <t>A 29772-2023</t>
        </is>
      </c>
      <c r="B6563" s="1" t="n">
        <v>45107</v>
      </c>
      <c r="C6563" s="1" t="n">
        <v>45182</v>
      </c>
      <c r="D6563" t="inlineStr">
        <is>
          <t>JÄMTLANDS LÄN</t>
        </is>
      </c>
      <c r="E6563" t="inlineStr">
        <is>
          <t>HÄRJEDALEN</t>
        </is>
      </c>
      <c r="G6563" t="n">
        <v>1.2</v>
      </c>
      <c r="H6563" t="n">
        <v>0</v>
      </c>
      <c r="I6563" t="n">
        <v>0</v>
      </c>
      <c r="J6563" t="n">
        <v>0</v>
      </c>
      <c r="K6563" t="n">
        <v>0</v>
      </c>
      <c r="L6563" t="n">
        <v>0</v>
      </c>
      <c r="M6563" t="n">
        <v>0</v>
      </c>
      <c r="N6563" t="n">
        <v>0</v>
      </c>
      <c r="O6563" t="n">
        <v>0</v>
      </c>
      <c r="P6563" t="n">
        <v>0</v>
      </c>
      <c r="Q6563" t="n">
        <v>0</v>
      </c>
      <c r="R6563" s="2" t="inlineStr"/>
    </row>
    <row r="6564" ht="15" customHeight="1">
      <c r="A6564" t="inlineStr">
        <is>
          <t>A 29941-2023</t>
        </is>
      </c>
      <c r="B6564" s="1" t="n">
        <v>45107</v>
      </c>
      <c r="C6564" s="1" t="n">
        <v>45182</v>
      </c>
      <c r="D6564" t="inlineStr">
        <is>
          <t>JÄMTLANDS LÄN</t>
        </is>
      </c>
      <c r="E6564" t="inlineStr">
        <is>
          <t>BRÄCKE</t>
        </is>
      </c>
      <c r="G6564" t="n">
        <v>6.1</v>
      </c>
      <c r="H6564" t="n">
        <v>0</v>
      </c>
      <c r="I6564" t="n">
        <v>0</v>
      </c>
      <c r="J6564" t="n">
        <v>0</v>
      </c>
      <c r="K6564" t="n">
        <v>0</v>
      </c>
      <c r="L6564" t="n">
        <v>0</v>
      </c>
      <c r="M6564" t="n">
        <v>0</v>
      </c>
      <c r="N6564" t="n">
        <v>0</v>
      </c>
      <c r="O6564" t="n">
        <v>0</v>
      </c>
      <c r="P6564" t="n">
        <v>0</v>
      </c>
      <c r="Q6564" t="n">
        <v>0</v>
      </c>
      <c r="R6564" s="2" t="inlineStr"/>
    </row>
    <row r="6565" ht="15" customHeight="1">
      <c r="A6565" t="inlineStr">
        <is>
          <t>A 32123-2023</t>
        </is>
      </c>
      <c r="B6565" s="1" t="n">
        <v>45107</v>
      </c>
      <c r="C6565" s="1" t="n">
        <v>45182</v>
      </c>
      <c r="D6565" t="inlineStr">
        <is>
          <t>JÄMTLANDS LÄN</t>
        </is>
      </c>
      <c r="E6565" t="inlineStr">
        <is>
          <t>KROKOM</t>
        </is>
      </c>
      <c r="G6565" t="n">
        <v>10.8</v>
      </c>
      <c r="H6565" t="n">
        <v>0</v>
      </c>
      <c r="I6565" t="n">
        <v>0</v>
      </c>
      <c r="J6565" t="n">
        <v>0</v>
      </c>
      <c r="K6565" t="n">
        <v>0</v>
      </c>
      <c r="L6565" t="n">
        <v>0</v>
      </c>
      <c r="M6565" t="n">
        <v>0</v>
      </c>
      <c r="N6565" t="n">
        <v>0</v>
      </c>
      <c r="O6565" t="n">
        <v>0</v>
      </c>
      <c r="P6565" t="n">
        <v>0</v>
      </c>
      <c r="Q6565" t="n">
        <v>0</v>
      </c>
      <c r="R6565" s="2" t="inlineStr"/>
    </row>
    <row r="6566" ht="15" customHeight="1">
      <c r="A6566" t="inlineStr">
        <is>
          <t>A 29936-2023</t>
        </is>
      </c>
      <c r="B6566" s="1" t="n">
        <v>45107</v>
      </c>
      <c r="C6566" s="1" t="n">
        <v>45182</v>
      </c>
      <c r="D6566" t="inlineStr">
        <is>
          <t>JÄMTLANDS LÄN</t>
        </is>
      </c>
      <c r="E6566" t="inlineStr">
        <is>
          <t>KROKOM</t>
        </is>
      </c>
      <c r="G6566" t="n">
        <v>77.40000000000001</v>
      </c>
      <c r="H6566" t="n">
        <v>0</v>
      </c>
      <c r="I6566" t="n">
        <v>0</v>
      </c>
      <c r="J6566" t="n">
        <v>0</v>
      </c>
      <c r="K6566" t="n">
        <v>0</v>
      </c>
      <c r="L6566" t="n">
        <v>0</v>
      </c>
      <c r="M6566" t="n">
        <v>0</v>
      </c>
      <c r="N6566" t="n">
        <v>0</v>
      </c>
      <c r="O6566" t="n">
        <v>0</v>
      </c>
      <c r="P6566" t="n">
        <v>0</v>
      </c>
      <c r="Q6566" t="n">
        <v>0</v>
      </c>
      <c r="R6566" s="2" t="inlineStr"/>
    </row>
    <row r="6567" ht="15" customHeight="1">
      <c r="A6567" t="inlineStr">
        <is>
          <t>A 29942-2023</t>
        </is>
      </c>
      <c r="B6567" s="1" t="n">
        <v>45107</v>
      </c>
      <c r="C6567" s="1" t="n">
        <v>45182</v>
      </c>
      <c r="D6567" t="inlineStr">
        <is>
          <t>JÄMTLANDS LÄN</t>
        </is>
      </c>
      <c r="E6567" t="inlineStr">
        <is>
          <t>BRÄCKE</t>
        </is>
      </c>
      <c r="G6567" t="n">
        <v>9.199999999999999</v>
      </c>
      <c r="H6567" t="n">
        <v>0</v>
      </c>
      <c r="I6567" t="n">
        <v>0</v>
      </c>
      <c r="J6567" t="n">
        <v>0</v>
      </c>
      <c r="K6567" t="n">
        <v>0</v>
      </c>
      <c r="L6567" t="n">
        <v>0</v>
      </c>
      <c r="M6567" t="n">
        <v>0</v>
      </c>
      <c r="N6567" t="n">
        <v>0</v>
      </c>
      <c r="O6567" t="n">
        <v>0</v>
      </c>
      <c r="P6567" t="n">
        <v>0</v>
      </c>
      <c r="Q6567" t="n">
        <v>0</v>
      </c>
      <c r="R6567" s="2" t="inlineStr"/>
    </row>
    <row r="6568" ht="15" customHeight="1">
      <c r="A6568" t="inlineStr">
        <is>
          <t>A 32000-2023</t>
        </is>
      </c>
      <c r="B6568" s="1" t="n">
        <v>45107</v>
      </c>
      <c r="C6568" s="1" t="n">
        <v>45182</v>
      </c>
      <c r="D6568" t="inlineStr">
        <is>
          <t>JÄMTLANDS LÄN</t>
        </is>
      </c>
      <c r="E6568" t="inlineStr">
        <is>
          <t>BRÄCKE</t>
        </is>
      </c>
      <c r="G6568" t="n">
        <v>8.699999999999999</v>
      </c>
      <c r="H6568" t="n">
        <v>0</v>
      </c>
      <c r="I6568" t="n">
        <v>0</v>
      </c>
      <c r="J6568" t="n">
        <v>0</v>
      </c>
      <c r="K6568" t="n">
        <v>0</v>
      </c>
      <c r="L6568" t="n">
        <v>0</v>
      </c>
      <c r="M6568" t="n">
        <v>0</v>
      </c>
      <c r="N6568" t="n">
        <v>0</v>
      </c>
      <c r="O6568" t="n">
        <v>0</v>
      </c>
      <c r="P6568" t="n">
        <v>0</v>
      </c>
      <c r="Q6568" t="n">
        <v>0</v>
      </c>
      <c r="R6568" s="2" t="inlineStr"/>
    </row>
    <row r="6569" ht="15" customHeight="1">
      <c r="A6569" t="inlineStr">
        <is>
          <t>A 29940-2023</t>
        </is>
      </c>
      <c r="B6569" s="1" t="n">
        <v>45107</v>
      </c>
      <c r="C6569" s="1" t="n">
        <v>45182</v>
      </c>
      <c r="D6569" t="inlineStr">
        <is>
          <t>JÄMTLANDS LÄN</t>
        </is>
      </c>
      <c r="E6569" t="inlineStr">
        <is>
          <t>RAGUNDA</t>
        </is>
      </c>
      <c r="G6569" t="n">
        <v>13.5</v>
      </c>
      <c r="H6569" t="n">
        <v>0</v>
      </c>
      <c r="I6569" t="n">
        <v>0</v>
      </c>
      <c r="J6569" t="n">
        <v>0</v>
      </c>
      <c r="K6569" t="n">
        <v>0</v>
      </c>
      <c r="L6569" t="n">
        <v>0</v>
      </c>
      <c r="M6569" t="n">
        <v>0</v>
      </c>
      <c r="N6569" t="n">
        <v>0</v>
      </c>
      <c r="O6569" t="n">
        <v>0</v>
      </c>
      <c r="P6569" t="n">
        <v>0</v>
      </c>
      <c r="Q6569" t="n">
        <v>0</v>
      </c>
      <c r="R6569" s="2" t="inlineStr"/>
    </row>
    <row r="6570" ht="15" customHeight="1">
      <c r="A6570" t="inlineStr">
        <is>
          <t>A 31959-2023</t>
        </is>
      </c>
      <c r="B6570" s="1" t="n">
        <v>45107</v>
      </c>
      <c r="C6570" s="1" t="n">
        <v>45182</v>
      </c>
      <c r="D6570" t="inlineStr">
        <is>
          <t>JÄMTLANDS LÄN</t>
        </is>
      </c>
      <c r="E6570" t="inlineStr">
        <is>
          <t>KROKOM</t>
        </is>
      </c>
      <c r="G6570" t="n">
        <v>12.1</v>
      </c>
      <c r="H6570" t="n">
        <v>0</v>
      </c>
      <c r="I6570" t="n">
        <v>0</v>
      </c>
      <c r="J6570" t="n">
        <v>0</v>
      </c>
      <c r="K6570" t="n">
        <v>0</v>
      </c>
      <c r="L6570" t="n">
        <v>0</v>
      </c>
      <c r="M6570" t="n">
        <v>0</v>
      </c>
      <c r="N6570" t="n">
        <v>0</v>
      </c>
      <c r="O6570" t="n">
        <v>0</v>
      </c>
      <c r="P6570" t="n">
        <v>0</v>
      </c>
      <c r="Q6570" t="n">
        <v>0</v>
      </c>
      <c r="R6570" s="2" t="inlineStr"/>
    </row>
    <row r="6571" ht="15" customHeight="1">
      <c r="A6571" t="inlineStr">
        <is>
          <t>A 30284-2023</t>
        </is>
      </c>
      <c r="B6571" s="1" t="n">
        <v>45110</v>
      </c>
      <c r="C6571" s="1" t="n">
        <v>45182</v>
      </c>
      <c r="D6571" t="inlineStr">
        <is>
          <t>JÄMTLANDS LÄN</t>
        </is>
      </c>
      <c r="E6571" t="inlineStr">
        <is>
          <t>STRÖMSUND</t>
        </is>
      </c>
      <c r="G6571" t="n">
        <v>4</v>
      </c>
      <c r="H6571" t="n">
        <v>0</v>
      </c>
      <c r="I6571" t="n">
        <v>0</v>
      </c>
      <c r="J6571" t="n">
        <v>0</v>
      </c>
      <c r="K6571" t="n">
        <v>0</v>
      </c>
      <c r="L6571" t="n">
        <v>0</v>
      </c>
      <c r="M6571" t="n">
        <v>0</v>
      </c>
      <c r="N6571" t="n">
        <v>0</v>
      </c>
      <c r="O6571" t="n">
        <v>0</v>
      </c>
      <c r="P6571" t="n">
        <v>0</v>
      </c>
      <c r="Q6571" t="n">
        <v>0</v>
      </c>
      <c r="R6571" s="2" t="inlineStr"/>
    </row>
    <row r="6572" ht="15" customHeight="1">
      <c r="A6572" t="inlineStr">
        <is>
          <t>A 32379-2023</t>
        </is>
      </c>
      <c r="B6572" s="1" t="n">
        <v>45110</v>
      </c>
      <c r="C6572" s="1" t="n">
        <v>45182</v>
      </c>
      <c r="D6572" t="inlineStr">
        <is>
          <t>JÄMTLANDS LÄN</t>
        </is>
      </c>
      <c r="E6572" t="inlineStr">
        <is>
          <t>STRÖMSUND</t>
        </is>
      </c>
      <c r="G6572" t="n">
        <v>5.4</v>
      </c>
      <c r="H6572" t="n">
        <v>0</v>
      </c>
      <c r="I6572" t="n">
        <v>0</v>
      </c>
      <c r="J6572" t="n">
        <v>0</v>
      </c>
      <c r="K6572" t="n">
        <v>0</v>
      </c>
      <c r="L6572" t="n">
        <v>0</v>
      </c>
      <c r="M6572" t="n">
        <v>0</v>
      </c>
      <c r="N6572" t="n">
        <v>0</v>
      </c>
      <c r="O6572" t="n">
        <v>0</v>
      </c>
      <c r="P6572" t="n">
        <v>0</v>
      </c>
      <c r="Q6572" t="n">
        <v>0</v>
      </c>
      <c r="R6572" s="2" t="inlineStr"/>
    </row>
    <row r="6573" ht="15" customHeight="1">
      <c r="A6573" t="inlineStr">
        <is>
          <t>A 30285-2023</t>
        </is>
      </c>
      <c r="B6573" s="1" t="n">
        <v>45110</v>
      </c>
      <c r="C6573" s="1" t="n">
        <v>45182</v>
      </c>
      <c r="D6573" t="inlineStr">
        <is>
          <t>JÄMTLANDS LÄN</t>
        </is>
      </c>
      <c r="E6573" t="inlineStr">
        <is>
          <t>STRÖMSUND</t>
        </is>
      </c>
      <c r="G6573" t="n">
        <v>6.4</v>
      </c>
      <c r="H6573" t="n">
        <v>0</v>
      </c>
      <c r="I6573" t="n">
        <v>0</v>
      </c>
      <c r="J6573" t="n">
        <v>0</v>
      </c>
      <c r="K6573" t="n">
        <v>0</v>
      </c>
      <c r="L6573" t="n">
        <v>0</v>
      </c>
      <c r="M6573" t="n">
        <v>0</v>
      </c>
      <c r="N6573" t="n">
        <v>0</v>
      </c>
      <c r="O6573" t="n">
        <v>0</v>
      </c>
      <c r="P6573" t="n">
        <v>0</v>
      </c>
      <c r="Q6573" t="n">
        <v>0</v>
      </c>
      <c r="R6573" s="2" t="inlineStr"/>
    </row>
    <row r="6574" ht="15" customHeight="1">
      <c r="A6574" t="inlineStr">
        <is>
          <t>A 30310-2023</t>
        </is>
      </c>
      <c r="B6574" s="1" t="n">
        <v>45110</v>
      </c>
      <c r="C6574" s="1" t="n">
        <v>45182</v>
      </c>
      <c r="D6574" t="inlineStr">
        <is>
          <t>JÄMTLANDS LÄN</t>
        </is>
      </c>
      <c r="E6574" t="inlineStr">
        <is>
          <t>BRÄCKE</t>
        </is>
      </c>
      <c r="F6574" t="inlineStr">
        <is>
          <t>SCA</t>
        </is>
      </c>
      <c r="G6574" t="n">
        <v>3.4</v>
      </c>
      <c r="H6574" t="n">
        <v>0</v>
      </c>
      <c r="I6574" t="n">
        <v>0</v>
      </c>
      <c r="J6574" t="n">
        <v>0</v>
      </c>
      <c r="K6574" t="n">
        <v>0</v>
      </c>
      <c r="L6574" t="n">
        <v>0</v>
      </c>
      <c r="M6574" t="n">
        <v>0</v>
      </c>
      <c r="N6574" t="n">
        <v>0</v>
      </c>
      <c r="O6574" t="n">
        <v>0</v>
      </c>
      <c r="P6574" t="n">
        <v>0</v>
      </c>
      <c r="Q6574" t="n">
        <v>0</v>
      </c>
      <c r="R6574" s="2" t="inlineStr"/>
    </row>
    <row r="6575" ht="15" customHeight="1">
      <c r="A6575" t="inlineStr">
        <is>
          <t>A 30486-2023</t>
        </is>
      </c>
      <c r="B6575" s="1" t="n">
        <v>45111</v>
      </c>
      <c r="C6575" s="1" t="n">
        <v>45182</v>
      </c>
      <c r="D6575" t="inlineStr">
        <is>
          <t>JÄMTLANDS LÄN</t>
        </is>
      </c>
      <c r="E6575" t="inlineStr">
        <is>
          <t>KROKOM</t>
        </is>
      </c>
      <c r="G6575" t="n">
        <v>3.4</v>
      </c>
      <c r="H6575" t="n">
        <v>0</v>
      </c>
      <c r="I6575" t="n">
        <v>0</v>
      </c>
      <c r="J6575" t="n">
        <v>0</v>
      </c>
      <c r="K6575" t="n">
        <v>0</v>
      </c>
      <c r="L6575" t="n">
        <v>0</v>
      </c>
      <c r="M6575" t="n">
        <v>0</v>
      </c>
      <c r="N6575" t="n">
        <v>0</v>
      </c>
      <c r="O6575" t="n">
        <v>0</v>
      </c>
      <c r="P6575" t="n">
        <v>0</v>
      </c>
      <c r="Q6575" t="n">
        <v>0</v>
      </c>
      <c r="R6575" s="2" t="inlineStr"/>
    </row>
    <row r="6576" ht="15" customHeight="1">
      <c r="A6576" t="inlineStr">
        <is>
          <t>A 32572-2023</t>
        </is>
      </c>
      <c r="B6576" s="1" t="n">
        <v>45111</v>
      </c>
      <c r="C6576" s="1" t="n">
        <v>45182</v>
      </c>
      <c r="D6576" t="inlineStr">
        <is>
          <t>JÄMTLANDS LÄN</t>
        </is>
      </c>
      <c r="E6576" t="inlineStr">
        <is>
          <t>STRÖMSUND</t>
        </is>
      </c>
      <c r="G6576" t="n">
        <v>1.3</v>
      </c>
      <c r="H6576" t="n">
        <v>0</v>
      </c>
      <c r="I6576" t="n">
        <v>0</v>
      </c>
      <c r="J6576" t="n">
        <v>0</v>
      </c>
      <c r="K6576" t="n">
        <v>0</v>
      </c>
      <c r="L6576" t="n">
        <v>0</v>
      </c>
      <c r="M6576" t="n">
        <v>0</v>
      </c>
      <c r="N6576" t="n">
        <v>0</v>
      </c>
      <c r="O6576" t="n">
        <v>0</v>
      </c>
      <c r="P6576" t="n">
        <v>0</v>
      </c>
      <c r="Q6576" t="n">
        <v>0</v>
      </c>
      <c r="R6576" s="2" t="inlineStr"/>
    </row>
    <row r="6577" ht="15" customHeight="1">
      <c r="A6577" t="inlineStr">
        <is>
          <t>A 32538-2023</t>
        </is>
      </c>
      <c r="B6577" s="1" t="n">
        <v>45111</v>
      </c>
      <c r="C6577" s="1" t="n">
        <v>45182</v>
      </c>
      <c r="D6577" t="inlineStr">
        <is>
          <t>JÄMTLANDS LÄN</t>
        </is>
      </c>
      <c r="E6577" t="inlineStr">
        <is>
          <t>STRÖMSUND</t>
        </is>
      </c>
      <c r="F6577" t="inlineStr">
        <is>
          <t>Kommuner</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32550-2023</t>
        </is>
      </c>
      <c r="B6578" s="1" t="n">
        <v>45111</v>
      </c>
      <c r="C6578" s="1" t="n">
        <v>45182</v>
      </c>
      <c r="D6578" t="inlineStr">
        <is>
          <t>JÄMTLANDS LÄN</t>
        </is>
      </c>
      <c r="E6578" t="inlineStr">
        <is>
          <t>STRÖMSUND</t>
        </is>
      </c>
      <c r="F6578" t="inlineStr">
        <is>
          <t>Kommuner</t>
        </is>
      </c>
      <c r="G6578" t="n">
        <v>6.8</v>
      </c>
      <c r="H6578" t="n">
        <v>0</v>
      </c>
      <c r="I6578" t="n">
        <v>0</v>
      </c>
      <c r="J6578" t="n">
        <v>0</v>
      </c>
      <c r="K6578" t="n">
        <v>0</v>
      </c>
      <c r="L6578" t="n">
        <v>0</v>
      </c>
      <c r="M6578" t="n">
        <v>0</v>
      </c>
      <c r="N6578" t="n">
        <v>0</v>
      </c>
      <c r="O6578" t="n">
        <v>0</v>
      </c>
      <c r="P6578" t="n">
        <v>0</v>
      </c>
      <c r="Q6578" t="n">
        <v>0</v>
      </c>
      <c r="R6578" s="2" t="inlineStr"/>
    </row>
    <row r="6579" ht="15" customHeight="1">
      <c r="A6579" t="inlineStr">
        <is>
          <t>A 30411-2023</t>
        </is>
      </c>
      <c r="B6579" s="1" t="n">
        <v>45111</v>
      </c>
      <c r="C6579" s="1" t="n">
        <v>45182</v>
      </c>
      <c r="D6579" t="inlineStr">
        <is>
          <t>JÄMTLANDS LÄN</t>
        </is>
      </c>
      <c r="E6579" t="inlineStr">
        <is>
          <t>HÄRJEDALEN</t>
        </is>
      </c>
      <c r="F6579" t="inlineStr">
        <is>
          <t>Bergvik skog väst AB</t>
        </is>
      </c>
      <c r="G6579" t="n">
        <v>28.3</v>
      </c>
      <c r="H6579" t="n">
        <v>0</v>
      </c>
      <c r="I6579" t="n">
        <v>0</v>
      </c>
      <c r="J6579" t="n">
        <v>0</v>
      </c>
      <c r="K6579" t="n">
        <v>0</v>
      </c>
      <c r="L6579" t="n">
        <v>0</v>
      </c>
      <c r="M6579" t="n">
        <v>0</v>
      </c>
      <c r="N6579" t="n">
        <v>0</v>
      </c>
      <c r="O6579" t="n">
        <v>0</v>
      </c>
      <c r="P6579" t="n">
        <v>0</v>
      </c>
      <c r="Q6579" t="n">
        <v>0</v>
      </c>
      <c r="R6579" s="2" t="inlineStr"/>
    </row>
    <row r="6580" ht="15" customHeight="1">
      <c r="A6580" t="inlineStr">
        <is>
          <t>A 30488-2023</t>
        </is>
      </c>
      <c r="B6580" s="1" t="n">
        <v>45111</v>
      </c>
      <c r="C6580" s="1" t="n">
        <v>45182</v>
      </c>
      <c r="D6580" t="inlineStr">
        <is>
          <t>JÄMTLANDS LÄN</t>
        </is>
      </c>
      <c r="E6580" t="inlineStr">
        <is>
          <t>KROKOM</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32546-2023</t>
        </is>
      </c>
      <c r="B6581" s="1" t="n">
        <v>45111</v>
      </c>
      <c r="C6581" s="1" t="n">
        <v>45182</v>
      </c>
      <c r="D6581" t="inlineStr">
        <is>
          <t>JÄMTLANDS LÄN</t>
        </is>
      </c>
      <c r="E6581" t="inlineStr">
        <is>
          <t>STRÖMSUND</t>
        </is>
      </c>
      <c r="F6581" t="inlineStr">
        <is>
          <t>Kommuner</t>
        </is>
      </c>
      <c r="G6581" t="n">
        <v>10.3</v>
      </c>
      <c r="H6581" t="n">
        <v>0</v>
      </c>
      <c r="I6581" t="n">
        <v>0</v>
      </c>
      <c r="J6581" t="n">
        <v>0</v>
      </c>
      <c r="K6581" t="n">
        <v>0</v>
      </c>
      <c r="L6581" t="n">
        <v>0</v>
      </c>
      <c r="M6581" t="n">
        <v>0</v>
      </c>
      <c r="N6581" t="n">
        <v>0</v>
      </c>
      <c r="O6581" t="n">
        <v>0</v>
      </c>
      <c r="P6581" t="n">
        <v>0</v>
      </c>
      <c r="Q6581" t="n">
        <v>0</v>
      </c>
      <c r="R6581" s="2" t="inlineStr"/>
    </row>
    <row r="6582" ht="15" customHeight="1">
      <c r="A6582" t="inlineStr">
        <is>
          <t>A 32592-2023</t>
        </is>
      </c>
      <c r="B6582" s="1" t="n">
        <v>45111</v>
      </c>
      <c r="C6582" s="1" t="n">
        <v>45182</v>
      </c>
      <c r="D6582" t="inlineStr">
        <is>
          <t>JÄMTLANDS LÄN</t>
        </is>
      </c>
      <c r="E6582" t="inlineStr">
        <is>
          <t>RAGUNDA</t>
        </is>
      </c>
      <c r="G6582" t="n">
        <v>1.6</v>
      </c>
      <c r="H6582" t="n">
        <v>0</v>
      </c>
      <c r="I6582" t="n">
        <v>0</v>
      </c>
      <c r="J6582" t="n">
        <v>0</v>
      </c>
      <c r="K6582" t="n">
        <v>0</v>
      </c>
      <c r="L6582" t="n">
        <v>0</v>
      </c>
      <c r="M6582" t="n">
        <v>0</v>
      </c>
      <c r="N6582" t="n">
        <v>0</v>
      </c>
      <c r="O6582" t="n">
        <v>0</v>
      </c>
      <c r="P6582" t="n">
        <v>0</v>
      </c>
      <c r="Q6582" t="n">
        <v>0</v>
      </c>
      <c r="R6582" s="2" t="inlineStr"/>
    </row>
    <row r="6583" ht="15" customHeight="1">
      <c r="A6583" t="inlineStr">
        <is>
          <t>A 30435-2023</t>
        </is>
      </c>
      <c r="B6583" s="1" t="n">
        <v>45111</v>
      </c>
      <c r="C6583" s="1" t="n">
        <v>45182</v>
      </c>
      <c r="D6583" t="inlineStr">
        <is>
          <t>JÄMTLANDS LÄN</t>
        </is>
      </c>
      <c r="E6583" t="inlineStr">
        <is>
          <t>HÄRJEDALEN</t>
        </is>
      </c>
      <c r="G6583" t="n">
        <v>20</v>
      </c>
      <c r="H6583" t="n">
        <v>0</v>
      </c>
      <c r="I6583" t="n">
        <v>0</v>
      </c>
      <c r="J6583" t="n">
        <v>0</v>
      </c>
      <c r="K6583" t="n">
        <v>0</v>
      </c>
      <c r="L6583" t="n">
        <v>0</v>
      </c>
      <c r="M6583" t="n">
        <v>0</v>
      </c>
      <c r="N6583" t="n">
        <v>0</v>
      </c>
      <c r="O6583" t="n">
        <v>0</v>
      </c>
      <c r="P6583" t="n">
        <v>0</v>
      </c>
      <c r="Q6583" t="n">
        <v>0</v>
      </c>
      <c r="R6583" s="2" t="inlineStr"/>
    </row>
    <row r="6584" ht="15" customHeight="1">
      <c r="A6584" t="inlineStr">
        <is>
          <t>A 32530-2023</t>
        </is>
      </c>
      <c r="B6584" s="1" t="n">
        <v>45111</v>
      </c>
      <c r="C6584" s="1" t="n">
        <v>45182</v>
      </c>
      <c r="D6584" t="inlineStr">
        <is>
          <t>JÄMTLANDS LÄN</t>
        </is>
      </c>
      <c r="E6584" t="inlineStr">
        <is>
          <t>STRÖMSUND</t>
        </is>
      </c>
      <c r="F6584" t="inlineStr">
        <is>
          <t>Kommuner</t>
        </is>
      </c>
      <c r="G6584" t="n">
        <v>3</v>
      </c>
      <c r="H6584" t="n">
        <v>0</v>
      </c>
      <c r="I6584" t="n">
        <v>0</v>
      </c>
      <c r="J6584" t="n">
        <v>0</v>
      </c>
      <c r="K6584" t="n">
        <v>0</v>
      </c>
      <c r="L6584" t="n">
        <v>0</v>
      </c>
      <c r="M6584" t="n">
        <v>0</v>
      </c>
      <c r="N6584" t="n">
        <v>0</v>
      </c>
      <c r="O6584" t="n">
        <v>0</v>
      </c>
      <c r="P6584" t="n">
        <v>0</v>
      </c>
      <c r="Q6584" t="n">
        <v>0</v>
      </c>
      <c r="R6584" s="2" t="inlineStr"/>
    </row>
    <row r="6585" ht="15" customHeight="1">
      <c r="A6585" t="inlineStr">
        <is>
          <t>A 30771-2023</t>
        </is>
      </c>
      <c r="B6585" s="1" t="n">
        <v>45112</v>
      </c>
      <c r="C6585" s="1" t="n">
        <v>45182</v>
      </c>
      <c r="D6585" t="inlineStr">
        <is>
          <t>JÄMTLANDS LÄN</t>
        </is>
      </c>
      <c r="E6585" t="inlineStr">
        <is>
          <t>KROKOM</t>
        </is>
      </c>
      <c r="G6585" t="n">
        <v>10.6</v>
      </c>
      <c r="H6585" t="n">
        <v>0</v>
      </c>
      <c r="I6585" t="n">
        <v>0</v>
      </c>
      <c r="J6585" t="n">
        <v>0</v>
      </c>
      <c r="K6585" t="n">
        <v>0</v>
      </c>
      <c r="L6585" t="n">
        <v>0</v>
      </c>
      <c r="M6585" t="n">
        <v>0</v>
      </c>
      <c r="N6585" t="n">
        <v>0</v>
      </c>
      <c r="O6585" t="n">
        <v>0</v>
      </c>
      <c r="P6585" t="n">
        <v>0</v>
      </c>
      <c r="Q6585" t="n">
        <v>0</v>
      </c>
      <c r="R6585" s="2" t="inlineStr"/>
    </row>
    <row r="6586" ht="15" customHeight="1">
      <c r="A6586" t="inlineStr">
        <is>
          <t>A 30818-2023</t>
        </is>
      </c>
      <c r="B6586" s="1" t="n">
        <v>45112</v>
      </c>
      <c r="C6586" s="1" t="n">
        <v>45182</v>
      </c>
      <c r="D6586" t="inlineStr">
        <is>
          <t>JÄMTLANDS LÄN</t>
        </is>
      </c>
      <c r="E6586" t="inlineStr">
        <is>
          <t>STRÖMSUND</t>
        </is>
      </c>
      <c r="G6586" t="n">
        <v>10.4</v>
      </c>
      <c r="H6586" t="n">
        <v>0</v>
      </c>
      <c r="I6586" t="n">
        <v>0</v>
      </c>
      <c r="J6586" t="n">
        <v>0</v>
      </c>
      <c r="K6586" t="n">
        <v>0</v>
      </c>
      <c r="L6586" t="n">
        <v>0</v>
      </c>
      <c r="M6586" t="n">
        <v>0</v>
      </c>
      <c r="N6586" t="n">
        <v>0</v>
      </c>
      <c r="O6586" t="n">
        <v>0</v>
      </c>
      <c r="P6586" t="n">
        <v>0</v>
      </c>
      <c r="Q6586" t="n">
        <v>0</v>
      </c>
      <c r="R6586" s="2" t="inlineStr"/>
    </row>
    <row r="6587" ht="15" customHeight="1">
      <c r="A6587" t="inlineStr">
        <is>
          <t>A 30826-2023</t>
        </is>
      </c>
      <c r="B6587" s="1" t="n">
        <v>45112</v>
      </c>
      <c r="C6587" s="1" t="n">
        <v>45182</v>
      </c>
      <c r="D6587" t="inlineStr">
        <is>
          <t>JÄMTLANDS LÄN</t>
        </is>
      </c>
      <c r="E6587" t="inlineStr">
        <is>
          <t>RAGUNDA</t>
        </is>
      </c>
      <c r="F6587" t="inlineStr">
        <is>
          <t>SCA</t>
        </is>
      </c>
      <c r="G6587" t="n">
        <v>3.1</v>
      </c>
      <c r="H6587" t="n">
        <v>0</v>
      </c>
      <c r="I6587" t="n">
        <v>0</v>
      </c>
      <c r="J6587" t="n">
        <v>0</v>
      </c>
      <c r="K6587" t="n">
        <v>0</v>
      </c>
      <c r="L6587" t="n">
        <v>0</v>
      </c>
      <c r="M6587" t="n">
        <v>0</v>
      </c>
      <c r="N6587" t="n">
        <v>0</v>
      </c>
      <c r="O6587" t="n">
        <v>0</v>
      </c>
      <c r="P6587" t="n">
        <v>0</v>
      </c>
      <c r="Q6587" t="n">
        <v>0</v>
      </c>
      <c r="R6587" s="2" t="inlineStr"/>
    </row>
    <row r="6588" ht="15" customHeight="1">
      <c r="A6588" t="inlineStr">
        <is>
          <t>A 32837-2023</t>
        </is>
      </c>
      <c r="B6588" s="1" t="n">
        <v>45112</v>
      </c>
      <c r="C6588" s="1" t="n">
        <v>45182</v>
      </c>
      <c r="D6588" t="inlineStr">
        <is>
          <t>JÄMTLANDS LÄN</t>
        </is>
      </c>
      <c r="E6588" t="inlineStr">
        <is>
          <t>KROKOM</t>
        </is>
      </c>
      <c r="G6588" t="n">
        <v>6.7</v>
      </c>
      <c r="H6588" t="n">
        <v>0</v>
      </c>
      <c r="I6588" t="n">
        <v>0</v>
      </c>
      <c r="J6588" t="n">
        <v>0</v>
      </c>
      <c r="K6588" t="n">
        <v>0</v>
      </c>
      <c r="L6588" t="n">
        <v>0</v>
      </c>
      <c r="M6588" t="n">
        <v>0</v>
      </c>
      <c r="N6588" t="n">
        <v>0</v>
      </c>
      <c r="O6588" t="n">
        <v>0</v>
      </c>
      <c r="P6588" t="n">
        <v>0</v>
      </c>
      <c r="Q6588" t="n">
        <v>0</v>
      </c>
      <c r="R6588" s="2" t="inlineStr"/>
    </row>
    <row r="6589" ht="15" customHeight="1">
      <c r="A6589" t="inlineStr">
        <is>
          <t>A 32884-2023</t>
        </is>
      </c>
      <c r="B6589" s="1" t="n">
        <v>45112</v>
      </c>
      <c r="C6589" s="1" t="n">
        <v>45182</v>
      </c>
      <c r="D6589" t="inlineStr">
        <is>
          <t>JÄMTLANDS LÄN</t>
        </is>
      </c>
      <c r="E6589" t="inlineStr">
        <is>
          <t>STRÖMSUND</t>
        </is>
      </c>
      <c r="F6589" t="inlineStr">
        <is>
          <t>Kommuner</t>
        </is>
      </c>
      <c r="G6589" t="n">
        <v>2.4</v>
      </c>
      <c r="H6589" t="n">
        <v>0</v>
      </c>
      <c r="I6589" t="n">
        <v>0</v>
      </c>
      <c r="J6589" t="n">
        <v>0</v>
      </c>
      <c r="K6589" t="n">
        <v>0</v>
      </c>
      <c r="L6589" t="n">
        <v>0</v>
      </c>
      <c r="M6589" t="n">
        <v>0</v>
      </c>
      <c r="N6589" t="n">
        <v>0</v>
      </c>
      <c r="O6589" t="n">
        <v>0</v>
      </c>
      <c r="P6589" t="n">
        <v>0</v>
      </c>
      <c r="Q6589" t="n">
        <v>0</v>
      </c>
      <c r="R6589" s="2" t="inlineStr"/>
    </row>
    <row r="6590" ht="15" customHeight="1">
      <c r="A6590" t="inlineStr">
        <is>
          <t>A 32692-2023</t>
        </is>
      </c>
      <c r="B6590" s="1" t="n">
        <v>45112</v>
      </c>
      <c r="C6590" s="1" t="n">
        <v>45182</v>
      </c>
      <c r="D6590" t="inlineStr">
        <is>
          <t>JÄMTLANDS LÄN</t>
        </is>
      </c>
      <c r="E6590" t="inlineStr">
        <is>
          <t>KROKOM</t>
        </is>
      </c>
      <c r="G6590" t="n">
        <v>6.6</v>
      </c>
      <c r="H6590" t="n">
        <v>0</v>
      </c>
      <c r="I6590" t="n">
        <v>0</v>
      </c>
      <c r="J6590" t="n">
        <v>0</v>
      </c>
      <c r="K6590" t="n">
        <v>0</v>
      </c>
      <c r="L6590" t="n">
        <v>0</v>
      </c>
      <c r="M6590" t="n">
        <v>0</v>
      </c>
      <c r="N6590" t="n">
        <v>0</v>
      </c>
      <c r="O6590" t="n">
        <v>0</v>
      </c>
      <c r="P6590" t="n">
        <v>0</v>
      </c>
      <c r="Q6590" t="n">
        <v>0</v>
      </c>
      <c r="R6590" s="2" t="inlineStr"/>
    </row>
    <row r="6591" ht="15" customHeight="1">
      <c r="A6591" t="inlineStr">
        <is>
          <t>A 32871-2023</t>
        </is>
      </c>
      <c r="B6591" s="1" t="n">
        <v>45112</v>
      </c>
      <c r="C6591" s="1" t="n">
        <v>45182</v>
      </c>
      <c r="D6591" t="inlineStr">
        <is>
          <t>JÄMTLANDS LÄN</t>
        </is>
      </c>
      <c r="E6591" t="inlineStr">
        <is>
          <t>STRÖMSUND</t>
        </is>
      </c>
      <c r="F6591" t="inlineStr">
        <is>
          <t>Kommuner</t>
        </is>
      </c>
      <c r="G6591" t="n">
        <v>0.7</v>
      </c>
      <c r="H6591" t="n">
        <v>0</v>
      </c>
      <c r="I6591" t="n">
        <v>0</v>
      </c>
      <c r="J6591" t="n">
        <v>0</v>
      </c>
      <c r="K6591" t="n">
        <v>0</v>
      </c>
      <c r="L6591" t="n">
        <v>0</v>
      </c>
      <c r="M6591" t="n">
        <v>0</v>
      </c>
      <c r="N6591" t="n">
        <v>0</v>
      </c>
      <c r="O6591" t="n">
        <v>0</v>
      </c>
      <c r="P6591" t="n">
        <v>0</v>
      </c>
      <c r="Q6591" t="n">
        <v>0</v>
      </c>
      <c r="R6591" s="2" t="inlineStr"/>
    </row>
    <row r="6592" ht="15" customHeight="1">
      <c r="A6592" t="inlineStr">
        <is>
          <t>A 32881-2023</t>
        </is>
      </c>
      <c r="B6592" s="1" t="n">
        <v>45112</v>
      </c>
      <c r="C6592" s="1" t="n">
        <v>45182</v>
      </c>
      <c r="D6592" t="inlineStr">
        <is>
          <t>JÄMTLANDS LÄN</t>
        </is>
      </c>
      <c r="E6592" t="inlineStr">
        <is>
          <t>KROKOM</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30602-2023</t>
        </is>
      </c>
      <c r="B6593" s="1" t="n">
        <v>45112</v>
      </c>
      <c r="C6593" s="1" t="n">
        <v>45182</v>
      </c>
      <c r="D6593" t="inlineStr">
        <is>
          <t>JÄMTLANDS LÄN</t>
        </is>
      </c>
      <c r="E6593" t="inlineStr">
        <is>
          <t>ÖSTERSUND</t>
        </is>
      </c>
      <c r="G6593" t="n">
        <v>0.5</v>
      </c>
      <c r="H6593" t="n">
        <v>0</v>
      </c>
      <c r="I6593" t="n">
        <v>0</v>
      </c>
      <c r="J6593" t="n">
        <v>0</v>
      </c>
      <c r="K6593" t="n">
        <v>0</v>
      </c>
      <c r="L6593" t="n">
        <v>0</v>
      </c>
      <c r="M6593" t="n">
        <v>0</v>
      </c>
      <c r="N6593" t="n">
        <v>0</v>
      </c>
      <c r="O6593" t="n">
        <v>0</v>
      </c>
      <c r="P6593" t="n">
        <v>0</v>
      </c>
      <c r="Q6593" t="n">
        <v>0</v>
      </c>
      <c r="R6593" s="2" t="inlineStr"/>
    </row>
    <row r="6594" ht="15" customHeight="1">
      <c r="A6594" t="inlineStr">
        <is>
          <t>A 30832-2023</t>
        </is>
      </c>
      <c r="B6594" s="1" t="n">
        <v>45112</v>
      </c>
      <c r="C6594" s="1" t="n">
        <v>45182</v>
      </c>
      <c r="D6594" t="inlineStr">
        <is>
          <t>JÄMTLANDS LÄN</t>
        </is>
      </c>
      <c r="E6594" t="inlineStr">
        <is>
          <t>STRÖMSUND</t>
        </is>
      </c>
      <c r="F6594" t="inlineStr">
        <is>
          <t>SCA</t>
        </is>
      </c>
      <c r="G6594" t="n">
        <v>2.5</v>
      </c>
      <c r="H6594" t="n">
        <v>0</v>
      </c>
      <c r="I6594" t="n">
        <v>0</v>
      </c>
      <c r="J6594" t="n">
        <v>0</v>
      </c>
      <c r="K6594" t="n">
        <v>0</v>
      </c>
      <c r="L6594" t="n">
        <v>0</v>
      </c>
      <c r="M6594" t="n">
        <v>0</v>
      </c>
      <c r="N6594" t="n">
        <v>0</v>
      </c>
      <c r="O6594" t="n">
        <v>0</v>
      </c>
      <c r="P6594" t="n">
        <v>0</v>
      </c>
      <c r="Q6594" t="n">
        <v>0</v>
      </c>
      <c r="R6594" s="2" t="inlineStr"/>
    </row>
    <row r="6595" ht="15" customHeight="1">
      <c r="A6595" t="inlineStr">
        <is>
          <t>A 32650-2023</t>
        </is>
      </c>
      <c r="B6595" s="1" t="n">
        <v>45112</v>
      </c>
      <c r="C6595" s="1" t="n">
        <v>45182</v>
      </c>
      <c r="D6595" t="inlineStr">
        <is>
          <t>JÄMTLANDS LÄN</t>
        </is>
      </c>
      <c r="E6595" t="inlineStr">
        <is>
          <t>KROKOM</t>
        </is>
      </c>
      <c r="G6595" t="n">
        <v>2.5</v>
      </c>
      <c r="H6595" t="n">
        <v>0</v>
      </c>
      <c r="I6595" t="n">
        <v>0</v>
      </c>
      <c r="J6595" t="n">
        <v>0</v>
      </c>
      <c r="K6595" t="n">
        <v>0</v>
      </c>
      <c r="L6595" t="n">
        <v>0</v>
      </c>
      <c r="M6595" t="n">
        <v>0</v>
      </c>
      <c r="N6595" t="n">
        <v>0</v>
      </c>
      <c r="O6595" t="n">
        <v>0</v>
      </c>
      <c r="P6595" t="n">
        <v>0</v>
      </c>
      <c r="Q6595" t="n">
        <v>0</v>
      </c>
      <c r="R6595" s="2" t="inlineStr"/>
    </row>
    <row r="6596" ht="15" customHeight="1">
      <c r="A6596" t="inlineStr">
        <is>
          <t>A 32873-2023</t>
        </is>
      </c>
      <c r="B6596" s="1" t="n">
        <v>45112</v>
      </c>
      <c r="C6596" s="1" t="n">
        <v>45182</v>
      </c>
      <c r="D6596" t="inlineStr">
        <is>
          <t>JÄMTLANDS LÄN</t>
        </is>
      </c>
      <c r="E6596" t="inlineStr">
        <is>
          <t>STRÖMSUND</t>
        </is>
      </c>
      <c r="F6596" t="inlineStr">
        <is>
          <t>Kommuner</t>
        </is>
      </c>
      <c r="G6596" t="n">
        <v>0.7</v>
      </c>
      <c r="H6596" t="n">
        <v>0</v>
      </c>
      <c r="I6596" t="n">
        <v>0</v>
      </c>
      <c r="J6596" t="n">
        <v>0</v>
      </c>
      <c r="K6596" t="n">
        <v>0</v>
      </c>
      <c r="L6596" t="n">
        <v>0</v>
      </c>
      <c r="M6596" t="n">
        <v>0</v>
      </c>
      <c r="N6596" t="n">
        <v>0</v>
      </c>
      <c r="O6596" t="n">
        <v>0</v>
      </c>
      <c r="P6596" t="n">
        <v>0</v>
      </c>
      <c r="Q6596" t="n">
        <v>0</v>
      </c>
      <c r="R6596" s="2" t="inlineStr"/>
    </row>
    <row r="6597" ht="15" customHeight="1">
      <c r="A6597" t="inlineStr">
        <is>
          <t>A 32882-2023</t>
        </is>
      </c>
      <c r="B6597" s="1" t="n">
        <v>45112</v>
      </c>
      <c r="C6597" s="1" t="n">
        <v>45182</v>
      </c>
      <c r="D6597" t="inlineStr">
        <is>
          <t>JÄMTLANDS LÄN</t>
        </is>
      </c>
      <c r="E6597" t="inlineStr">
        <is>
          <t>STRÖMSUND</t>
        </is>
      </c>
      <c r="F6597" t="inlineStr">
        <is>
          <t>Kommuner</t>
        </is>
      </c>
      <c r="G6597" t="n">
        <v>0.2</v>
      </c>
      <c r="H6597" t="n">
        <v>0</v>
      </c>
      <c r="I6597" t="n">
        <v>0</v>
      </c>
      <c r="J6597" t="n">
        <v>0</v>
      </c>
      <c r="K6597" t="n">
        <v>0</v>
      </c>
      <c r="L6597" t="n">
        <v>0</v>
      </c>
      <c r="M6597" t="n">
        <v>0</v>
      </c>
      <c r="N6597" t="n">
        <v>0</v>
      </c>
      <c r="O6597" t="n">
        <v>0</v>
      </c>
      <c r="P6597" t="n">
        <v>0</v>
      </c>
      <c r="Q6597" t="n">
        <v>0</v>
      </c>
      <c r="R6597" s="2" t="inlineStr"/>
    </row>
    <row r="6598" ht="15" customHeight="1">
      <c r="A6598" t="inlineStr">
        <is>
          <t>A 30823-2023</t>
        </is>
      </c>
      <c r="B6598" s="1" t="n">
        <v>45112</v>
      </c>
      <c r="C6598" s="1" t="n">
        <v>45182</v>
      </c>
      <c r="D6598" t="inlineStr">
        <is>
          <t>JÄMTLANDS LÄN</t>
        </is>
      </c>
      <c r="E6598" t="inlineStr">
        <is>
          <t>RAGUNDA</t>
        </is>
      </c>
      <c r="F6598" t="inlineStr">
        <is>
          <t>SCA</t>
        </is>
      </c>
      <c r="G6598" t="n">
        <v>9</v>
      </c>
      <c r="H6598" t="n">
        <v>0</v>
      </c>
      <c r="I6598" t="n">
        <v>0</v>
      </c>
      <c r="J6598" t="n">
        <v>0</v>
      </c>
      <c r="K6598" t="n">
        <v>0</v>
      </c>
      <c r="L6598" t="n">
        <v>0</v>
      </c>
      <c r="M6598" t="n">
        <v>0</v>
      </c>
      <c r="N6598" t="n">
        <v>0</v>
      </c>
      <c r="O6598" t="n">
        <v>0</v>
      </c>
      <c r="P6598" t="n">
        <v>0</v>
      </c>
      <c r="Q6598" t="n">
        <v>0</v>
      </c>
      <c r="R6598" s="2" t="inlineStr"/>
    </row>
    <row r="6599" ht="15" customHeight="1">
      <c r="A6599" t="inlineStr">
        <is>
          <t>A 30833-2023</t>
        </is>
      </c>
      <c r="B6599" s="1" t="n">
        <v>45112</v>
      </c>
      <c r="C6599" s="1" t="n">
        <v>45182</v>
      </c>
      <c r="D6599" t="inlineStr">
        <is>
          <t>JÄMTLANDS LÄN</t>
        </is>
      </c>
      <c r="E6599" t="inlineStr">
        <is>
          <t>BRÄCKE</t>
        </is>
      </c>
      <c r="F6599" t="inlineStr">
        <is>
          <t>SCA</t>
        </is>
      </c>
      <c r="G6599" t="n">
        <v>5.4</v>
      </c>
      <c r="H6599" t="n">
        <v>0</v>
      </c>
      <c r="I6599" t="n">
        <v>0</v>
      </c>
      <c r="J6599" t="n">
        <v>0</v>
      </c>
      <c r="K6599" t="n">
        <v>0</v>
      </c>
      <c r="L6599" t="n">
        <v>0</v>
      </c>
      <c r="M6599" t="n">
        <v>0</v>
      </c>
      <c r="N6599" t="n">
        <v>0</v>
      </c>
      <c r="O6599" t="n">
        <v>0</v>
      </c>
      <c r="P6599" t="n">
        <v>0</v>
      </c>
      <c r="Q6599" t="n">
        <v>0</v>
      </c>
      <c r="R6599" s="2" t="inlineStr"/>
    </row>
    <row r="6600" ht="15" customHeight="1">
      <c r="A6600" t="inlineStr">
        <is>
          <t>A 32883-2023</t>
        </is>
      </c>
      <c r="B6600" s="1" t="n">
        <v>45112</v>
      </c>
      <c r="C6600" s="1" t="n">
        <v>45182</v>
      </c>
      <c r="D6600" t="inlineStr">
        <is>
          <t>JÄMTLANDS LÄN</t>
        </is>
      </c>
      <c r="E6600" t="inlineStr">
        <is>
          <t>STRÖMSUND</t>
        </is>
      </c>
      <c r="F6600" t="inlineStr">
        <is>
          <t>Kommuner</t>
        </is>
      </c>
      <c r="G6600" t="n">
        <v>1.4</v>
      </c>
      <c r="H6600" t="n">
        <v>0</v>
      </c>
      <c r="I6600" t="n">
        <v>0</v>
      </c>
      <c r="J6600" t="n">
        <v>0</v>
      </c>
      <c r="K6600" t="n">
        <v>0</v>
      </c>
      <c r="L6600" t="n">
        <v>0</v>
      </c>
      <c r="M6600" t="n">
        <v>0</v>
      </c>
      <c r="N6600" t="n">
        <v>0</v>
      </c>
      <c r="O6600" t="n">
        <v>0</v>
      </c>
      <c r="P6600" t="n">
        <v>0</v>
      </c>
      <c r="Q6600" t="n">
        <v>0</v>
      </c>
      <c r="R6600" s="2" t="inlineStr"/>
    </row>
    <row r="6601" ht="15" customHeight="1">
      <c r="A6601" t="inlineStr">
        <is>
          <t>A 30984-2023</t>
        </is>
      </c>
      <c r="B6601" s="1" t="n">
        <v>45113</v>
      </c>
      <c r="C6601" s="1" t="n">
        <v>45182</v>
      </c>
      <c r="D6601" t="inlineStr">
        <is>
          <t>JÄMTLANDS LÄN</t>
        </is>
      </c>
      <c r="E6601" t="inlineStr">
        <is>
          <t>HÄRJEDALEN</t>
        </is>
      </c>
      <c r="F6601" t="inlineStr">
        <is>
          <t>Bergvik skog väst AB</t>
        </is>
      </c>
      <c r="G6601" t="n">
        <v>1.2</v>
      </c>
      <c r="H6601" t="n">
        <v>0</v>
      </c>
      <c r="I6601" t="n">
        <v>0</v>
      </c>
      <c r="J6601" t="n">
        <v>0</v>
      </c>
      <c r="K6601" t="n">
        <v>0</v>
      </c>
      <c r="L6601" t="n">
        <v>0</v>
      </c>
      <c r="M6601" t="n">
        <v>0</v>
      </c>
      <c r="N6601" t="n">
        <v>0</v>
      </c>
      <c r="O6601" t="n">
        <v>0</v>
      </c>
      <c r="P6601" t="n">
        <v>0</v>
      </c>
      <c r="Q6601" t="n">
        <v>0</v>
      </c>
      <c r="R6601" s="2" t="inlineStr"/>
    </row>
    <row r="6602" ht="15" customHeight="1">
      <c r="A6602" t="inlineStr">
        <is>
          <t>A 31182-2023</t>
        </is>
      </c>
      <c r="B6602" s="1" t="n">
        <v>45113</v>
      </c>
      <c r="C6602" s="1" t="n">
        <v>45182</v>
      </c>
      <c r="D6602" t="inlineStr">
        <is>
          <t>JÄMTLANDS LÄN</t>
        </is>
      </c>
      <c r="E6602" t="inlineStr">
        <is>
          <t>STRÖMSUND</t>
        </is>
      </c>
      <c r="F6602" t="inlineStr">
        <is>
          <t>SCA</t>
        </is>
      </c>
      <c r="G6602" t="n">
        <v>3.1</v>
      </c>
      <c r="H6602" t="n">
        <v>0</v>
      </c>
      <c r="I6602" t="n">
        <v>0</v>
      </c>
      <c r="J6602" t="n">
        <v>0</v>
      </c>
      <c r="K6602" t="n">
        <v>0</v>
      </c>
      <c r="L6602" t="n">
        <v>0</v>
      </c>
      <c r="M6602" t="n">
        <v>0</v>
      </c>
      <c r="N6602" t="n">
        <v>0</v>
      </c>
      <c r="O6602" t="n">
        <v>0</v>
      </c>
      <c r="P6602" t="n">
        <v>0</v>
      </c>
      <c r="Q6602" t="n">
        <v>0</v>
      </c>
      <c r="R6602" s="2" t="inlineStr"/>
    </row>
    <row r="6603" ht="15" customHeight="1">
      <c r="A6603" t="inlineStr">
        <is>
          <t>A 31201-2023</t>
        </is>
      </c>
      <c r="B6603" s="1" t="n">
        <v>45113</v>
      </c>
      <c r="C6603" s="1" t="n">
        <v>45182</v>
      </c>
      <c r="D6603" t="inlineStr">
        <is>
          <t>JÄMTLANDS LÄN</t>
        </is>
      </c>
      <c r="E6603" t="inlineStr">
        <is>
          <t>STRÖMSUND</t>
        </is>
      </c>
      <c r="F6603" t="inlineStr">
        <is>
          <t>SCA</t>
        </is>
      </c>
      <c r="G6603" t="n">
        <v>10.5</v>
      </c>
      <c r="H6603" t="n">
        <v>0</v>
      </c>
      <c r="I6603" t="n">
        <v>0</v>
      </c>
      <c r="J6603" t="n">
        <v>0</v>
      </c>
      <c r="K6603" t="n">
        <v>0</v>
      </c>
      <c r="L6603" t="n">
        <v>0</v>
      </c>
      <c r="M6603" t="n">
        <v>0</v>
      </c>
      <c r="N6603" t="n">
        <v>0</v>
      </c>
      <c r="O6603" t="n">
        <v>0</v>
      </c>
      <c r="P6603" t="n">
        <v>0</v>
      </c>
      <c r="Q6603" t="n">
        <v>0</v>
      </c>
      <c r="R6603" s="2" t="inlineStr"/>
    </row>
    <row r="6604" ht="15" customHeight="1">
      <c r="A6604" t="inlineStr">
        <is>
          <t>A 31269-2023</t>
        </is>
      </c>
      <c r="B6604" s="1" t="n">
        <v>45114</v>
      </c>
      <c r="C6604" s="1" t="n">
        <v>45182</v>
      </c>
      <c r="D6604" t="inlineStr">
        <is>
          <t>JÄMTLANDS LÄN</t>
        </is>
      </c>
      <c r="E6604" t="inlineStr">
        <is>
          <t>HÄRJEDALEN</t>
        </is>
      </c>
      <c r="G6604" t="n">
        <v>2</v>
      </c>
      <c r="H6604" t="n">
        <v>0</v>
      </c>
      <c r="I6604" t="n">
        <v>0</v>
      </c>
      <c r="J6604" t="n">
        <v>0</v>
      </c>
      <c r="K6604" t="n">
        <v>0</v>
      </c>
      <c r="L6604" t="n">
        <v>0</v>
      </c>
      <c r="M6604" t="n">
        <v>0</v>
      </c>
      <c r="N6604" t="n">
        <v>0</v>
      </c>
      <c r="O6604" t="n">
        <v>0</v>
      </c>
      <c r="P6604" t="n">
        <v>0</v>
      </c>
      <c r="Q6604" t="n">
        <v>0</v>
      </c>
      <c r="R6604" s="2" t="inlineStr"/>
    </row>
    <row r="6605" ht="15" customHeight="1">
      <c r="A6605" t="inlineStr">
        <is>
          <t>A 31442-2023</t>
        </is>
      </c>
      <c r="B6605" s="1" t="n">
        <v>45114</v>
      </c>
      <c r="C6605" s="1" t="n">
        <v>45182</v>
      </c>
      <c r="D6605" t="inlineStr">
        <is>
          <t>JÄMTLANDS LÄN</t>
        </is>
      </c>
      <c r="E6605" t="inlineStr">
        <is>
          <t>BERG</t>
        </is>
      </c>
      <c r="G6605" t="n">
        <v>5.2</v>
      </c>
      <c r="H6605" t="n">
        <v>0</v>
      </c>
      <c r="I6605" t="n">
        <v>0</v>
      </c>
      <c r="J6605" t="n">
        <v>0</v>
      </c>
      <c r="K6605" t="n">
        <v>0</v>
      </c>
      <c r="L6605" t="n">
        <v>0</v>
      </c>
      <c r="M6605" t="n">
        <v>0</v>
      </c>
      <c r="N6605" t="n">
        <v>0</v>
      </c>
      <c r="O6605" t="n">
        <v>0</v>
      </c>
      <c r="P6605" t="n">
        <v>0</v>
      </c>
      <c r="Q6605" t="n">
        <v>0</v>
      </c>
      <c r="R6605" s="2" t="inlineStr"/>
    </row>
    <row r="6606" ht="15" customHeight="1">
      <c r="A6606" t="inlineStr">
        <is>
          <t>A 31491-2023</t>
        </is>
      </c>
      <c r="B6606" s="1" t="n">
        <v>45114</v>
      </c>
      <c r="C6606" s="1" t="n">
        <v>45182</v>
      </c>
      <c r="D6606" t="inlineStr">
        <is>
          <t>JÄMTLANDS LÄN</t>
        </is>
      </c>
      <c r="E6606" t="inlineStr">
        <is>
          <t>STRÖMSUND</t>
        </is>
      </c>
      <c r="F6606" t="inlineStr">
        <is>
          <t>SCA</t>
        </is>
      </c>
      <c r="G6606" t="n">
        <v>2.9</v>
      </c>
      <c r="H6606" t="n">
        <v>0</v>
      </c>
      <c r="I6606" t="n">
        <v>0</v>
      </c>
      <c r="J6606" t="n">
        <v>0</v>
      </c>
      <c r="K6606" t="n">
        <v>0</v>
      </c>
      <c r="L6606" t="n">
        <v>0</v>
      </c>
      <c r="M6606" t="n">
        <v>0</v>
      </c>
      <c r="N6606" t="n">
        <v>0</v>
      </c>
      <c r="O6606" t="n">
        <v>0</v>
      </c>
      <c r="P6606" t="n">
        <v>0</v>
      </c>
      <c r="Q6606" t="n">
        <v>0</v>
      </c>
      <c r="R6606" s="2" t="inlineStr"/>
    </row>
    <row r="6607" ht="15" customHeight="1">
      <c r="A6607" t="inlineStr">
        <is>
          <t>A 31550-2023</t>
        </is>
      </c>
      <c r="B6607" s="1" t="n">
        <v>45117</v>
      </c>
      <c r="C6607" s="1" t="n">
        <v>45182</v>
      </c>
      <c r="D6607" t="inlineStr">
        <is>
          <t>JÄMTLANDS LÄN</t>
        </is>
      </c>
      <c r="E6607" t="inlineStr">
        <is>
          <t>KROKOM</t>
        </is>
      </c>
      <c r="G6607" t="n">
        <v>4.5</v>
      </c>
      <c r="H6607" t="n">
        <v>0</v>
      </c>
      <c r="I6607" t="n">
        <v>0</v>
      </c>
      <c r="J6607" t="n">
        <v>0</v>
      </c>
      <c r="K6607" t="n">
        <v>0</v>
      </c>
      <c r="L6607" t="n">
        <v>0</v>
      </c>
      <c r="M6607" t="n">
        <v>0</v>
      </c>
      <c r="N6607" t="n">
        <v>0</v>
      </c>
      <c r="O6607" t="n">
        <v>0</v>
      </c>
      <c r="P6607" t="n">
        <v>0</v>
      </c>
      <c r="Q6607" t="n">
        <v>0</v>
      </c>
      <c r="R6607" s="2" t="inlineStr"/>
    </row>
    <row r="6608" ht="15" customHeight="1">
      <c r="A6608" t="inlineStr">
        <is>
          <t>A 31580-2023</t>
        </is>
      </c>
      <c r="B6608" s="1" t="n">
        <v>45117</v>
      </c>
      <c r="C6608" s="1" t="n">
        <v>45182</v>
      </c>
      <c r="D6608" t="inlineStr">
        <is>
          <t>JÄMTLANDS LÄN</t>
        </is>
      </c>
      <c r="E6608" t="inlineStr">
        <is>
          <t>KROKOM</t>
        </is>
      </c>
      <c r="G6608" t="n">
        <v>0.9</v>
      </c>
      <c r="H6608" t="n">
        <v>0</v>
      </c>
      <c r="I6608" t="n">
        <v>0</v>
      </c>
      <c r="J6608" t="n">
        <v>0</v>
      </c>
      <c r="K6608" t="n">
        <v>0</v>
      </c>
      <c r="L6608" t="n">
        <v>0</v>
      </c>
      <c r="M6608" t="n">
        <v>0</v>
      </c>
      <c r="N6608" t="n">
        <v>0</v>
      </c>
      <c r="O6608" t="n">
        <v>0</v>
      </c>
      <c r="P6608" t="n">
        <v>0</v>
      </c>
      <c r="Q6608" t="n">
        <v>0</v>
      </c>
      <c r="R6608" s="2" t="inlineStr"/>
    </row>
    <row r="6609" ht="15" customHeight="1">
      <c r="A6609" t="inlineStr">
        <is>
          <t>A 31601-2023</t>
        </is>
      </c>
      <c r="B6609" s="1" t="n">
        <v>45117</v>
      </c>
      <c r="C6609" s="1" t="n">
        <v>45182</v>
      </c>
      <c r="D6609" t="inlineStr">
        <is>
          <t>JÄMTLANDS LÄN</t>
        </is>
      </c>
      <c r="E6609" t="inlineStr">
        <is>
          <t>KROKOM</t>
        </is>
      </c>
      <c r="G6609" t="n">
        <v>1.1</v>
      </c>
      <c r="H6609" t="n">
        <v>0</v>
      </c>
      <c r="I6609" t="n">
        <v>0</v>
      </c>
      <c r="J6609" t="n">
        <v>0</v>
      </c>
      <c r="K6609" t="n">
        <v>0</v>
      </c>
      <c r="L6609" t="n">
        <v>0</v>
      </c>
      <c r="M6609" t="n">
        <v>0</v>
      </c>
      <c r="N6609" t="n">
        <v>0</v>
      </c>
      <c r="O6609" t="n">
        <v>0</v>
      </c>
      <c r="P6609" t="n">
        <v>0</v>
      </c>
      <c r="Q6609" t="n">
        <v>0</v>
      </c>
      <c r="R6609" s="2" t="inlineStr"/>
    </row>
    <row r="6610" ht="15" customHeight="1">
      <c r="A6610" t="inlineStr">
        <is>
          <t>A 31632-2023</t>
        </is>
      </c>
      <c r="B6610" s="1" t="n">
        <v>45117</v>
      </c>
      <c r="C6610" s="1" t="n">
        <v>45182</v>
      </c>
      <c r="D6610" t="inlineStr">
        <is>
          <t>JÄMTLANDS LÄN</t>
        </is>
      </c>
      <c r="E6610" t="inlineStr">
        <is>
          <t>HÄRJEDALEN</t>
        </is>
      </c>
      <c r="F6610" t="inlineStr">
        <is>
          <t>Bergvik skog väst AB</t>
        </is>
      </c>
      <c r="G6610" t="n">
        <v>1.7</v>
      </c>
      <c r="H6610" t="n">
        <v>0</v>
      </c>
      <c r="I6610" t="n">
        <v>0</v>
      </c>
      <c r="J6610" t="n">
        <v>0</v>
      </c>
      <c r="K6610" t="n">
        <v>0</v>
      </c>
      <c r="L6610" t="n">
        <v>0</v>
      </c>
      <c r="M6610" t="n">
        <v>0</v>
      </c>
      <c r="N6610" t="n">
        <v>0</v>
      </c>
      <c r="O6610" t="n">
        <v>0</v>
      </c>
      <c r="P6610" t="n">
        <v>0</v>
      </c>
      <c r="Q6610" t="n">
        <v>0</v>
      </c>
      <c r="R6610" s="2" t="inlineStr"/>
    </row>
    <row r="6611" ht="15" customHeight="1">
      <c r="A6611" t="inlineStr">
        <is>
          <t>A 31549-2023</t>
        </is>
      </c>
      <c r="B6611" s="1" t="n">
        <v>45117</v>
      </c>
      <c r="C6611" s="1" t="n">
        <v>45182</v>
      </c>
      <c r="D6611" t="inlineStr">
        <is>
          <t>JÄMTLANDS LÄN</t>
        </is>
      </c>
      <c r="E6611" t="inlineStr">
        <is>
          <t>ÖSTERSUND</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31584-2023</t>
        </is>
      </c>
      <c r="B6612" s="1" t="n">
        <v>45117</v>
      </c>
      <c r="C6612" s="1" t="n">
        <v>45182</v>
      </c>
      <c r="D6612" t="inlineStr">
        <is>
          <t>JÄMTLANDS LÄN</t>
        </is>
      </c>
      <c r="E6612" t="inlineStr">
        <is>
          <t>KROKOM</t>
        </is>
      </c>
      <c r="G6612" t="n">
        <v>1.3</v>
      </c>
      <c r="H6612" t="n">
        <v>0</v>
      </c>
      <c r="I6612" t="n">
        <v>0</v>
      </c>
      <c r="J6612" t="n">
        <v>0</v>
      </c>
      <c r="K6612" t="n">
        <v>0</v>
      </c>
      <c r="L6612" t="n">
        <v>0</v>
      </c>
      <c r="M6612" t="n">
        <v>0</v>
      </c>
      <c r="N6612" t="n">
        <v>0</v>
      </c>
      <c r="O6612" t="n">
        <v>0</v>
      </c>
      <c r="P6612" t="n">
        <v>0</v>
      </c>
      <c r="Q6612" t="n">
        <v>0</v>
      </c>
      <c r="R6612" s="2" t="inlineStr"/>
    </row>
    <row r="6613" ht="15" customHeight="1">
      <c r="A6613" t="inlineStr">
        <is>
          <t>A 31537-2023</t>
        </is>
      </c>
      <c r="B6613" s="1" t="n">
        <v>45117</v>
      </c>
      <c r="C6613" s="1" t="n">
        <v>45182</v>
      </c>
      <c r="D6613" t="inlineStr">
        <is>
          <t>JÄMTLANDS LÄN</t>
        </is>
      </c>
      <c r="E6613" t="inlineStr">
        <is>
          <t>KROKOM</t>
        </is>
      </c>
      <c r="F6613" t="inlineStr">
        <is>
          <t>Övriga Aktiebolag</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31877-2023</t>
        </is>
      </c>
      <c r="B6614" s="1" t="n">
        <v>45118</v>
      </c>
      <c r="C6614" s="1" t="n">
        <v>45182</v>
      </c>
      <c r="D6614" t="inlineStr">
        <is>
          <t>JÄMTLANDS LÄN</t>
        </is>
      </c>
      <c r="E6614" t="inlineStr">
        <is>
          <t>KROKOM</t>
        </is>
      </c>
      <c r="F6614" t="inlineStr">
        <is>
          <t>Övriga Aktiebolag</t>
        </is>
      </c>
      <c r="G6614" t="n">
        <v>1.1</v>
      </c>
      <c r="H6614" t="n">
        <v>0</v>
      </c>
      <c r="I6614" t="n">
        <v>0</v>
      </c>
      <c r="J6614" t="n">
        <v>0</v>
      </c>
      <c r="K6614" t="n">
        <v>0</v>
      </c>
      <c r="L6614" t="n">
        <v>0</v>
      </c>
      <c r="M6614" t="n">
        <v>0</v>
      </c>
      <c r="N6614" t="n">
        <v>0</v>
      </c>
      <c r="O6614" t="n">
        <v>0</v>
      </c>
      <c r="P6614" t="n">
        <v>0</v>
      </c>
      <c r="Q6614" t="n">
        <v>0</v>
      </c>
      <c r="R6614" s="2" t="inlineStr"/>
    </row>
    <row r="6615" ht="15" customHeight="1">
      <c r="A6615" t="inlineStr">
        <is>
          <t>A 33502-2023</t>
        </is>
      </c>
      <c r="B6615" s="1" t="n">
        <v>45118</v>
      </c>
      <c r="C6615" s="1" t="n">
        <v>45182</v>
      </c>
      <c r="D6615" t="inlineStr">
        <is>
          <t>JÄMTLANDS LÄN</t>
        </is>
      </c>
      <c r="E6615" t="inlineStr">
        <is>
          <t>ÖSTERSUND</t>
        </is>
      </c>
      <c r="G6615" t="n">
        <v>0.5</v>
      </c>
      <c r="H6615" t="n">
        <v>0</v>
      </c>
      <c r="I6615" t="n">
        <v>0</v>
      </c>
      <c r="J6615" t="n">
        <v>0</v>
      </c>
      <c r="K6615" t="n">
        <v>0</v>
      </c>
      <c r="L6615" t="n">
        <v>0</v>
      </c>
      <c r="M6615" t="n">
        <v>0</v>
      </c>
      <c r="N6615" t="n">
        <v>0</v>
      </c>
      <c r="O6615" t="n">
        <v>0</v>
      </c>
      <c r="P6615" t="n">
        <v>0</v>
      </c>
      <c r="Q6615" t="n">
        <v>0</v>
      </c>
      <c r="R6615" s="2" t="inlineStr"/>
    </row>
    <row r="6616" ht="15" customHeight="1">
      <c r="A6616" t="inlineStr">
        <is>
          <t>A 31929-2023</t>
        </is>
      </c>
      <c r="B6616" s="1" t="n">
        <v>45118</v>
      </c>
      <c r="C6616" s="1" t="n">
        <v>45182</v>
      </c>
      <c r="D6616" t="inlineStr">
        <is>
          <t>JÄMTLANDS LÄN</t>
        </is>
      </c>
      <c r="E6616" t="inlineStr">
        <is>
          <t>STRÖMSUND</t>
        </is>
      </c>
      <c r="F6616" t="inlineStr">
        <is>
          <t>SCA</t>
        </is>
      </c>
      <c r="G6616" t="n">
        <v>16.7</v>
      </c>
      <c r="H6616" t="n">
        <v>0</v>
      </c>
      <c r="I6616" t="n">
        <v>0</v>
      </c>
      <c r="J6616" t="n">
        <v>0</v>
      </c>
      <c r="K6616" t="n">
        <v>0</v>
      </c>
      <c r="L6616" t="n">
        <v>0</v>
      </c>
      <c r="M6616" t="n">
        <v>0</v>
      </c>
      <c r="N6616" t="n">
        <v>0</v>
      </c>
      <c r="O6616" t="n">
        <v>0</v>
      </c>
      <c r="P6616" t="n">
        <v>0</v>
      </c>
      <c r="Q6616" t="n">
        <v>0</v>
      </c>
      <c r="R6616" s="2" t="inlineStr"/>
    </row>
    <row r="6617" ht="15" customHeight="1">
      <c r="A6617" t="inlineStr">
        <is>
          <t>A 33501-2023</t>
        </is>
      </c>
      <c r="B6617" s="1" t="n">
        <v>45118</v>
      </c>
      <c r="C6617" s="1" t="n">
        <v>45182</v>
      </c>
      <c r="D6617" t="inlineStr">
        <is>
          <t>JÄMTLANDS LÄN</t>
        </is>
      </c>
      <c r="E6617" t="inlineStr">
        <is>
          <t>ÖSTERSUND</t>
        </is>
      </c>
      <c r="G6617" t="n">
        <v>5.8</v>
      </c>
      <c r="H6617" t="n">
        <v>0</v>
      </c>
      <c r="I6617" t="n">
        <v>0</v>
      </c>
      <c r="J6617" t="n">
        <v>0</v>
      </c>
      <c r="K6617" t="n">
        <v>0</v>
      </c>
      <c r="L6617" t="n">
        <v>0</v>
      </c>
      <c r="M6617" t="n">
        <v>0</v>
      </c>
      <c r="N6617" t="n">
        <v>0</v>
      </c>
      <c r="O6617" t="n">
        <v>0</v>
      </c>
      <c r="P6617" t="n">
        <v>0</v>
      </c>
      <c r="Q6617" t="n">
        <v>0</v>
      </c>
      <c r="R6617" s="2" t="inlineStr"/>
    </row>
    <row r="6618" ht="15" customHeight="1">
      <c r="A6618" t="inlineStr">
        <is>
          <t>A 32214-2023</t>
        </is>
      </c>
      <c r="B6618" s="1" t="n">
        <v>45119</v>
      </c>
      <c r="C6618" s="1" t="n">
        <v>45182</v>
      </c>
      <c r="D6618" t="inlineStr">
        <is>
          <t>JÄMTLANDS LÄN</t>
        </is>
      </c>
      <c r="E6618" t="inlineStr">
        <is>
          <t>BERG</t>
        </is>
      </c>
      <c r="F6618" t="inlineStr">
        <is>
          <t>SCA</t>
        </is>
      </c>
      <c r="G6618" t="n">
        <v>3.3</v>
      </c>
      <c r="H6618" t="n">
        <v>0</v>
      </c>
      <c r="I6618" t="n">
        <v>0</v>
      </c>
      <c r="J6618" t="n">
        <v>0</v>
      </c>
      <c r="K6618" t="n">
        <v>0</v>
      </c>
      <c r="L6618" t="n">
        <v>0</v>
      </c>
      <c r="M6618" t="n">
        <v>0</v>
      </c>
      <c r="N6618" t="n">
        <v>0</v>
      </c>
      <c r="O6618" t="n">
        <v>0</v>
      </c>
      <c r="P6618" t="n">
        <v>0</v>
      </c>
      <c r="Q6618" t="n">
        <v>0</v>
      </c>
      <c r="R6618" s="2" t="inlineStr"/>
    </row>
    <row r="6619" ht="15" customHeight="1">
      <c r="A6619" t="inlineStr">
        <is>
          <t>A 32232-2023</t>
        </is>
      </c>
      <c r="B6619" s="1" t="n">
        <v>45119</v>
      </c>
      <c r="C6619" s="1" t="n">
        <v>45182</v>
      </c>
      <c r="D6619" t="inlineStr">
        <is>
          <t>JÄMTLANDS LÄN</t>
        </is>
      </c>
      <c r="E6619" t="inlineStr">
        <is>
          <t>STRÖMSUND</t>
        </is>
      </c>
      <c r="F6619" t="inlineStr">
        <is>
          <t>SCA</t>
        </is>
      </c>
      <c r="G6619" t="n">
        <v>5.7</v>
      </c>
      <c r="H6619" t="n">
        <v>0</v>
      </c>
      <c r="I6619" t="n">
        <v>0</v>
      </c>
      <c r="J6619" t="n">
        <v>0</v>
      </c>
      <c r="K6619" t="n">
        <v>0</v>
      </c>
      <c r="L6619" t="n">
        <v>0</v>
      </c>
      <c r="M6619" t="n">
        <v>0</v>
      </c>
      <c r="N6619" t="n">
        <v>0</v>
      </c>
      <c r="O6619" t="n">
        <v>0</v>
      </c>
      <c r="P6619" t="n">
        <v>0</v>
      </c>
      <c r="Q6619" t="n">
        <v>0</v>
      </c>
      <c r="R6619" s="2" t="inlineStr"/>
    </row>
    <row r="6620" ht="15" customHeight="1">
      <c r="A6620" t="inlineStr">
        <is>
          <t>A 33653-2023</t>
        </is>
      </c>
      <c r="B6620" s="1" t="n">
        <v>45119</v>
      </c>
      <c r="C6620" s="1" t="n">
        <v>45182</v>
      </c>
      <c r="D6620" t="inlineStr">
        <is>
          <t>JÄMTLANDS LÄN</t>
        </is>
      </c>
      <c r="E6620" t="inlineStr">
        <is>
          <t>KROKOM</t>
        </is>
      </c>
      <c r="G6620" t="n">
        <v>0.4</v>
      </c>
      <c r="H6620" t="n">
        <v>0</v>
      </c>
      <c r="I6620" t="n">
        <v>0</v>
      </c>
      <c r="J6620" t="n">
        <v>0</v>
      </c>
      <c r="K6620" t="n">
        <v>0</v>
      </c>
      <c r="L6620" t="n">
        <v>0</v>
      </c>
      <c r="M6620" t="n">
        <v>0</v>
      </c>
      <c r="N6620" t="n">
        <v>0</v>
      </c>
      <c r="O6620" t="n">
        <v>0</v>
      </c>
      <c r="P6620" t="n">
        <v>0</v>
      </c>
      <c r="Q6620" t="n">
        <v>0</v>
      </c>
      <c r="R6620" s="2" t="inlineStr"/>
    </row>
    <row r="6621" ht="15" customHeight="1">
      <c r="A6621" t="inlineStr">
        <is>
          <t>A 32215-2023</t>
        </is>
      </c>
      <c r="B6621" s="1" t="n">
        <v>45119</v>
      </c>
      <c r="C6621" s="1" t="n">
        <v>45182</v>
      </c>
      <c r="D6621" t="inlineStr">
        <is>
          <t>JÄMTLANDS LÄN</t>
        </is>
      </c>
      <c r="E6621" t="inlineStr">
        <is>
          <t>BERG</t>
        </is>
      </c>
      <c r="F6621" t="inlineStr">
        <is>
          <t>SCA</t>
        </is>
      </c>
      <c r="G6621" t="n">
        <v>5.2</v>
      </c>
      <c r="H6621" t="n">
        <v>0</v>
      </c>
      <c r="I6621" t="n">
        <v>0</v>
      </c>
      <c r="J6621" t="n">
        <v>0</v>
      </c>
      <c r="K6621" t="n">
        <v>0</v>
      </c>
      <c r="L6621" t="n">
        <v>0</v>
      </c>
      <c r="M6621" t="n">
        <v>0</v>
      </c>
      <c r="N6621" t="n">
        <v>0</v>
      </c>
      <c r="O6621" t="n">
        <v>0</v>
      </c>
      <c r="P6621" t="n">
        <v>0</v>
      </c>
      <c r="Q6621" t="n">
        <v>0</v>
      </c>
      <c r="R6621" s="2" t="inlineStr"/>
    </row>
    <row r="6622" ht="15" customHeight="1">
      <c r="A6622" t="inlineStr">
        <is>
          <t>A 33654-2023</t>
        </is>
      </c>
      <c r="B6622" s="1" t="n">
        <v>45119</v>
      </c>
      <c r="C6622" s="1" t="n">
        <v>45182</v>
      </c>
      <c r="D6622" t="inlineStr">
        <is>
          <t>JÄMTLANDS LÄN</t>
        </is>
      </c>
      <c r="E6622" t="inlineStr">
        <is>
          <t>BERG</t>
        </is>
      </c>
      <c r="G6622" t="n">
        <v>1.4</v>
      </c>
      <c r="H6622" t="n">
        <v>0</v>
      </c>
      <c r="I6622" t="n">
        <v>0</v>
      </c>
      <c r="J6622" t="n">
        <v>0</v>
      </c>
      <c r="K6622" t="n">
        <v>0</v>
      </c>
      <c r="L6622" t="n">
        <v>0</v>
      </c>
      <c r="M6622" t="n">
        <v>0</v>
      </c>
      <c r="N6622" t="n">
        <v>0</v>
      </c>
      <c r="O6622" t="n">
        <v>0</v>
      </c>
      <c r="P6622" t="n">
        <v>0</v>
      </c>
      <c r="Q6622" t="n">
        <v>0</v>
      </c>
      <c r="R6622" s="2" t="inlineStr"/>
    </row>
    <row r="6623" ht="15" customHeight="1">
      <c r="A6623" t="inlineStr">
        <is>
          <t>A 31961-2023</t>
        </is>
      </c>
      <c r="B6623" s="1" t="n">
        <v>45119</v>
      </c>
      <c r="C6623" s="1" t="n">
        <v>45182</v>
      </c>
      <c r="D6623" t="inlineStr">
        <is>
          <t>JÄMTLANDS LÄN</t>
        </is>
      </c>
      <c r="E6623" t="inlineStr">
        <is>
          <t>HÄRJEDALEN</t>
        </is>
      </c>
      <c r="G6623" t="n">
        <v>3.1</v>
      </c>
      <c r="H6623" t="n">
        <v>0</v>
      </c>
      <c r="I6623" t="n">
        <v>0</v>
      </c>
      <c r="J6623" t="n">
        <v>0</v>
      </c>
      <c r="K6623" t="n">
        <v>0</v>
      </c>
      <c r="L6623" t="n">
        <v>0</v>
      </c>
      <c r="M6623" t="n">
        <v>0</v>
      </c>
      <c r="N6623" t="n">
        <v>0</v>
      </c>
      <c r="O6623" t="n">
        <v>0</v>
      </c>
      <c r="P6623" t="n">
        <v>0</v>
      </c>
      <c r="Q6623" t="n">
        <v>0</v>
      </c>
      <c r="R6623" s="2" t="inlineStr"/>
    </row>
    <row r="6624" ht="15" customHeight="1">
      <c r="A6624" t="inlineStr">
        <is>
          <t>A 32477-2023</t>
        </is>
      </c>
      <c r="B6624" s="1" t="n">
        <v>45120</v>
      </c>
      <c r="C6624" s="1" t="n">
        <v>45182</v>
      </c>
      <c r="D6624" t="inlineStr">
        <is>
          <t>JÄMTLANDS LÄN</t>
        </is>
      </c>
      <c r="E6624" t="inlineStr">
        <is>
          <t>BRÄCKE</t>
        </is>
      </c>
      <c r="F6624" t="inlineStr">
        <is>
          <t>SCA</t>
        </is>
      </c>
      <c r="G6624" t="n">
        <v>6.2</v>
      </c>
      <c r="H6624" t="n">
        <v>0</v>
      </c>
      <c r="I6624" t="n">
        <v>0</v>
      </c>
      <c r="J6624" t="n">
        <v>0</v>
      </c>
      <c r="K6624" t="n">
        <v>0</v>
      </c>
      <c r="L6624" t="n">
        <v>0</v>
      </c>
      <c r="M6624" t="n">
        <v>0</v>
      </c>
      <c r="N6624" t="n">
        <v>0</v>
      </c>
      <c r="O6624" t="n">
        <v>0</v>
      </c>
      <c r="P6624" t="n">
        <v>0</v>
      </c>
      <c r="Q6624" t="n">
        <v>0</v>
      </c>
      <c r="R6624" s="2" t="inlineStr"/>
    </row>
    <row r="6625" ht="15" customHeight="1">
      <c r="A6625" t="inlineStr">
        <is>
          <t>A 33750-2023</t>
        </is>
      </c>
      <c r="B6625" s="1" t="n">
        <v>45120</v>
      </c>
      <c r="C6625" s="1" t="n">
        <v>45182</v>
      </c>
      <c r="D6625" t="inlineStr">
        <is>
          <t>JÄMTLANDS LÄN</t>
        </is>
      </c>
      <c r="E6625" t="inlineStr">
        <is>
          <t>BERG</t>
        </is>
      </c>
      <c r="G6625" t="n">
        <v>2.6</v>
      </c>
      <c r="H6625" t="n">
        <v>0</v>
      </c>
      <c r="I6625" t="n">
        <v>0</v>
      </c>
      <c r="J6625" t="n">
        <v>0</v>
      </c>
      <c r="K6625" t="n">
        <v>0</v>
      </c>
      <c r="L6625" t="n">
        <v>0</v>
      </c>
      <c r="M6625" t="n">
        <v>0</v>
      </c>
      <c r="N6625" t="n">
        <v>0</v>
      </c>
      <c r="O6625" t="n">
        <v>0</v>
      </c>
      <c r="P6625" t="n">
        <v>0</v>
      </c>
      <c r="Q6625" t="n">
        <v>0</v>
      </c>
      <c r="R6625" s="2" t="inlineStr"/>
    </row>
    <row r="6626" ht="15" customHeight="1">
      <c r="A6626" t="inlineStr">
        <is>
          <t>A 33774-2023</t>
        </is>
      </c>
      <c r="B6626" s="1" t="n">
        <v>45120</v>
      </c>
      <c r="C6626" s="1" t="n">
        <v>45182</v>
      </c>
      <c r="D6626" t="inlineStr">
        <is>
          <t>JÄMTLANDS LÄN</t>
        </is>
      </c>
      <c r="E6626" t="inlineStr">
        <is>
          <t>ÅRE</t>
        </is>
      </c>
      <c r="G6626" t="n">
        <v>2.1</v>
      </c>
      <c r="H6626" t="n">
        <v>0</v>
      </c>
      <c r="I6626" t="n">
        <v>0</v>
      </c>
      <c r="J6626" t="n">
        <v>0</v>
      </c>
      <c r="K6626" t="n">
        <v>0</v>
      </c>
      <c r="L6626" t="n">
        <v>0</v>
      </c>
      <c r="M6626" t="n">
        <v>0</v>
      </c>
      <c r="N6626" t="n">
        <v>0</v>
      </c>
      <c r="O6626" t="n">
        <v>0</v>
      </c>
      <c r="P6626" t="n">
        <v>0</v>
      </c>
      <c r="Q6626" t="n">
        <v>0</v>
      </c>
      <c r="R6626" s="2" t="inlineStr"/>
    </row>
    <row r="6627" ht="15" customHeight="1">
      <c r="A6627" t="inlineStr">
        <is>
          <t>A 32481-2023</t>
        </is>
      </c>
      <c r="B6627" s="1" t="n">
        <v>45120</v>
      </c>
      <c r="C6627" s="1" t="n">
        <v>45182</v>
      </c>
      <c r="D6627" t="inlineStr">
        <is>
          <t>JÄMTLANDS LÄN</t>
        </is>
      </c>
      <c r="E6627" t="inlineStr">
        <is>
          <t>BRÄCKE</t>
        </is>
      </c>
      <c r="F6627" t="inlineStr">
        <is>
          <t>SCA</t>
        </is>
      </c>
      <c r="G6627" t="n">
        <v>1.9</v>
      </c>
      <c r="H6627" t="n">
        <v>0</v>
      </c>
      <c r="I6627" t="n">
        <v>0</v>
      </c>
      <c r="J6627" t="n">
        <v>0</v>
      </c>
      <c r="K6627" t="n">
        <v>0</v>
      </c>
      <c r="L6627" t="n">
        <v>0</v>
      </c>
      <c r="M6627" t="n">
        <v>0</v>
      </c>
      <c r="N6627" t="n">
        <v>0</v>
      </c>
      <c r="O6627" t="n">
        <v>0</v>
      </c>
      <c r="P6627" t="n">
        <v>0</v>
      </c>
      <c r="Q6627" t="n">
        <v>0</v>
      </c>
      <c r="R6627" s="2" t="inlineStr"/>
    </row>
    <row r="6628" ht="15" customHeight="1">
      <c r="A6628" t="inlineStr">
        <is>
          <t>A 32476-2023</t>
        </is>
      </c>
      <c r="B6628" s="1" t="n">
        <v>45120</v>
      </c>
      <c r="C6628" s="1" t="n">
        <v>45182</v>
      </c>
      <c r="D6628" t="inlineStr">
        <is>
          <t>JÄMTLANDS LÄN</t>
        </is>
      </c>
      <c r="E6628" t="inlineStr">
        <is>
          <t>BRÄCKE</t>
        </is>
      </c>
      <c r="F6628" t="inlineStr">
        <is>
          <t>SCA</t>
        </is>
      </c>
      <c r="G6628" t="n">
        <v>3.8</v>
      </c>
      <c r="H6628" t="n">
        <v>0</v>
      </c>
      <c r="I6628" t="n">
        <v>0</v>
      </c>
      <c r="J6628" t="n">
        <v>0</v>
      </c>
      <c r="K6628" t="n">
        <v>0</v>
      </c>
      <c r="L6628" t="n">
        <v>0</v>
      </c>
      <c r="M6628" t="n">
        <v>0</v>
      </c>
      <c r="N6628" t="n">
        <v>0</v>
      </c>
      <c r="O6628" t="n">
        <v>0</v>
      </c>
      <c r="P6628" t="n">
        <v>0</v>
      </c>
      <c r="Q6628" t="n">
        <v>0</v>
      </c>
      <c r="R6628" s="2" t="inlineStr"/>
    </row>
    <row r="6629" ht="15" customHeight="1">
      <c r="A6629" t="inlineStr">
        <is>
          <t>A 32724-2023</t>
        </is>
      </c>
      <c r="B6629" s="1" t="n">
        <v>45121</v>
      </c>
      <c r="C6629" s="1" t="n">
        <v>45182</v>
      </c>
      <c r="D6629" t="inlineStr">
        <is>
          <t>JÄMTLANDS LÄN</t>
        </is>
      </c>
      <c r="E6629" t="inlineStr">
        <is>
          <t>STRÖMSUND</t>
        </is>
      </c>
      <c r="F6629" t="inlineStr">
        <is>
          <t>SCA</t>
        </is>
      </c>
      <c r="G6629" t="n">
        <v>6.5</v>
      </c>
      <c r="H6629" t="n">
        <v>0</v>
      </c>
      <c r="I6629" t="n">
        <v>0</v>
      </c>
      <c r="J6629" t="n">
        <v>0</v>
      </c>
      <c r="K6629" t="n">
        <v>0</v>
      </c>
      <c r="L6629" t="n">
        <v>0</v>
      </c>
      <c r="M6629" t="n">
        <v>0</v>
      </c>
      <c r="N6629" t="n">
        <v>0</v>
      </c>
      <c r="O6629" t="n">
        <v>0</v>
      </c>
      <c r="P6629" t="n">
        <v>0</v>
      </c>
      <c r="Q6629" t="n">
        <v>0</v>
      </c>
      <c r="R6629" s="2" t="inlineStr"/>
    </row>
    <row r="6630" ht="15" customHeight="1">
      <c r="A6630" t="inlineStr">
        <is>
          <t>A 33822-2023</t>
        </is>
      </c>
      <c r="B6630" s="1" t="n">
        <v>45121</v>
      </c>
      <c r="C6630" s="1" t="n">
        <v>45182</v>
      </c>
      <c r="D6630" t="inlineStr">
        <is>
          <t>JÄMTLANDS LÄN</t>
        </is>
      </c>
      <c r="E6630" t="inlineStr">
        <is>
          <t>RAGUNDA</t>
        </is>
      </c>
      <c r="G6630" t="n">
        <v>3.9</v>
      </c>
      <c r="H6630" t="n">
        <v>0</v>
      </c>
      <c r="I6630" t="n">
        <v>0</v>
      </c>
      <c r="J6630" t="n">
        <v>0</v>
      </c>
      <c r="K6630" t="n">
        <v>0</v>
      </c>
      <c r="L6630" t="n">
        <v>0</v>
      </c>
      <c r="M6630" t="n">
        <v>0</v>
      </c>
      <c r="N6630" t="n">
        <v>0</v>
      </c>
      <c r="O6630" t="n">
        <v>0</v>
      </c>
      <c r="P6630" t="n">
        <v>0</v>
      </c>
      <c r="Q6630" t="n">
        <v>0</v>
      </c>
      <c r="R6630" s="2" t="inlineStr"/>
    </row>
    <row r="6631" ht="15" customHeight="1">
      <c r="A6631" t="inlineStr">
        <is>
          <t>A 32568-2023</t>
        </is>
      </c>
      <c r="B6631" s="1" t="n">
        <v>45121</v>
      </c>
      <c r="C6631" s="1" t="n">
        <v>45182</v>
      </c>
      <c r="D6631" t="inlineStr">
        <is>
          <t>JÄMTLANDS LÄN</t>
        </is>
      </c>
      <c r="E6631" t="inlineStr">
        <is>
          <t>ÖSTERSUND</t>
        </is>
      </c>
      <c r="G6631" t="n">
        <v>14.9</v>
      </c>
      <c r="H6631" t="n">
        <v>0</v>
      </c>
      <c r="I6631" t="n">
        <v>0</v>
      </c>
      <c r="J6631" t="n">
        <v>0</v>
      </c>
      <c r="K6631" t="n">
        <v>0</v>
      </c>
      <c r="L6631" t="n">
        <v>0</v>
      </c>
      <c r="M6631" t="n">
        <v>0</v>
      </c>
      <c r="N6631" t="n">
        <v>0</v>
      </c>
      <c r="O6631" t="n">
        <v>0</v>
      </c>
      <c r="P6631" t="n">
        <v>0</v>
      </c>
      <c r="Q6631" t="n">
        <v>0</v>
      </c>
      <c r="R6631" s="2" t="inlineStr"/>
    </row>
    <row r="6632" ht="15" customHeight="1">
      <c r="A6632" t="inlineStr">
        <is>
          <t>A 32907-2023</t>
        </is>
      </c>
      <c r="B6632" s="1" t="n">
        <v>45124</v>
      </c>
      <c r="C6632" s="1" t="n">
        <v>45182</v>
      </c>
      <c r="D6632" t="inlineStr">
        <is>
          <t>JÄMTLANDS LÄN</t>
        </is>
      </c>
      <c r="E6632" t="inlineStr">
        <is>
          <t>STRÖMSUND</t>
        </is>
      </c>
      <c r="F6632" t="inlineStr">
        <is>
          <t>SCA</t>
        </is>
      </c>
      <c r="G6632" t="n">
        <v>1.8</v>
      </c>
      <c r="H6632" t="n">
        <v>0</v>
      </c>
      <c r="I6632" t="n">
        <v>0</v>
      </c>
      <c r="J6632" t="n">
        <v>0</v>
      </c>
      <c r="K6632" t="n">
        <v>0</v>
      </c>
      <c r="L6632" t="n">
        <v>0</v>
      </c>
      <c r="M6632" t="n">
        <v>0</v>
      </c>
      <c r="N6632" t="n">
        <v>0</v>
      </c>
      <c r="O6632" t="n">
        <v>0</v>
      </c>
      <c r="P6632" t="n">
        <v>0</v>
      </c>
      <c r="Q6632" t="n">
        <v>0</v>
      </c>
      <c r="R6632" s="2" t="inlineStr"/>
    </row>
    <row r="6633" ht="15" customHeight="1">
      <c r="A6633" t="inlineStr">
        <is>
          <t>A 34070-2023</t>
        </is>
      </c>
      <c r="B6633" s="1" t="n">
        <v>45125</v>
      </c>
      <c r="C6633" s="1" t="n">
        <v>45182</v>
      </c>
      <c r="D6633" t="inlineStr">
        <is>
          <t>JÄMTLANDS LÄN</t>
        </is>
      </c>
      <c r="E6633" t="inlineStr">
        <is>
          <t>KROKOM</t>
        </is>
      </c>
      <c r="G6633" t="n">
        <v>2.3</v>
      </c>
      <c r="H6633" t="n">
        <v>0</v>
      </c>
      <c r="I6633" t="n">
        <v>0</v>
      </c>
      <c r="J6633" t="n">
        <v>0</v>
      </c>
      <c r="K6633" t="n">
        <v>0</v>
      </c>
      <c r="L6633" t="n">
        <v>0</v>
      </c>
      <c r="M6633" t="n">
        <v>0</v>
      </c>
      <c r="N6633" t="n">
        <v>0</v>
      </c>
      <c r="O6633" t="n">
        <v>0</v>
      </c>
      <c r="P6633" t="n">
        <v>0</v>
      </c>
      <c r="Q6633" t="n">
        <v>0</v>
      </c>
      <c r="R6633" s="2" t="inlineStr"/>
    </row>
    <row r="6634" ht="15" customHeight="1">
      <c r="A6634" t="inlineStr">
        <is>
          <t>A 33042-2023</t>
        </is>
      </c>
      <c r="B6634" s="1" t="n">
        <v>45125</v>
      </c>
      <c r="C6634" s="1" t="n">
        <v>45182</v>
      </c>
      <c r="D6634" t="inlineStr">
        <is>
          <t>JÄMTLANDS LÄN</t>
        </is>
      </c>
      <c r="E6634" t="inlineStr">
        <is>
          <t>BERG</t>
        </is>
      </c>
      <c r="G6634" t="n">
        <v>2.3</v>
      </c>
      <c r="H6634" t="n">
        <v>0</v>
      </c>
      <c r="I6634" t="n">
        <v>0</v>
      </c>
      <c r="J6634" t="n">
        <v>0</v>
      </c>
      <c r="K6634" t="n">
        <v>0</v>
      </c>
      <c r="L6634" t="n">
        <v>0</v>
      </c>
      <c r="M6634" t="n">
        <v>0</v>
      </c>
      <c r="N6634" t="n">
        <v>0</v>
      </c>
      <c r="O6634" t="n">
        <v>0</v>
      </c>
      <c r="P6634" t="n">
        <v>0</v>
      </c>
      <c r="Q6634" t="n">
        <v>0</v>
      </c>
      <c r="R6634" s="2" t="inlineStr"/>
    </row>
    <row r="6635" ht="15" customHeight="1">
      <c r="A6635" t="inlineStr">
        <is>
          <t>A 33031-2023</t>
        </is>
      </c>
      <c r="B6635" s="1" t="n">
        <v>45125</v>
      </c>
      <c r="C6635" s="1" t="n">
        <v>45182</v>
      </c>
      <c r="D6635" t="inlineStr">
        <is>
          <t>JÄMTLANDS LÄN</t>
        </is>
      </c>
      <c r="E6635" t="inlineStr">
        <is>
          <t>BRÄCKE</t>
        </is>
      </c>
      <c r="F6635" t="inlineStr">
        <is>
          <t>SCA</t>
        </is>
      </c>
      <c r="G6635" t="n">
        <v>10.7</v>
      </c>
      <c r="H6635" t="n">
        <v>0</v>
      </c>
      <c r="I6635" t="n">
        <v>0</v>
      </c>
      <c r="J6635" t="n">
        <v>0</v>
      </c>
      <c r="K6635" t="n">
        <v>0</v>
      </c>
      <c r="L6635" t="n">
        <v>0</v>
      </c>
      <c r="M6635" t="n">
        <v>0</v>
      </c>
      <c r="N6635" t="n">
        <v>0</v>
      </c>
      <c r="O6635" t="n">
        <v>0</v>
      </c>
      <c r="P6635" t="n">
        <v>0</v>
      </c>
      <c r="Q6635" t="n">
        <v>0</v>
      </c>
      <c r="R6635" s="2" t="inlineStr"/>
    </row>
    <row r="6636" ht="15" customHeight="1">
      <c r="A6636" t="inlineStr">
        <is>
          <t>A 34052-2023</t>
        </is>
      </c>
      <c r="B6636" s="1" t="n">
        <v>45125</v>
      </c>
      <c r="C6636" s="1" t="n">
        <v>45182</v>
      </c>
      <c r="D6636" t="inlineStr">
        <is>
          <t>JÄMTLANDS LÄN</t>
        </is>
      </c>
      <c r="E6636" t="inlineStr">
        <is>
          <t>ÖSTERSUND</t>
        </is>
      </c>
      <c r="G6636" t="n">
        <v>4</v>
      </c>
      <c r="H6636" t="n">
        <v>0</v>
      </c>
      <c r="I6636" t="n">
        <v>0</v>
      </c>
      <c r="J6636" t="n">
        <v>0</v>
      </c>
      <c r="K6636" t="n">
        <v>0</v>
      </c>
      <c r="L6636" t="n">
        <v>0</v>
      </c>
      <c r="M6636" t="n">
        <v>0</v>
      </c>
      <c r="N6636" t="n">
        <v>0</v>
      </c>
      <c r="O6636" t="n">
        <v>0</v>
      </c>
      <c r="P6636" t="n">
        <v>0</v>
      </c>
      <c r="Q6636" t="n">
        <v>0</v>
      </c>
      <c r="R6636" s="2" t="inlineStr"/>
    </row>
    <row r="6637" ht="15" customHeight="1">
      <c r="A6637" t="inlineStr">
        <is>
          <t>A 33117-2023</t>
        </is>
      </c>
      <c r="B6637" s="1" t="n">
        <v>45126</v>
      </c>
      <c r="C6637" s="1" t="n">
        <v>45182</v>
      </c>
      <c r="D6637" t="inlineStr">
        <is>
          <t>JÄMTLANDS LÄN</t>
        </is>
      </c>
      <c r="E6637" t="inlineStr">
        <is>
          <t>ÅRE</t>
        </is>
      </c>
      <c r="F6637" t="inlineStr">
        <is>
          <t>Sveaskog</t>
        </is>
      </c>
      <c r="G6637" t="n">
        <v>1.7</v>
      </c>
      <c r="H6637" t="n">
        <v>0</v>
      </c>
      <c r="I6637" t="n">
        <v>0</v>
      </c>
      <c r="J6637" t="n">
        <v>0</v>
      </c>
      <c r="K6637" t="n">
        <v>0</v>
      </c>
      <c r="L6637" t="n">
        <v>0</v>
      </c>
      <c r="M6637" t="n">
        <v>0</v>
      </c>
      <c r="N6637" t="n">
        <v>0</v>
      </c>
      <c r="O6637" t="n">
        <v>0</v>
      </c>
      <c r="P6637" t="n">
        <v>0</v>
      </c>
      <c r="Q6637" t="n">
        <v>0</v>
      </c>
      <c r="R6637" s="2" t="inlineStr"/>
    </row>
    <row r="6638" ht="15" customHeight="1">
      <c r="A6638" t="inlineStr">
        <is>
          <t>A 33123-2023</t>
        </is>
      </c>
      <c r="B6638" s="1" t="n">
        <v>45126</v>
      </c>
      <c r="C6638" s="1" t="n">
        <v>45182</v>
      </c>
      <c r="D6638" t="inlineStr">
        <is>
          <t>JÄMTLANDS LÄN</t>
        </is>
      </c>
      <c r="E6638" t="inlineStr">
        <is>
          <t>ÅRE</t>
        </is>
      </c>
      <c r="F6638" t="inlineStr">
        <is>
          <t>Sveaskog</t>
        </is>
      </c>
      <c r="G6638" t="n">
        <v>2</v>
      </c>
      <c r="H6638" t="n">
        <v>0</v>
      </c>
      <c r="I6638" t="n">
        <v>0</v>
      </c>
      <c r="J6638" t="n">
        <v>0</v>
      </c>
      <c r="K6638" t="n">
        <v>0</v>
      </c>
      <c r="L6638" t="n">
        <v>0</v>
      </c>
      <c r="M6638" t="n">
        <v>0</v>
      </c>
      <c r="N6638" t="n">
        <v>0</v>
      </c>
      <c r="O6638" t="n">
        <v>0</v>
      </c>
      <c r="P6638" t="n">
        <v>0</v>
      </c>
      <c r="Q6638" t="n">
        <v>0</v>
      </c>
      <c r="R6638" s="2" t="inlineStr"/>
    </row>
    <row r="6639" ht="15" customHeight="1">
      <c r="A6639" t="inlineStr">
        <is>
          <t>A 33121-2023</t>
        </is>
      </c>
      <c r="B6639" s="1" t="n">
        <v>45126</v>
      </c>
      <c r="C6639" s="1" t="n">
        <v>45182</v>
      </c>
      <c r="D6639" t="inlineStr">
        <is>
          <t>JÄMTLANDS LÄN</t>
        </is>
      </c>
      <c r="E6639" t="inlineStr">
        <is>
          <t>ÅRE</t>
        </is>
      </c>
      <c r="F6639" t="inlineStr">
        <is>
          <t>Sveaskog</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34231-2023</t>
        </is>
      </c>
      <c r="B6640" s="1" t="n">
        <v>45127</v>
      </c>
      <c r="C6640" s="1" t="n">
        <v>45182</v>
      </c>
      <c r="D6640" t="inlineStr">
        <is>
          <t>JÄMTLANDS LÄN</t>
        </is>
      </c>
      <c r="E6640" t="inlineStr">
        <is>
          <t>ÅRE</t>
        </is>
      </c>
      <c r="G6640" t="n">
        <v>18.3</v>
      </c>
      <c r="H6640" t="n">
        <v>0</v>
      </c>
      <c r="I6640" t="n">
        <v>0</v>
      </c>
      <c r="J6640" t="n">
        <v>0</v>
      </c>
      <c r="K6640" t="n">
        <v>0</v>
      </c>
      <c r="L6640" t="n">
        <v>0</v>
      </c>
      <c r="M6640" t="n">
        <v>0</v>
      </c>
      <c r="N6640" t="n">
        <v>0</v>
      </c>
      <c r="O6640" t="n">
        <v>0</v>
      </c>
      <c r="P6640" t="n">
        <v>0</v>
      </c>
      <c r="Q6640" t="n">
        <v>0</v>
      </c>
      <c r="R6640" s="2" t="inlineStr"/>
    </row>
    <row r="6641" ht="15" customHeight="1">
      <c r="A6641" t="inlineStr">
        <is>
          <t>A 33427-2023</t>
        </is>
      </c>
      <c r="B6641" s="1" t="n">
        <v>45128</v>
      </c>
      <c r="C6641" s="1" t="n">
        <v>45182</v>
      </c>
      <c r="D6641" t="inlineStr">
        <is>
          <t>JÄMTLANDS LÄN</t>
        </is>
      </c>
      <c r="E6641" t="inlineStr">
        <is>
          <t>STRÖMSUND</t>
        </is>
      </c>
      <c r="F6641" t="inlineStr">
        <is>
          <t>SCA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33453-2023</t>
        </is>
      </c>
      <c r="B6642" s="1" t="n">
        <v>45130</v>
      </c>
      <c r="C6642" s="1" t="n">
        <v>45182</v>
      </c>
      <c r="D6642" t="inlineStr">
        <is>
          <t>JÄMTLANDS LÄN</t>
        </is>
      </c>
      <c r="E6642" t="inlineStr">
        <is>
          <t>STRÖMSUND</t>
        </is>
      </c>
      <c r="F6642" t="inlineStr">
        <is>
          <t>SCA</t>
        </is>
      </c>
      <c r="G6642" t="n">
        <v>3.5</v>
      </c>
      <c r="H6642" t="n">
        <v>0</v>
      </c>
      <c r="I6642" t="n">
        <v>0</v>
      </c>
      <c r="J6642" t="n">
        <v>0</v>
      </c>
      <c r="K6642" t="n">
        <v>0</v>
      </c>
      <c r="L6642" t="n">
        <v>0</v>
      </c>
      <c r="M6642" t="n">
        <v>0</v>
      </c>
      <c r="N6642" t="n">
        <v>0</v>
      </c>
      <c r="O6642" t="n">
        <v>0</v>
      </c>
      <c r="P6642" t="n">
        <v>0</v>
      </c>
      <c r="Q6642" t="n">
        <v>0</v>
      </c>
      <c r="R6642" s="2" t="inlineStr"/>
    </row>
    <row r="6643" ht="15" customHeight="1">
      <c r="A6643" t="inlineStr">
        <is>
          <t>A 33476-2023</t>
        </is>
      </c>
      <c r="B6643" s="1" t="n">
        <v>45131</v>
      </c>
      <c r="C6643" s="1" t="n">
        <v>45182</v>
      </c>
      <c r="D6643" t="inlineStr">
        <is>
          <t>JÄMTLANDS LÄN</t>
        </is>
      </c>
      <c r="E6643" t="inlineStr">
        <is>
          <t>BERG</t>
        </is>
      </c>
      <c r="F6643" t="inlineStr">
        <is>
          <t>Sveaskog</t>
        </is>
      </c>
      <c r="G6643" t="n">
        <v>7.7</v>
      </c>
      <c r="H6643" t="n">
        <v>0</v>
      </c>
      <c r="I6643" t="n">
        <v>0</v>
      </c>
      <c r="J6643" t="n">
        <v>0</v>
      </c>
      <c r="K6643" t="n">
        <v>0</v>
      </c>
      <c r="L6643" t="n">
        <v>0</v>
      </c>
      <c r="M6643" t="n">
        <v>0</v>
      </c>
      <c r="N6643" t="n">
        <v>0</v>
      </c>
      <c r="O6643" t="n">
        <v>0</v>
      </c>
      <c r="P6643" t="n">
        <v>0</v>
      </c>
      <c r="Q6643" t="n">
        <v>0</v>
      </c>
      <c r="R6643" s="2" t="inlineStr"/>
    </row>
    <row r="6644" ht="15" customHeight="1">
      <c r="A6644" t="inlineStr">
        <is>
          <t>A 33481-2023</t>
        </is>
      </c>
      <c r="B6644" s="1" t="n">
        <v>45131</v>
      </c>
      <c r="C6644" s="1" t="n">
        <v>45182</v>
      </c>
      <c r="D6644" t="inlineStr">
        <is>
          <t>JÄMTLANDS LÄN</t>
        </is>
      </c>
      <c r="E6644" t="inlineStr">
        <is>
          <t>BERG</t>
        </is>
      </c>
      <c r="F6644" t="inlineStr">
        <is>
          <t>Sveaskog</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33874-2023</t>
        </is>
      </c>
      <c r="B6645" s="1" t="n">
        <v>45133</v>
      </c>
      <c r="C6645" s="1" t="n">
        <v>45182</v>
      </c>
      <c r="D6645" t="inlineStr">
        <is>
          <t>JÄMTLANDS LÄN</t>
        </is>
      </c>
      <c r="E6645" t="inlineStr">
        <is>
          <t>BRÄCKE</t>
        </is>
      </c>
      <c r="F6645" t="inlineStr">
        <is>
          <t>SCA</t>
        </is>
      </c>
      <c r="G6645" t="n">
        <v>5.8</v>
      </c>
      <c r="H6645" t="n">
        <v>0</v>
      </c>
      <c r="I6645" t="n">
        <v>0</v>
      </c>
      <c r="J6645" t="n">
        <v>0</v>
      </c>
      <c r="K6645" t="n">
        <v>0</v>
      </c>
      <c r="L6645" t="n">
        <v>0</v>
      </c>
      <c r="M6645" t="n">
        <v>0</v>
      </c>
      <c r="N6645" t="n">
        <v>0</v>
      </c>
      <c r="O6645" t="n">
        <v>0</v>
      </c>
      <c r="P6645" t="n">
        <v>0</v>
      </c>
      <c r="Q6645" t="n">
        <v>0</v>
      </c>
      <c r="R6645" s="2" t="inlineStr"/>
    </row>
    <row r="6646" ht="15" customHeight="1">
      <c r="A6646" t="inlineStr">
        <is>
          <t>A 34010-2023</t>
        </is>
      </c>
      <c r="B6646" s="1" t="n">
        <v>45134</v>
      </c>
      <c r="C6646" s="1" t="n">
        <v>45182</v>
      </c>
      <c r="D6646" t="inlineStr">
        <is>
          <t>JÄMTLANDS LÄN</t>
        </is>
      </c>
      <c r="E6646" t="inlineStr">
        <is>
          <t>STRÖMSUND</t>
        </is>
      </c>
      <c r="F6646" t="inlineStr">
        <is>
          <t>SCA</t>
        </is>
      </c>
      <c r="G6646" t="n">
        <v>5</v>
      </c>
      <c r="H6646" t="n">
        <v>0</v>
      </c>
      <c r="I6646" t="n">
        <v>0</v>
      </c>
      <c r="J6646" t="n">
        <v>0</v>
      </c>
      <c r="K6646" t="n">
        <v>0</v>
      </c>
      <c r="L6646" t="n">
        <v>0</v>
      </c>
      <c r="M6646" t="n">
        <v>0</v>
      </c>
      <c r="N6646" t="n">
        <v>0</v>
      </c>
      <c r="O6646" t="n">
        <v>0</v>
      </c>
      <c r="P6646" t="n">
        <v>0</v>
      </c>
      <c r="Q6646" t="n">
        <v>0</v>
      </c>
      <c r="R6646" s="2" t="inlineStr"/>
    </row>
    <row r="6647" ht="15" customHeight="1">
      <c r="A6647" t="inlineStr">
        <is>
          <t>A 34005-2023</t>
        </is>
      </c>
      <c r="B6647" s="1" t="n">
        <v>45134</v>
      </c>
      <c r="C6647" s="1" t="n">
        <v>45182</v>
      </c>
      <c r="D6647" t="inlineStr">
        <is>
          <t>JÄMTLANDS LÄN</t>
        </is>
      </c>
      <c r="E6647" t="inlineStr">
        <is>
          <t>STRÖMSUND</t>
        </is>
      </c>
      <c r="F6647" t="inlineStr">
        <is>
          <t>SCA</t>
        </is>
      </c>
      <c r="G6647" t="n">
        <v>3.8</v>
      </c>
      <c r="H6647" t="n">
        <v>0</v>
      </c>
      <c r="I6647" t="n">
        <v>0</v>
      </c>
      <c r="J6647" t="n">
        <v>0</v>
      </c>
      <c r="K6647" t="n">
        <v>0</v>
      </c>
      <c r="L6647" t="n">
        <v>0</v>
      </c>
      <c r="M6647" t="n">
        <v>0</v>
      </c>
      <c r="N6647" t="n">
        <v>0</v>
      </c>
      <c r="O6647" t="n">
        <v>0</v>
      </c>
      <c r="P6647" t="n">
        <v>0</v>
      </c>
      <c r="Q6647" t="n">
        <v>0</v>
      </c>
      <c r="R6647" s="2" t="inlineStr"/>
    </row>
    <row r="6648" ht="15" customHeight="1">
      <c r="A6648" t="inlineStr">
        <is>
          <t>A 34321-2023</t>
        </is>
      </c>
      <c r="B6648" s="1" t="n">
        <v>45138</v>
      </c>
      <c r="C6648" s="1" t="n">
        <v>45182</v>
      </c>
      <c r="D6648" t="inlineStr">
        <is>
          <t>JÄMTLANDS LÄN</t>
        </is>
      </c>
      <c r="E6648" t="inlineStr">
        <is>
          <t>RAGUNDA</t>
        </is>
      </c>
      <c r="F6648" t="inlineStr">
        <is>
          <t>SCA</t>
        </is>
      </c>
      <c r="G6648" t="n">
        <v>1.9</v>
      </c>
      <c r="H6648" t="n">
        <v>0</v>
      </c>
      <c r="I6648" t="n">
        <v>0</v>
      </c>
      <c r="J6648" t="n">
        <v>0</v>
      </c>
      <c r="K6648" t="n">
        <v>0</v>
      </c>
      <c r="L6648" t="n">
        <v>0</v>
      </c>
      <c r="M6648" t="n">
        <v>0</v>
      </c>
      <c r="N6648" t="n">
        <v>0</v>
      </c>
      <c r="O6648" t="n">
        <v>0</v>
      </c>
      <c r="P6648" t="n">
        <v>0</v>
      </c>
      <c r="Q6648" t="n">
        <v>0</v>
      </c>
      <c r="R6648" s="2" t="inlineStr"/>
    </row>
    <row r="6649" ht="15" customHeight="1">
      <c r="A6649" t="inlineStr">
        <is>
          <t>A 34479-2023</t>
        </is>
      </c>
      <c r="B6649" s="1" t="n">
        <v>45139</v>
      </c>
      <c r="C6649" s="1" t="n">
        <v>45182</v>
      </c>
      <c r="D6649" t="inlineStr">
        <is>
          <t>JÄMTLANDS LÄN</t>
        </is>
      </c>
      <c r="E6649" t="inlineStr">
        <is>
          <t>STRÖMSUND</t>
        </is>
      </c>
      <c r="G6649" t="n">
        <v>0.9</v>
      </c>
      <c r="H6649" t="n">
        <v>0</v>
      </c>
      <c r="I6649" t="n">
        <v>0</v>
      </c>
      <c r="J6649" t="n">
        <v>0</v>
      </c>
      <c r="K6649" t="n">
        <v>0</v>
      </c>
      <c r="L6649" t="n">
        <v>0</v>
      </c>
      <c r="M6649" t="n">
        <v>0</v>
      </c>
      <c r="N6649" t="n">
        <v>0</v>
      </c>
      <c r="O6649" t="n">
        <v>0</v>
      </c>
      <c r="P6649" t="n">
        <v>0</v>
      </c>
      <c r="Q6649" t="n">
        <v>0</v>
      </c>
      <c r="R6649" s="2" t="inlineStr"/>
    </row>
    <row r="6650" ht="15" customHeight="1">
      <c r="A6650" t="inlineStr">
        <is>
          <t>A 34720-2023</t>
        </is>
      </c>
      <c r="B6650" s="1" t="n">
        <v>45139</v>
      </c>
      <c r="C6650" s="1" t="n">
        <v>45182</v>
      </c>
      <c r="D6650" t="inlineStr">
        <is>
          <t>JÄMTLANDS LÄN</t>
        </is>
      </c>
      <c r="E6650" t="inlineStr">
        <is>
          <t>KROKOM</t>
        </is>
      </c>
      <c r="F6650" t="inlineStr">
        <is>
          <t>SCA</t>
        </is>
      </c>
      <c r="G6650" t="n">
        <v>0.9</v>
      </c>
      <c r="H6650" t="n">
        <v>0</v>
      </c>
      <c r="I6650" t="n">
        <v>0</v>
      </c>
      <c r="J6650" t="n">
        <v>0</v>
      </c>
      <c r="K6650" t="n">
        <v>0</v>
      </c>
      <c r="L6650" t="n">
        <v>0</v>
      </c>
      <c r="M6650" t="n">
        <v>0</v>
      </c>
      <c r="N6650" t="n">
        <v>0</v>
      </c>
      <c r="O6650" t="n">
        <v>0</v>
      </c>
      <c r="P6650" t="n">
        <v>0</v>
      </c>
      <c r="Q6650" t="n">
        <v>0</v>
      </c>
      <c r="R6650" s="2" t="inlineStr"/>
    </row>
    <row r="6651" ht="15" customHeight="1">
      <c r="A6651" t="inlineStr">
        <is>
          <t>A 34801-2023</t>
        </is>
      </c>
      <c r="B6651" s="1" t="n">
        <v>45140</v>
      </c>
      <c r="C6651" s="1" t="n">
        <v>45182</v>
      </c>
      <c r="D6651" t="inlineStr">
        <is>
          <t>JÄMTLANDS LÄN</t>
        </is>
      </c>
      <c r="E6651" t="inlineStr">
        <is>
          <t>KROKOM</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34693-2023</t>
        </is>
      </c>
      <c r="B6652" s="1" t="n">
        <v>45140</v>
      </c>
      <c r="C6652" s="1" t="n">
        <v>45182</v>
      </c>
      <c r="D6652" t="inlineStr">
        <is>
          <t>JÄMTLANDS LÄN</t>
        </is>
      </c>
      <c r="E6652" t="inlineStr">
        <is>
          <t>BRÄCKE</t>
        </is>
      </c>
      <c r="F6652" t="inlineStr">
        <is>
          <t>SCA</t>
        </is>
      </c>
      <c r="G6652" t="n">
        <v>4.9</v>
      </c>
      <c r="H6652" t="n">
        <v>0</v>
      </c>
      <c r="I6652" t="n">
        <v>0</v>
      </c>
      <c r="J6652" t="n">
        <v>0</v>
      </c>
      <c r="K6652" t="n">
        <v>0</v>
      </c>
      <c r="L6652" t="n">
        <v>0</v>
      </c>
      <c r="M6652" t="n">
        <v>0</v>
      </c>
      <c r="N6652" t="n">
        <v>0</v>
      </c>
      <c r="O6652" t="n">
        <v>0</v>
      </c>
      <c r="P6652" t="n">
        <v>0</v>
      </c>
      <c r="Q6652" t="n">
        <v>0</v>
      </c>
      <c r="R6652" s="2" t="inlineStr"/>
    </row>
    <row r="6653" ht="15" customHeight="1">
      <c r="A6653" t="inlineStr">
        <is>
          <t>A 34704-2023</t>
        </is>
      </c>
      <c r="B6653" s="1" t="n">
        <v>45140</v>
      </c>
      <c r="C6653" s="1" t="n">
        <v>45182</v>
      </c>
      <c r="D6653" t="inlineStr">
        <is>
          <t>JÄMTLANDS LÄN</t>
        </is>
      </c>
      <c r="E6653" t="inlineStr">
        <is>
          <t>BRÄCKE</t>
        </is>
      </c>
      <c r="F6653" t="inlineStr">
        <is>
          <t>SCA</t>
        </is>
      </c>
      <c r="G6653" t="n">
        <v>16.8</v>
      </c>
      <c r="H6653" t="n">
        <v>0</v>
      </c>
      <c r="I6653" t="n">
        <v>0</v>
      </c>
      <c r="J6653" t="n">
        <v>0</v>
      </c>
      <c r="K6653" t="n">
        <v>0</v>
      </c>
      <c r="L6653" t="n">
        <v>0</v>
      </c>
      <c r="M6653" t="n">
        <v>0</v>
      </c>
      <c r="N6653" t="n">
        <v>0</v>
      </c>
      <c r="O6653" t="n">
        <v>0</v>
      </c>
      <c r="P6653" t="n">
        <v>0</v>
      </c>
      <c r="Q6653" t="n">
        <v>0</v>
      </c>
      <c r="R6653" s="2" t="inlineStr"/>
    </row>
    <row r="6654" ht="15" customHeight="1">
      <c r="A6654" t="inlineStr">
        <is>
          <t>A 34803-2023</t>
        </is>
      </c>
      <c r="B6654" s="1" t="n">
        <v>45140</v>
      </c>
      <c r="C6654" s="1" t="n">
        <v>45182</v>
      </c>
      <c r="D6654" t="inlineStr">
        <is>
          <t>JÄMTLANDS LÄN</t>
        </is>
      </c>
      <c r="E6654" t="inlineStr">
        <is>
          <t>KROKOM</t>
        </is>
      </c>
      <c r="G6654" t="n">
        <v>2</v>
      </c>
      <c r="H6654" t="n">
        <v>0</v>
      </c>
      <c r="I6654" t="n">
        <v>0</v>
      </c>
      <c r="J6654" t="n">
        <v>0</v>
      </c>
      <c r="K6654" t="n">
        <v>0</v>
      </c>
      <c r="L6654" t="n">
        <v>0</v>
      </c>
      <c r="M6654" t="n">
        <v>0</v>
      </c>
      <c r="N6654" t="n">
        <v>0</v>
      </c>
      <c r="O6654" t="n">
        <v>0</v>
      </c>
      <c r="P6654" t="n">
        <v>0</v>
      </c>
      <c r="Q6654" t="n">
        <v>0</v>
      </c>
      <c r="R6654" s="2" t="inlineStr"/>
    </row>
    <row r="6655" ht="15" customHeight="1">
      <c r="A6655" t="inlineStr">
        <is>
          <t>A 34819-2023</t>
        </is>
      </c>
      <c r="B6655" s="1" t="n">
        <v>45140</v>
      </c>
      <c r="C6655" s="1" t="n">
        <v>45182</v>
      </c>
      <c r="D6655" t="inlineStr">
        <is>
          <t>JÄMTLANDS LÄN</t>
        </is>
      </c>
      <c r="E6655" t="inlineStr">
        <is>
          <t>BERG</t>
        </is>
      </c>
      <c r="G6655" t="n">
        <v>0.8</v>
      </c>
      <c r="H6655" t="n">
        <v>0</v>
      </c>
      <c r="I6655" t="n">
        <v>0</v>
      </c>
      <c r="J6655" t="n">
        <v>0</v>
      </c>
      <c r="K6655" t="n">
        <v>0</v>
      </c>
      <c r="L6655" t="n">
        <v>0</v>
      </c>
      <c r="M6655" t="n">
        <v>0</v>
      </c>
      <c r="N6655" t="n">
        <v>0</v>
      </c>
      <c r="O6655" t="n">
        <v>0</v>
      </c>
      <c r="P6655" t="n">
        <v>0</v>
      </c>
      <c r="Q6655" t="n">
        <v>0</v>
      </c>
      <c r="R6655" s="2" t="inlineStr"/>
    </row>
    <row r="6656" ht="15" customHeight="1">
      <c r="A6656" t="inlineStr">
        <is>
          <t>A 34824-2023</t>
        </is>
      </c>
      <c r="B6656" s="1" t="n">
        <v>45141</v>
      </c>
      <c r="C6656" s="1" t="n">
        <v>45182</v>
      </c>
      <c r="D6656" t="inlineStr">
        <is>
          <t>JÄMTLANDS LÄN</t>
        </is>
      </c>
      <c r="E6656" t="inlineStr">
        <is>
          <t>STRÖMSUND</t>
        </is>
      </c>
      <c r="F6656" t="inlineStr">
        <is>
          <t>Kyrkan</t>
        </is>
      </c>
      <c r="G6656" t="n">
        <v>2.9</v>
      </c>
      <c r="H6656" t="n">
        <v>0</v>
      </c>
      <c r="I6656" t="n">
        <v>0</v>
      </c>
      <c r="J6656" t="n">
        <v>0</v>
      </c>
      <c r="K6656" t="n">
        <v>0</v>
      </c>
      <c r="L6656" t="n">
        <v>0</v>
      </c>
      <c r="M6656" t="n">
        <v>0</v>
      </c>
      <c r="N6656" t="n">
        <v>0</v>
      </c>
      <c r="O6656" t="n">
        <v>0</v>
      </c>
      <c r="P6656" t="n">
        <v>0</v>
      </c>
      <c r="Q6656" t="n">
        <v>0</v>
      </c>
      <c r="R6656" s="2" t="inlineStr"/>
    </row>
    <row r="6657" ht="15" customHeight="1">
      <c r="A6657" t="inlineStr">
        <is>
          <t>A 34907-2023</t>
        </is>
      </c>
      <c r="B6657" s="1" t="n">
        <v>45141</v>
      </c>
      <c r="C6657" s="1" t="n">
        <v>45182</v>
      </c>
      <c r="D6657" t="inlineStr">
        <is>
          <t>JÄMTLANDS LÄN</t>
        </is>
      </c>
      <c r="E6657" t="inlineStr">
        <is>
          <t>STRÖMSUND</t>
        </is>
      </c>
      <c r="G6657" t="n">
        <v>7.1</v>
      </c>
      <c r="H6657" t="n">
        <v>0</v>
      </c>
      <c r="I6657" t="n">
        <v>0</v>
      </c>
      <c r="J6657" t="n">
        <v>0</v>
      </c>
      <c r="K6657" t="n">
        <v>0</v>
      </c>
      <c r="L6657" t="n">
        <v>0</v>
      </c>
      <c r="M6657" t="n">
        <v>0</v>
      </c>
      <c r="N6657" t="n">
        <v>0</v>
      </c>
      <c r="O6657" t="n">
        <v>0</v>
      </c>
      <c r="P6657" t="n">
        <v>0</v>
      </c>
      <c r="Q6657" t="n">
        <v>0</v>
      </c>
      <c r="R6657" s="2" t="inlineStr"/>
    </row>
    <row r="6658" ht="15" customHeight="1">
      <c r="A6658" t="inlineStr">
        <is>
          <t>A 34947-2023</t>
        </is>
      </c>
      <c r="B6658" s="1" t="n">
        <v>45142</v>
      </c>
      <c r="C6658" s="1" t="n">
        <v>45182</v>
      </c>
      <c r="D6658" t="inlineStr">
        <is>
          <t>JÄMTLANDS LÄN</t>
        </is>
      </c>
      <c r="E6658" t="inlineStr">
        <is>
          <t>BRÄCKE</t>
        </is>
      </c>
      <c r="G6658" t="n">
        <v>5.8</v>
      </c>
      <c r="H6658" t="n">
        <v>0</v>
      </c>
      <c r="I6658" t="n">
        <v>0</v>
      </c>
      <c r="J6658" t="n">
        <v>0</v>
      </c>
      <c r="K6658" t="n">
        <v>0</v>
      </c>
      <c r="L6658" t="n">
        <v>0</v>
      </c>
      <c r="M6658" t="n">
        <v>0</v>
      </c>
      <c r="N6658" t="n">
        <v>0</v>
      </c>
      <c r="O6658" t="n">
        <v>0</v>
      </c>
      <c r="P6658" t="n">
        <v>0</v>
      </c>
      <c r="Q6658" t="n">
        <v>0</v>
      </c>
      <c r="R6658" s="2" t="inlineStr"/>
    </row>
    <row r="6659" ht="15" customHeight="1">
      <c r="A6659" t="inlineStr">
        <is>
          <t>A 35255-2023</t>
        </is>
      </c>
      <c r="B6659" s="1" t="n">
        <v>45145</v>
      </c>
      <c r="C6659" s="1" t="n">
        <v>45182</v>
      </c>
      <c r="D6659" t="inlineStr">
        <is>
          <t>JÄMTLANDS LÄN</t>
        </is>
      </c>
      <c r="E6659" t="inlineStr">
        <is>
          <t>BRÄCKE</t>
        </is>
      </c>
      <c r="F6659" t="inlineStr">
        <is>
          <t>SCA</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35385-2023</t>
        </is>
      </c>
      <c r="B6660" s="1" t="n">
        <v>45145</v>
      </c>
      <c r="C6660" s="1" t="n">
        <v>45182</v>
      </c>
      <c r="D6660" t="inlineStr">
        <is>
          <t>JÄMTLANDS LÄN</t>
        </is>
      </c>
      <c r="E6660" t="inlineStr">
        <is>
          <t>STRÖMSUND</t>
        </is>
      </c>
      <c r="G6660" t="n">
        <v>29.8</v>
      </c>
      <c r="H6660" t="n">
        <v>0</v>
      </c>
      <c r="I6660" t="n">
        <v>0</v>
      </c>
      <c r="J6660" t="n">
        <v>0</v>
      </c>
      <c r="K6660" t="n">
        <v>0</v>
      </c>
      <c r="L6660" t="n">
        <v>0</v>
      </c>
      <c r="M6660" t="n">
        <v>0</v>
      </c>
      <c r="N6660" t="n">
        <v>0</v>
      </c>
      <c r="O6660" t="n">
        <v>0</v>
      </c>
      <c r="P6660" t="n">
        <v>0</v>
      </c>
      <c r="Q6660" t="n">
        <v>0</v>
      </c>
      <c r="R6660" s="2" t="inlineStr"/>
    </row>
    <row r="6661" ht="15" customHeight="1">
      <c r="A6661" t="inlineStr">
        <is>
          <t>A 35256-2023</t>
        </is>
      </c>
      <c r="B6661" s="1" t="n">
        <v>45145</v>
      </c>
      <c r="C6661" s="1" t="n">
        <v>45182</v>
      </c>
      <c r="D6661" t="inlineStr">
        <is>
          <t>JÄMTLANDS LÄN</t>
        </is>
      </c>
      <c r="E6661" t="inlineStr">
        <is>
          <t>BRÄCKE</t>
        </is>
      </c>
      <c r="F6661" t="inlineStr">
        <is>
          <t>SCA</t>
        </is>
      </c>
      <c r="G6661" t="n">
        <v>34.5</v>
      </c>
      <c r="H6661" t="n">
        <v>0</v>
      </c>
      <c r="I6661" t="n">
        <v>0</v>
      </c>
      <c r="J6661" t="n">
        <v>0</v>
      </c>
      <c r="K6661" t="n">
        <v>0</v>
      </c>
      <c r="L6661" t="n">
        <v>0</v>
      </c>
      <c r="M6661" t="n">
        <v>0</v>
      </c>
      <c r="N6661" t="n">
        <v>0</v>
      </c>
      <c r="O6661" t="n">
        <v>0</v>
      </c>
      <c r="P6661" t="n">
        <v>0</v>
      </c>
      <c r="Q6661" t="n">
        <v>0</v>
      </c>
      <c r="R6661" s="2" t="inlineStr"/>
    </row>
    <row r="6662" ht="15" customHeight="1">
      <c r="A6662" t="inlineStr">
        <is>
          <t>A 35334-2023</t>
        </is>
      </c>
      <c r="B6662" s="1" t="n">
        <v>45146</v>
      </c>
      <c r="C6662" s="1" t="n">
        <v>45182</v>
      </c>
      <c r="D6662" t="inlineStr">
        <is>
          <t>JÄMTLANDS LÄN</t>
        </is>
      </c>
      <c r="E6662" t="inlineStr">
        <is>
          <t>KROKOM</t>
        </is>
      </c>
      <c r="G6662" t="n">
        <v>10.9</v>
      </c>
      <c r="H6662" t="n">
        <v>0</v>
      </c>
      <c r="I6662" t="n">
        <v>0</v>
      </c>
      <c r="J6662" t="n">
        <v>0</v>
      </c>
      <c r="K6662" t="n">
        <v>0</v>
      </c>
      <c r="L6662" t="n">
        <v>0</v>
      </c>
      <c r="M6662" t="n">
        <v>0</v>
      </c>
      <c r="N6662" t="n">
        <v>0</v>
      </c>
      <c r="O6662" t="n">
        <v>0</v>
      </c>
      <c r="P6662" t="n">
        <v>0</v>
      </c>
      <c r="Q6662" t="n">
        <v>0</v>
      </c>
      <c r="R6662" s="2" t="inlineStr"/>
    </row>
    <row r="6663" ht="15" customHeight="1">
      <c r="A6663" t="inlineStr">
        <is>
          <t>A 35461-2023</t>
        </is>
      </c>
      <c r="B6663" s="1" t="n">
        <v>45146</v>
      </c>
      <c r="C6663" s="1" t="n">
        <v>45182</v>
      </c>
      <c r="D6663" t="inlineStr">
        <is>
          <t>JÄMTLANDS LÄN</t>
        </is>
      </c>
      <c r="E6663" t="inlineStr">
        <is>
          <t>STRÖMSUND</t>
        </is>
      </c>
      <c r="G6663" t="n">
        <v>11.1</v>
      </c>
      <c r="H6663" t="n">
        <v>0</v>
      </c>
      <c r="I6663" t="n">
        <v>0</v>
      </c>
      <c r="J6663" t="n">
        <v>0</v>
      </c>
      <c r="K6663" t="n">
        <v>0</v>
      </c>
      <c r="L6663" t="n">
        <v>0</v>
      </c>
      <c r="M6663" t="n">
        <v>0</v>
      </c>
      <c r="N6663" t="n">
        <v>0</v>
      </c>
      <c r="O6663" t="n">
        <v>0</v>
      </c>
      <c r="P6663" t="n">
        <v>0</v>
      </c>
      <c r="Q6663" t="n">
        <v>0</v>
      </c>
      <c r="R6663" s="2" t="inlineStr"/>
    </row>
    <row r="6664" ht="15" customHeight="1">
      <c r="A6664" t="inlineStr">
        <is>
          <t>A 35506-2023</t>
        </is>
      </c>
      <c r="B6664" s="1" t="n">
        <v>45146</v>
      </c>
      <c r="C6664" s="1" t="n">
        <v>45182</v>
      </c>
      <c r="D6664" t="inlineStr">
        <is>
          <t>JÄMTLANDS LÄN</t>
        </is>
      </c>
      <c r="E6664" t="inlineStr">
        <is>
          <t>BRÄCKE</t>
        </is>
      </c>
      <c r="G6664" t="n">
        <v>2.1</v>
      </c>
      <c r="H6664" t="n">
        <v>0</v>
      </c>
      <c r="I6664" t="n">
        <v>0</v>
      </c>
      <c r="J6664" t="n">
        <v>0</v>
      </c>
      <c r="K6664" t="n">
        <v>0</v>
      </c>
      <c r="L6664" t="n">
        <v>0</v>
      </c>
      <c r="M6664" t="n">
        <v>0</v>
      </c>
      <c r="N6664" t="n">
        <v>0</v>
      </c>
      <c r="O6664" t="n">
        <v>0</v>
      </c>
      <c r="P6664" t="n">
        <v>0</v>
      </c>
      <c r="Q6664" t="n">
        <v>0</v>
      </c>
      <c r="R6664" s="2" t="inlineStr"/>
    </row>
    <row r="6665" ht="15" customHeight="1">
      <c r="A6665" t="inlineStr">
        <is>
          <t>A 35565-2023</t>
        </is>
      </c>
      <c r="B6665" s="1" t="n">
        <v>45146</v>
      </c>
      <c r="C6665" s="1" t="n">
        <v>45182</v>
      </c>
      <c r="D6665" t="inlineStr">
        <is>
          <t>JÄMTLANDS LÄN</t>
        </is>
      </c>
      <c r="E6665" t="inlineStr">
        <is>
          <t>RAGUNDA</t>
        </is>
      </c>
      <c r="G6665" t="n">
        <v>6.2</v>
      </c>
      <c r="H6665" t="n">
        <v>0</v>
      </c>
      <c r="I6665" t="n">
        <v>0</v>
      </c>
      <c r="J6665" t="n">
        <v>0</v>
      </c>
      <c r="K6665" t="n">
        <v>0</v>
      </c>
      <c r="L6665" t="n">
        <v>0</v>
      </c>
      <c r="M6665" t="n">
        <v>0</v>
      </c>
      <c r="N6665" t="n">
        <v>0</v>
      </c>
      <c r="O6665" t="n">
        <v>0</v>
      </c>
      <c r="P6665" t="n">
        <v>0</v>
      </c>
      <c r="Q6665" t="n">
        <v>0</v>
      </c>
      <c r="R6665" s="2" t="inlineStr"/>
    </row>
    <row r="6666" ht="15" customHeight="1">
      <c r="A6666" t="inlineStr">
        <is>
          <t>A 35742-2023</t>
        </is>
      </c>
      <c r="B6666" s="1" t="n">
        <v>45147</v>
      </c>
      <c r="C6666" s="1" t="n">
        <v>45182</v>
      </c>
      <c r="D6666" t="inlineStr">
        <is>
          <t>JÄMTLANDS LÄN</t>
        </is>
      </c>
      <c r="E6666" t="inlineStr">
        <is>
          <t>BRÄCKE</t>
        </is>
      </c>
      <c r="F6666" t="inlineStr">
        <is>
          <t>SCA</t>
        </is>
      </c>
      <c r="G6666" t="n">
        <v>26.8</v>
      </c>
      <c r="H6666" t="n">
        <v>0</v>
      </c>
      <c r="I6666" t="n">
        <v>0</v>
      </c>
      <c r="J6666" t="n">
        <v>0</v>
      </c>
      <c r="K6666" t="n">
        <v>0</v>
      </c>
      <c r="L6666" t="n">
        <v>0</v>
      </c>
      <c r="M6666" t="n">
        <v>0</v>
      </c>
      <c r="N6666" t="n">
        <v>0</v>
      </c>
      <c r="O6666" t="n">
        <v>0</v>
      </c>
      <c r="P6666" t="n">
        <v>0</v>
      </c>
      <c r="Q6666" t="n">
        <v>0</v>
      </c>
      <c r="R6666" s="2" t="inlineStr"/>
    </row>
    <row r="6667" ht="15" customHeight="1">
      <c r="A6667" t="inlineStr">
        <is>
          <t>A 35862-2023</t>
        </is>
      </c>
      <c r="B6667" s="1" t="n">
        <v>45147</v>
      </c>
      <c r="C6667" s="1" t="n">
        <v>45182</v>
      </c>
      <c r="D6667" t="inlineStr">
        <is>
          <t>JÄMTLANDS LÄN</t>
        </is>
      </c>
      <c r="E6667" t="inlineStr">
        <is>
          <t>BRÄCKE</t>
        </is>
      </c>
      <c r="G6667" t="n">
        <v>9</v>
      </c>
      <c r="H6667" t="n">
        <v>0</v>
      </c>
      <c r="I6667" t="n">
        <v>0</v>
      </c>
      <c r="J6667" t="n">
        <v>0</v>
      </c>
      <c r="K6667" t="n">
        <v>0</v>
      </c>
      <c r="L6667" t="n">
        <v>0</v>
      </c>
      <c r="M6667" t="n">
        <v>0</v>
      </c>
      <c r="N6667" t="n">
        <v>0</v>
      </c>
      <c r="O6667" t="n">
        <v>0</v>
      </c>
      <c r="P6667" t="n">
        <v>0</v>
      </c>
      <c r="Q6667" t="n">
        <v>0</v>
      </c>
      <c r="R6667" s="2" t="inlineStr"/>
    </row>
    <row r="6668" ht="15" customHeight="1">
      <c r="A6668" t="inlineStr">
        <is>
          <t>A 35741-2023</t>
        </is>
      </c>
      <c r="B6668" s="1" t="n">
        <v>45147</v>
      </c>
      <c r="C6668" s="1" t="n">
        <v>45182</v>
      </c>
      <c r="D6668" t="inlineStr">
        <is>
          <t>JÄMTLANDS LÄN</t>
        </is>
      </c>
      <c r="E6668" t="inlineStr">
        <is>
          <t>BRÄCKE</t>
        </is>
      </c>
      <c r="F6668" t="inlineStr">
        <is>
          <t>SCA</t>
        </is>
      </c>
      <c r="G6668" t="n">
        <v>2.7</v>
      </c>
      <c r="H6668" t="n">
        <v>0</v>
      </c>
      <c r="I6668" t="n">
        <v>0</v>
      </c>
      <c r="J6668" t="n">
        <v>0</v>
      </c>
      <c r="K6668" t="n">
        <v>0</v>
      </c>
      <c r="L6668" t="n">
        <v>0</v>
      </c>
      <c r="M6668" t="n">
        <v>0</v>
      </c>
      <c r="N6668" t="n">
        <v>0</v>
      </c>
      <c r="O6668" t="n">
        <v>0</v>
      </c>
      <c r="P6668" t="n">
        <v>0</v>
      </c>
      <c r="Q6668" t="n">
        <v>0</v>
      </c>
      <c r="R6668" s="2" t="inlineStr"/>
    </row>
    <row r="6669" ht="15" customHeight="1">
      <c r="A6669" t="inlineStr">
        <is>
          <t>A 35766-2023</t>
        </is>
      </c>
      <c r="B6669" s="1" t="n">
        <v>45147</v>
      </c>
      <c r="C6669" s="1" t="n">
        <v>45182</v>
      </c>
      <c r="D6669" t="inlineStr">
        <is>
          <t>JÄMTLANDS LÄN</t>
        </is>
      </c>
      <c r="E6669" t="inlineStr">
        <is>
          <t>BRÄCKE</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35813-2023</t>
        </is>
      </c>
      <c r="B6670" s="1" t="n">
        <v>45147</v>
      </c>
      <c r="C6670" s="1" t="n">
        <v>45182</v>
      </c>
      <c r="D6670" t="inlineStr">
        <is>
          <t>JÄMTLANDS LÄN</t>
        </is>
      </c>
      <c r="E6670" t="inlineStr">
        <is>
          <t>HÄRJEDALEN</t>
        </is>
      </c>
      <c r="G6670" t="n">
        <v>15.1</v>
      </c>
      <c r="H6670" t="n">
        <v>0</v>
      </c>
      <c r="I6670" t="n">
        <v>0</v>
      </c>
      <c r="J6670" t="n">
        <v>0</v>
      </c>
      <c r="K6670" t="n">
        <v>0</v>
      </c>
      <c r="L6670" t="n">
        <v>0</v>
      </c>
      <c r="M6670" t="n">
        <v>0</v>
      </c>
      <c r="N6670" t="n">
        <v>0</v>
      </c>
      <c r="O6670" t="n">
        <v>0</v>
      </c>
      <c r="P6670" t="n">
        <v>0</v>
      </c>
      <c r="Q6670" t="n">
        <v>0</v>
      </c>
      <c r="R6670" s="2" t="inlineStr"/>
    </row>
    <row r="6671" ht="15" customHeight="1">
      <c r="A6671" t="inlineStr">
        <is>
          <t>A 35887-2023</t>
        </is>
      </c>
      <c r="B6671" s="1" t="n">
        <v>45148</v>
      </c>
      <c r="C6671" s="1" t="n">
        <v>45182</v>
      </c>
      <c r="D6671" t="inlineStr">
        <is>
          <t>JÄMTLANDS LÄN</t>
        </is>
      </c>
      <c r="E6671" t="inlineStr">
        <is>
          <t>KROKOM</t>
        </is>
      </c>
      <c r="F6671" t="inlineStr">
        <is>
          <t>Övriga Aktiebolag</t>
        </is>
      </c>
      <c r="G6671" t="n">
        <v>14.3</v>
      </c>
      <c r="H6671" t="n">
        <v>0</v>
      </c>
      <c r="I6671" t="n">
        <v>0</v>
      </c>
      <c r="J6671" t="n">
        <v>0</v>
      </c>
      <c r="K6671" t="n">
        <v>0</v>
      </c>
      <c r="L6671" t="n">
        <v>0</v>
      </c>
      <c r="M6671" t="n">
        <v>0</v>
      </c>
      <c r="N6671" t="n">
        <v>0</v>
      </c>
      <c r="O6671" t="n">
        <v>0</v>
      </c>
      <c r="P6671" t="n">
        <v>0</v>
      </c>
      <c r="Q6671" t="n">
        <v>0</v>
      </c>
      <c r="R6671" s="2" t="inlineStr"/>
    </row>
    <row r="6672" ht="15" customHeight="1">
      <c r="A6672" t="inlineStr">
        <is>
          <t>A 35897-2023</t>
        </is>
      </c>
      <c r="B6672" s="1" t="n">
        <v>45148</v>
      </c>
      <c r="C6672" s="1" t="n">
        <v>45182</v>
      </c>
      <c r="D6672" t="inlineStr">
        <is>
          <t>JÄMTLANDS LÄN</t>
        </is>
      </c>
      <c r="E6672" t="inlineStr">
        <is>
          <t>STRÖMSUND</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35896-2023</t>
        </is>
      </c>
      <c r="B6673" s="1" t="n">
        <v>45148</v>
      </c>
      <c r="C6673" s="1" t="n">
        <v>45182</v>
      </c>
      <c r="D6673" t="inlineStr">
        <is>
          <t>JÄMTLANDS LÄN</t>
        </is>
      </c>
      <c r="E6673" t="inlineStr">
        <is>
          <t>BRÄCKE</t>
        </is>
      </c>
      <c r="G6673" t="n">
        <v>3.6</v>
      </c>
      <c r="H6673" t="n">
        <v>0</v>
      </c>
      <c r="I6673" t="n">
        <v>0</v>
      </c>
      <c r="J6673" t="n">
        <v>0</v>
      </c>
      <c r="K6673" t="n">
        <v>0</v>
      </c>
      <c r="L6673" t="n">
        <v>0</v>
      </c>
      <c r="M6673" t="n">
        <v>0</v>
      </c>
      <c r="N6673" t="n">
        <v>0</v>
      </c>
      <c r="O6673" t="n">
        <v>0</v>
      </c>
      <c r="P6673" t="n">
        <v>0</v>
      </c>
      <c r="Q6673" t="n">
        <v>0</v>
      </c>
      <c r="R6673" s="2" t="inlineStr"/>
    </row>
    <row r="6674" ht="15" customHeight="1">
      <c r="A6674" t="inlineStr">
        <is>
          <t>A 35972-2023</t>
        </is>
      </c>
      <c r="B6674" s="1" t="n">
        <v>45148</v>
      </c>
      <c r="C6674" s="1" t="n">
        <v>45182</v>
      </c>
      <c r="D6674" t="inlineStr">
        <is>
          <t>JÄMTLANDS LÄN</t>
        </is>
      </c>
      <c r="E6674" t="inlineStr">
        <is>
          <t>BRÄCKE</t>
        </is>
      </c>
      <c r="G6674" t="n">
        <v>2.2</v>
      </c>
      <c r="H6674" t="n">
        <v>0</v>
      </c>
      <c r="I6674" t="n">
        <v>0</v>
      </c>
      <c r="J6674" t="n">
        <v>0</v>
      </c>
      <c r="K6674" t="n">
        <v>0</v>
      </c>
      <c r="L6674" t="n">
        <v>0</v>
      </c>
      <c r="M6674" t="n">
        <v>0</v>
      </c>
      <c r="N6674" t="n">
        <v>0</v>
      </c>
      <c r="O6674" t="n">
        <v>0</v>
      </c>
      <c r="P6674" t="n">
        <v>0</v>
      </c>
      <c r="Q6674" t="n">
        <v>0</v>
      </c>
      <c r="R6674" s="2" t="inlineStr"/>
    </row>
    <row r="6675" ht="15" customHeight="1">
      <c r="A6675" t="inlineStr">
        <is>
          <t>A 35986-2023</t>
        </is>
      </c>
      <c r="B6675" s="1" t="n">
        <v>45148</v>
      </c>
      <c r="C6675" s="1" t="n">
        <v>45182</v>
      </c>
      <c r="D6675" t="inlineStr">
        <is>
          <t>JÄMTLANDS LÄN</t>
        </is>
      </c>
      <c r="E6675" t="inlineStr">
        <is>
          <t>BERG</t>
        </is>
      </c>
      <c r="F6675" t="inlineStr">
        <is>
          <t>SCA</t>
        </is>
      </c>
      <c r="G6675" t="n">
        <v>3.4</v>
      </c>
      <c r="H6675" t="n">
        <v>0</v>
      </c>
      <c r="I6675" t="n">
        <v>0</v>
      </c>
      <c r="J6675" t="n">
        <v>0</v>
      </c>
      <c r="K6675" t="n">
        <v>0</v>
      </c>
      <c r="L6675" t="n">
        <v>0</v>
      </c>
      <c r="M6675" t="n">
        <v>0</v>
      </c>
      <c r="N6675" t="n">
        <v>0</v>
      </c>
      <c r="O6675" t="n">
        <v>0</v>
      </c>
      <c r="P6675" t="n">
        <v>0</v>
      </c>
      <c r="Q6675" t="n">
        <v>0</v>
      </c>
      <c r="R6675" s="2" t="inlineStr"/>
    </row>
    <row r="6676" ht="15" customHeight="1">
      <c r="A6676" t="inlineStr">
        <is>
          <t>A 36046-2023</t>
        </is>
      </c>
      <c r="B6676" s="1" t="n">
        <v>45148</v>
      </c>
      <c r="C6676" s="1" t="n">
        <v>45182</v>
      </c>
      <c r="D6676" t="inlineStr">
        <is>
          <t>JÄMTLANDS LÄN</t>
        </is>
      </c>
      <c r="E6676" t="inlineStr">
        <is>
          <t>RAGUNDA</t>
        </is>
      </c>
      <c r="G6676" t="n">
        <v>1.9</v>
      </c>
      <c r="H6676" t="n">
        <v>0</v>
      </c>
      <c r="I6676" t="n">
        <v>0</v>
      </c>
      <c r="J6676" t="n">
        <v>0</v>
      </c>
      <c r="K6676" t="n">
        <v>0</v>
      </c>
      <c r="L6676" t="n">
        <v>0</v>
      </c>
      <c r="M6676" t="n">
        <v>0</v>
      </c>
      <c r="N6676" t="n">
        <v>0</v>
      </c>
      <c r="O6676" t="n">
        <v>0</v>
      </c>
      <c r="P6676" t="n">
        <v>0</v>
      </c>
      <c r="Q6676" t="n">
        <v>0</v>
      </c>
      <c r="R6676" s="2" t="inlineStr"/>
    </row>
    <row r="6677" ht="15" customHeight="1">
      <c r="A6677" t="inlineStr">
        <is>
          <t>A 35880-2023</t>
        </is>
      </c>
      <c r="B6677" s="1" t="n">
        <v>45148</v>
      </c>
      <c r="C6677" s="1" t="n">
        <v>45182</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35912-2023</t>
        </is>
      </c>
      <c r="B6678" s="1" t="n">
        <v>45148</v>
      </c>
      <c r="C6678" s="1" t="n">
        <v>45182</v>
      </c>
      <c r="D6678" t="inlineStr">
        <is>
          <t>JÄMTLANDS LÄN</t>
        </is>
      </c>
      <c r="E6678" t="inlineStr">
        <is>
          <t>RAGUNDA</t>
        </is>
      </c>
      <c r="G6678" t="n">
        <v>5.4</v>
      </c>
      <c r="H6678" t="n">
        <v>0</v>
      </c>
      <c r="I6678" t="n">
        <v>0</v>
      </c>
      <c r="J6678" t="n">
        <v>0</v>
      </c>
      <c r="K6678" t="n">
        <v>0</v>
      </c>
      <c r="L6678" t="n">
        <v>0</v>
      </c>
      <c r="M6678" t="n">
        <v>0</v>
      </c>
      <c r="N6678" t="n">
        <v>0</v>
      </c>
      <c r="O6678" t="n">
        <v>0</v>
      </c>
      <c r="P6678" t="n">
        <v>0</v>
      </c>
      <c r="Q6678" t="n">
        <v>0</v>
      </c>
      <c r="R6678" s="2" t="inlineStr"/>
    </row>
    <row r="6679" ht="15" customHeight="1">
      <c r="A6679" t="inlineStr">
        <is>
          <t>A 36371-2023</t>
        </is>
      </c>
      <c r="B6679" s="1" t="n">
        <v>45149</v>
      </c>
      <c r="C6679" s="1" t="n">
        <v>45182</v>
      </c>
      <c r="D6679" t="inlineStr">
        <is>
          <t>JÄMTLANDS LÄN</t>
        </is>
      </c>
      <c r="E6679" t="inlineStr">
        <is>
          <t>RAGUNDA</t>
        </is>
      </c>
      <c r="G6679" t="n">
        <v>25.7</v>
      </c>
      <c r="H6679" t="n">
        <v>0</v>
      </c>
      <c r="I6679" t="n">
        <v>0</v>
      </c>
      <c r="J6679" t="n">
        <v>0</v>
      </c>
      <c r="K6679" t="n">
        <v>0</v>
      </c>
      <c r="L6679" t="n">
        <v>0</v>
      </c>
      <c r="M6679" t="n">
        <v>0</v>
      </c>
      <c r="N6679" t="n">
        <v>0</v>
      </c>
      <c r="O6679" t="n">
        <v>0</v>
      </c>
      <c r="P6679" t="n">
        <v>0</v>
      </c>
      <c r="Q6679" t="n">
        <v>0</v>
      </c>
      <c r="R6679" s="2" t="inlineStr"/>
    </row>
    <row r="6680" ht="15" customHeight="1">
      <c r="A6680" t="inlineStr">
        <is>
          <t>A 36406-2023</t>
        </is>
      </c>
      <c r="B6680" s="1" t="n">
        <v>45149</v>
      </c>
      <c r="C6680" s="1" t="n">
        <v>45182</v>
      </c>
      <c r="D6680" t="inlineStr">
        <is>
          <t>JÄMTLANDS LÄN</t>
        </is>
      </c>
      <c r="E6680" t="inlineStr">
        <is>
          <t>ÖSTERSUND</t>
        </is>
      </c>
      <c r="G6680" t="n">
        <v>2.4</v>
      </c>
      <c r="H6680" t="n">
        <v>0</v>
      </c>
      <c r="I6680" t="n">
        <v>0</v>
      </c>
      <c r="J6680" t="n">
        <v>0</v>
      </c>
      <c r="K6680" t="n">
        <v>0</v>
      </c>
      <c r="L6680" t="n">
        <v>0</v>
      </c>
      <c r="M6680" t="n">
        <v>0</v>
      </c>
      <c r="N6680" t="n">
        <v>0</v>
      </c>
      <c r="O6680" t="n">
        <v>0</v>
      </c>
      <c r="P6680" t="n">
        <v>0</v>
      </c>
      <c r="Q6680" t="n">
        <v>0</v>
      </c>
      <c r="R6680" s="2" t="inlineStr"/>
    </row>
    <row r="6681" ht="15" customHeight="1">
      <c r="A6681" t="inlineStr">
        <is>
          <t>A 36351-2023</t>
        </is>
      </c>
      <c r="B6681" s="1" t="n">
        <v>45149</v>
      </c>
      <c r="C6681" s="1" t="n">
        <v>45182</v>
      </c>
      <c r="D6681" t="inlineStr">
        <is>
          <t>JÄMTLANDS LÄN</t>
        </is>
      </c>
      <c r="E6681" t="inlineStr">
        <is>
          <t>BERG</t>
        </is>
      </c>
      <c r="G6681" t="n">
        <v>11.7</v>
      </c>
      <c r="H6681" t="n">
        <v>0</v>
      </c>
      <c r="I6681" t="n">
        <v>0</v>
      </c>
      <c r="J6681" t="n">
        <v>0</v>
      </c>
      <c r="K6681" t="n">
        <v>0</v>
      </c>
      <c r="L6681" t="n">
        <v>0</v>
      </c>
      <c r="M6681" t="n">
        <v>0</v>
      </c>
      <c r="N6681" t="n">
        <v>0</v>
      </c>
      <c r="O6681" t="n">
        <v>0</v>
      </c>
      <c r="P6681" t="n">
        <v>0</v>
      </c>
      <c r="Q6681" t="n">
        <v>0</v>
      </c>
      <c r="R6681" s="2" t="inlineStr"/>
    </row>
    <row r="6682" ht="15" customHeight="1">
      <c r="A6682" t="inlineStr">
        <is>
          <t>A 36396-2023</t>
        </is>
      </c>
      <c r="B6682" s="1" t="n">
        <v>45149</v>
      </c>
      <c r="C6682" s="1" t="n">
        <v>45182</v>
      </c>
      <c r="D6682" t="inlineStr">
        <is>
          <t>JÄMTLANDS LÄN</t>
        </is>
      </c>
      <c r="E6682" t="inlineStr">
        <is>
          <t>KROKOM</t>
        </is>
      </c>
      <c r="G6682" t="n">
        <v>3.2</v>
      </c>
      <c r="H6682" t="n">
        <v>0</v>
      </c>
      <c r="I6682" t="n">
        <v>0</v>
      </c>
      <c r="J6682" t="n">
        <v>0</v>
      </c>
      <c r="K6682" t="n">
        <v>0</v>
      </c>
      <c r="L6682" t="n">
        <v>0</v>
      </c>
      <c r="M6682" t="n">
        <v>0</v>
      </c>
      <c r="N6682" t="n">
        <v>0</v>
      </c>
      <c r="O6682" t="n">
        <v>0</v>
      </c>
      <c r="P6682" t="n">
        <v>0</v>
      </c>
      <c r="Q6682" t="n">
        <v>0</v>
      </c>
      <c r="R6682" s="2" t="inlineStr"/>
    </row>
    <row r="6683" ht="15" customHeight="1">
      <c r="A6683" t="inlineStr">
        <is>
          <t>A 36234-2023</t>
        </is>
      </c>
      <c r="B6683" s="1" t="n">
        <v>45150</v>
      </c>
      <c r="C6683" s="1" t="n">
        <v>45182</v>
      </c>
      <c r="D6683" t="inlineStr">
        <is>
          <t>JÄMTLANDS LÄN</t>
        </is>
      </c>
      <c r="E6683" t="inlineStr">
        <is>
          <t>ÅRE</t>
        </is>
      </c>
      <c r="G6683" t="n">
        <v>0.9</v>
      </c>
      <c r="H6683" t="n">
        <v>0</v>
      </c>
      <c r="I6683" t="n">
        <v>0</v>
      </c>
      <c r="J6683" t="n">
        <v>0</v>
      </c>
      <c r="K6683" t="n">
        <v>0</v>
      </c>
      <c r="L6683" t="n">
        <v>0</v>
      </c>
      <c r="M6683" t="n">
        <v>0</v>
      </c>
      <c r="N6683" t="n">
        <v>0</v>
      </c>
      <c r="O6683" t="n">
        <v>0</v>
      </c>
      <c r="P6683" t="n">
        <v>0</v>
      </c>
      <c r="Q6683" t="n">
        <v>0</v>
      </c>
      <c r="R6683" s="2" t="inlineStr"/>
    </row>
    <row r="6684" ht="15" customHeight="1">
      <c r="A6684" t="inlineStr">
        <is>
          <t>A 36260-2023</t>
        </is>
      </c>
      <c r="B6684" s="1" t="n">
        <v>45151</v>
      </c>
      <c r="C6684" s="1" t="n">
        <v>45182</v>
      </c>
      <c r="D6684" t="inlineStr">
        <is>
          <t>JÄMTLANDS LÄN</t>
        </is>
      </c>
      <c r="E6684" t="inlineStr">
        <is>
          <t>ÅRE</t>
        </is>
      </c>
      <c r="G6684" t="n">
        <v>2.6</v>
      </c>
      <c r="H6684" t="n">
        <v>0</v>
      </c>
      <c r="I6684" t="n">
        <v>0</v>
      </c>
      <c r="J6684" t="n">
        <v>0</v>
      </c>
      <c r="K6684" t="n">
        <v>0</v>
      </c>
      <c r="L6684" t="n">
        <v>0</v>
      </c>
      <c r="M6684" t="n">
        <v>0</v>
      </c>
      <c r="N6684" t="n">
        <v>0</v>
      </c>
      <c r="O6684" t="n">
        <v>0</v>
      </c>
      <c r="P6684" t="n">
        <v>0</v>
      </c>
      <c r="Q6684" t="n">
        <v>0</v>
      </c>
      <c r="R6684" s="2" t="inlineStr"/>
    </row>
    <row r="6685" ht="15" customHeight="1">
      <c r="A6685" t="inlineStr">
        <is>
          <t>A 36424-2023</t>
        </is>
      </c>
      <c r="B6685" s="1" t="n">
        <v>45152</v>
      </c>
      <c r="C6685" s="1" t="n">
        <v>45182</v>
      </c>
      <c r="D6685" t="inlineStr">
        <is>
          <t>JÄMTLANDS LÄN</t>
        </is>
      </c>
      <c r="E6685" t="inlineStr">
        <is>
          <t>KROKOM</t>
        </is>
      </c>
      <c r="G6685" t="n">
        <v>12.3</v>
      </c>
      <c r="H6685" t="n">
        <v>0</v>
      </c>
      <c r="I6685" t="n">
        <v>0</v>
      </c>
      <c r="J6685" t="n">
        <v>0</v>
      </c>
      <c r="K6685" t="n">
        <v>0</v>
      </c>
      <c r="L6685" t="n">
        <v>0</v>
      </c>
      <c r="M6685" t="n">
        <v>0</v>
      </c>
      <c r="N6685" t="n">
        <v>0</v>
      </c>
      <c r="O6685" t="n">
        <v>0</v>
      </c>
      <c r="P6685" t="n">
        <v>0</v>
      </c>
      <c r="Q6685" t="n">
        <v>0</v>
      </c>
      <c r="R6685" s="2" t="inlineStr"/>
    </row>
    <row r="6686" ht="15" customHeight="1">
      <c r="A6686" t="inlineStr">
        <is>
          <t>A 36535-2023</t>
        </is>
      </c>
      <c r="B6686" s="1" t="n">
        <v>45152</v>
      </c>
      <c r="C6686" s="1" t="n">
        <v>45182</v>
      </c>
      <c r="D6686" t="inlineStr">
        <is>
          <t>JÄMTLANDS LÄN</t>
        </is>
      </c>
      <c r="E6686" t="inlineStr">
        <is>
          <t>KROKOM</t>
        </is>
      </c>
      <c r="G6686" t="n">
        <v>11.8</v>
      </c>
      <c r="H6686" t="n">
        <v>0</v>
      </c>
      <c r="I6686" t="n">
        <v>0</v>
      </c>
      <c r="J6686" t="n">
        <v>0</v>
      </c>
      <c r="K6686" t="n">
        <v>0</v>
      </c>
      <c r="L6686" t="n">
        <v>0</v>
      </c>
      <c r="M6686" t="n">
        <v>0</v>
      </c>
      <c r="N6686" t="n">
        <v>0</v>
      </c>
      <c r="O6686" t="n">
        <v>0</v>
      </c>
      <c r="P6686" t="n">
        <v>0</v>
      </c>
      <c r="Q6686" t="n">
        <v>0</v>
      </c>
      <c r="R6686" s="2" t="inlineStr"/>
    </row>
    <row r="6687" ht="15" customHeight="1">
      <c r="A6687" t="inlineStr">
        <is>
          <t>A 36394-2023</t>
        </is>
      </c>
      <c r="B6687" s="1" t="n">
        <v>45152</v>
      </c>
      <c r="C6687" s="1" t="n">
        <v>45182</v>
      </c>
      <c r="D6687" t="inlineStr">
        <is>
          <t>JÄMTLANDS LÄN</t>
        </is>
      </c>
      <c r="E6687" t="inlineStr">
        <is>
          <t>STRÖMSUND</t>
        </is>
      </c>
      <c r="G6687" t="n">
        <v>5.2</v>
      </c>
      <c r="H6687" t="n">
        <v>0</v>
      </c>
      <c r="I6687" t="n">
        <v>0</v>
      </c>
      <c r="J6687" t="n">
        <v>0</v>
      </c>
      <c r="K6687" t="n">
        <v>0</v>
      </c>
      <c r="L6687" t="n">
        <v>0</v>
      </c>
      <c r="M6687" t="n">
        <v>0</v>
      </c>
      <c r="N6687" t="n">
        <v>0</v>
      </c>
      <c r="O6687" t="n">
        <v>0</v>
      </c>
      <c r="P6687" t="n">
        <v>0</v>
      </c>
      <c r="Q6687" t="n">
        <v>0</v>
      </c>
      <c r="R6687" s="2" t="inlineStr"/>
    </row>
    <row r="6688" ht="15" customHeight="1">
      <c r="A6688" t="inlineStr">
        <is>
          <t>A 36439-2023</t>
        </is>
      </c>
      <c r="B6688" s="1" t="n">
        <v>45152</v>
      </c>
      <c r="C6688" s="1" t="n">
        <v>45182</v>
      </c>
      <c r="D6688" t="inlineStr">
        <is>
          <t>JÄMTLANDS LÄN</t>
        </is>
      </c>
      <c r="E6688" t="inlineStr">
        <is>
          <t>KROKOM</t>
        </is>
      </c>
      <c r="F6688" t="inlineStr">
        <is>
          <t>Övriga Aktiebolag</t>
        </is>
      </c>
      <c r="G6688" t="n">
        <v>7.6</v>
      </c>
      <c r="H6688" t="n">
        <v>0</v>
      </c>
      <c r="I6688" t="n">
        <v>0</v>
      </c>
      <c r="J6688" t="n">
        <v>0</v>
      </c>
      <c r="K6688" t="n">
        <v>0</v>
      </c>
      <c r="L6688" t="n">
        <v>0</v>
      </c>
      <c r="M6688" t="n">
        <v>0</v>
      </c>
      <c r="N6688" t="n">
        <v>0</v>
      </c>
      <c r="O6688" t="n">
        <v>0</v>
      </c>
      <c r="P6688" t="n">
        <v>0</v>
      </c>
      <c r="Q6688" t="n">
        <v>0</v>
      </c>
      <c r="R6688" s="2" t="inlineStr"/>
    </row>
    <row r="6689" ht="15" customHeight="1">
      <c r="A6689" t="inlineStr">
        <is>
          <t>A 36524-2023</t>
        </is>
      </c>
      <c r="B6689" s="1" t="n">
        <v>45152</v>
      </c>
      <c r="C6689" s="1" t="n">
        <v>45182</v>
      </c>
      <c r="D6689" t="inlineStr">
        <is>
          <t>JÄMTLANDS LÄN</t>
        </is>
      </c>
      <c r="E6689" t="inlineStr">
        <is>
          <t>STRÖMSUND</t>
        </is>
      </c>
      <c r="G6689" t="n">
        <v>20.7</v>
      </c>
      <c r="H6689" t="n">
        <v>0</v>
      </c>
      <c r="I6689" t="n">
        <v>0</v>
      </c>
      <c r="J6689" t="n">
        <v>0</v>
      </c>
      <c r="K6689" t="n">
        <v>0</v>
      </c>
      <c r="L6689" t="n">
        <v>0</v>
      </c>
      <c r="M6689" t="n">
        <v>0</v>
      </c>
      <c r="N6689" t="n">
        <v>0</v>
      </c>
      <c r="O6689" t="n">
        <v>0</v>
      </c>
      <c r="P6689" t="n">
        <v>0</v>
      </c>
      <c r="Q6689" t="n">
        <v>0</v>
      </c>
      <c r="R6689" s="2" t="inlineStr"/>
    </row>
    <row r="6690" ht="15" customHeight="1">
      <c r="A6690" t="inlineStr">
        <is>
          <t>A 36507-2023</t>
        </is>
      </c>
      <c r="B6690" s="1" t="n">
        <v>45152</v>
      </c>
      <c r="C6690" s="1" t="n">
        <v>45182</v>
      </c>
      <c r="D6690" t="inlineStr">
        <is>
          <t>JÄMTLANDS LÄN</t>
        </is>
      </c>
      <c r="E6690" t="inlineStr">
        <is>
          <t>STRÖMSUND</t>
        </is>
      </c>
      <c r="F6690" t="inlineStr">
        <is>
          <t>SCA</t>
        </is>
      </c>
      <c r="G6690" t="n">
        <v>8.4</v>
      </c>
      <c r="H6690" t="n">
        <v>0</v>
      </c>
      <c r="I6690" t="n">
        <v>0</v>
      </c>
      <c r="J6690" t="n">
        <v>0</v>
      </c>
      <c r="K6690" t="n">
        <v>0</v>
      </c>
      <c r="L6690" t="n">
        <v>0</v>
      </c>
      <c r="M6690" t="n">
        <v>0</v>
      </c>
      <c r="N6690" t="n">
        <v>0</v>
      </c>
      <c r="O6690" t="n">
        <v>0</v>
      </c>
      <c r="P6690" t="n">
        <v>0</v>
      </c>
      <c r="Q6690" t="n">
        <v>0</v>
      </c>
      <c r="R6690" s="2" t="inlineStr"/>
    </row>
    <row r="6691" ht="15" customHeight="1">
      <c r="A6691" t="inlineStr">
        <is>
          <t>A 36753-2023</t>
        </is>
      </c>
      <c r="B6691" s="1" t="n">
        <v>45153</v>
      </c>
      <c r="C6691" s="1" t="n">
        <v>45182</v>
      </c>
      <c r="D6691" t="inlineStr">
        <is>
          <t>JÄMTLANDS LÄN</t>
        </is>
      </c>
      <c r="E6691" t="inlineStr">
        <is>
          <t>BRÄCKE</t>
        </is>
      </c>
      <c r="F6691" t="inlineStr">
        <is>
          <t>SCA</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36755-2023</t>
        </is>
      </c>
      <c r="B6692" s="1" t="n">
        <v>45153</v>
      </c>
      <c r="C6692" s="1" t="n">
        <v>45182</v>
      </c>
      <c r="D6692" t="inlineStr">
        <is>
          <t>JÄMTLANDS LÄN</t>
        </is>
      </c>
      <c r="E6692" t="inlineStr">
        <is>
          <t>RAGUNDA</t>
        </is>
      </c>
      <c r="G6692" t="n">
        <v>9.199999999999999</v>
      </c>
      <c r="H6692" t="n">
        <v>0</v>
      </c>
      <c r="I6692" t="n">
        <v>0</v>
      </c>
      <c r="J6692" t="n">
        <v>0</v>
      </c>
      <c r="K6692" t="n">
        <v>0</v>
      </c>
      <c r="L6692" t="n">
        <v>0</v>
      </c>
      <c r="M6692" t="n">
        <v>0</v>
      </c>
      <c r="N6692" t="n">
        <v>0</v>
      </c>
      <c r="O6692" t="n">
        <v>0</v>
      </c>
      <c r="P6692" t="n">
        <v>0</v>
      </c>
      <c r="Q6692" t="n">
        <v>0</v>
      </c>
      <c r="R6692" s="2" t="inlineStr"/>
    </row>
    <row r="6693" ht="15" customHeight="1">
      <c r="A6693" t="inlineStr">
        <is>
          <t>A 36639-2023</t>
        </is>
      </c>
      <c r="B6693" s="1" t="n">
        <v>45153</v>
      </c>
      <c r="C6693" s="1" t="n">
        <v>45182</v>
      </c>
      <c r="D6693" t="inlineStr">
        <is>
          <t>JÄMTLANDS LÄN</t>
        </is>
      </c>
      <c r="E6693" t="inlineStr">
        <is>
          <t>KROKOM</t>
        </is>
      </c>
      <c r="F6693" t="inlineStr">
        <is>
          <t>Övriga Aktiebolag</t>
        </is>
      </c>
      <c r="G6693" t="n">
        <v>5.5</v>
      </c>
      <c r="H6693" t="n">
        <v>0</v>
      </c>
      <c r="I6693" t="n">
        <v>0</v>
      </c>
      <c r="J6693" t="n">
        <v>0</v>
      </c>
      <c r="K6693" t="n">
        <v>0</v>
      </c>
      <c r="L6693" t="n">
        <v>0</v>
      </c>
      <c r="M6693" t="n">
        <v>0</v>
      </c>
      <c r="N6693" t="n">
        <v>0</v>
      </c>
      <c r="O6693" t="n">
        <v>0</v>
      </c>
      <c r="P6693" t="n">
        <v>0</v>
      </c>
      <c r="Q6693" t="n">
        <v>0</v>
      </c>
      <c r="R6693" s="2" t="inlineStr"/>
    </row>
    <row r="6694" ht="15" customHeight="1">
      <c r="A6694" t="inlineStr">
        <is>
          <t>A 36859-2023</t>
        </is>
      </c>
      <c r="B6694" s="1" t="n">
        <v>45153</v>
      </c>
      <c r="C6694" s="1" t="n">
        <v>45182</v>
      </c>
      <c r="D6694" t="inlineStr">
        <is>
          <t>JÄMTLANDS LÄN</t>
        </is>
      </c>
      <c r="E6694" t="inlineStr">
        <is>
          <t>RAGUNDA</t>
        </is>
      </c>
      <c r="G6694" t="n">
        <v>1.3</v>
      </c>
      <c r="H6694" t="n">
        <v>0</v>
      </c>
      <c r="I6694" t="n">
        <v>0</v>
      </c>
      <c r="J6694" t="n">
        <v>0</v>
      </c>
      <c r="K6694" t="n">
        <v>0</v>
      </c>
      <c r="L6694" t="n">
        <v>0</v>
      </c>
      <c r="M6694" t="n">
        <v>0</v>
      </c>
      <c r="N6694" t="n">
        <v>0</v>
      </c>
      <c r="O6694" t="n">
        <v>0</v>
      </c>
      <c r="P6694" t="n">
        <v>0</v>
      </c>
      <c r="Q6694" t="n">
        <v>0</v>
      </c>
      <c r="R6694" s="2" t="inlineStr"/>
    </row>
    <row r="6695" ht="15" customHeight="1">
      <c r="A6695" t="inlineStr">
        <is>
          <t>A 37067-2023</t>
        </is>
      </c>
      <c r="B6695" s="1" t="n">
        <v>45154</v>
      </c>
      <c r="C6695" s="1" t="n">
        <v>45182</v>
      </c>
      <c r="D6695" t="inlineStr">
        <is>
          <t>JÄMTLANDS LÄN</t>
        </is>
      </c>
      <c r="E6695" t="inlineStr">
        <is>
          <t>BERG</t>
        </is>
      </c>
      <c r="G6695" t="n">
        <v>7.4</v>
      </c>
      <c r="H6695" t="n">
        <v>0</v>
      </c>
      <c r="I6695" t="n">
        <v>0</v>
      </c>
      <c r="J6695" t="n">
        <v>0</v>
      </c>
      <c r="K6695" t="n">
        <v>0</v>
      </c>
      <c r="L6695" t="n">
        <v>0</v>
      </c>
      <c r="M6695" t="n">
        <v>0</v>
      </c>
      <c r="N6695" t="n">
        <v>0</v>
      </c>
      <c r="O6695" t="n">
        <v>0</v>
      </c>
      <c r="P6695" t="n">
        <v>0</v>
      </c>
      <c r="Q6695" t="n">
        <v>0</v>
      </c>
      <c r="R6695" s="2" t="inlineStr"/>
    </row>
    <row r="6696" ht="15" customHeight="1">
      <c r="A6696" t="inlineStr">
        <is>
          <t>A 37054-2023</t>
        </is>
      </c>
      <c r="B6696" s="1" t="n">
        <v>45154</v>
      </c>
      <c r="C6696" s="1" t="n">
        <v>45182</v>
      </c>
      <c r="D6696" t="inlineStr">
        <is>
          <t>JÄMTLANDS LÄN</t>
        </is>
      </c>
      <c r="E6696" t="inlineStr">
        <is>
          <t>HÄRJEDALEN</t>
        </is>
      </c>
      <c r="G6696" t="n">
        <v>8.9</v>
      </c>
      <c r="H6696" t="n">
        <v>0</v>
      </c>
      <c r="I6696" t="n">
        <v>0</v>
      </c>
      <c r="J6696" t="n">
        <v>0</v>
      </c>
      <c r="K6696" t="n">
        <v>0</v>
      </c>
      <c r="L6696" t="n">
        <v>0</v>
      </c>
      <c r="M6696" t="n">
        <v>0</v>
      </c>
      <c r="N6696" t="n">
        <v>0</v>
      </c>
      <c r="O6696" t="n">
        <v>0</v>
      </c>
      <c r="P6696" t="n">
        <v>0</v>
      </c>
      <c r="Q6696" t="n">
        <v>0</v>
      </c>
      <c r="R6696" s="2" t="inlineStr"/>
    </row>
    <row r="6697" ht="15" customHeight="1">
      <c r="A6697" t="inlineStr">
        <is>
          <t>A 36988-2023</t>
        </is>
      </c>
      <c r="B6697" s="1" t="n">
        <v>45154</v>
      </c>
      <c r="C6697" s="1" t="n">
        <v>45182</v>
      </c>
      <c r="D6697" t="inlineStr">
        <is>
          <t>JÄMTLANDS LÄN</t>
        </is>
      </c>
      <c r="E6697" t="inlineStr">
        <is>
          <t>BRÄCKE</t>
        </is>
      </c>
      <c r="F6697" t="inlineStr">
        <is>
          <t>SCA</t>
        </is>
      </c>
      <c r="G6697" t="n">
        <v>6.9</v>
      </c>
      <c r="H6697" t="n">
        <v>0</v>
      </c>
      <c r="I6697" t="n">
        <v>0</v>
      </c>
      <c r="J6697" t="n">
        <v>0</v>
      </c>
      <c r="K6697" t="n">
        <v>0</v>
      </c>
      <c r="L6697" t="n">
        <v>0</v>
      </c>
      <c r="M6697" t="n">
        <v>0</v>
      </c>
      <c r="N6697" t="n">
        <v>0</v>
      </c>
      <c r="O6697" t="n">
        <v>0</v>
      </c>
      <c r="P6697" t="n">
        <v>0</v>
      </c>
      <c r="Q6697" t="n">
        <v>0</v>
      </c>
      <c r="R6697" s="2" t="inlineStr"/>
    </row>
    <row r="6698" ht="15" customHeight="1">
      <c r="A6698" t="inlineStr">
        <is>
          <t>A 36773-2023</t>
        </is>
      </c>
      <c r="B6698" s="1" t="n">
        <v>45154</v>
      </c>
      <c r="C6698" s="1" t="n">
        <v>45182</v>
      </c>
      <c r="D6698" t="inlineStr">
        <is>
          <t>JÄMTLANDS LÄN</t>
        </is>
      </c>
      <c r="E6698" t="inlineStr">
        <is>
          <t>STRÖMSUND</t>
        </is>
      </c>
      <c r="F6698" t="inlineStr">
        <is>
          <t>Holmen skog AB</t>
        </is>
      </c>
      <c r="G6698" t="n">
        <v>5.3</v>
      </c>
      <c r="H6698" t="n">
        <v>0</v>
      </c>
      <c r="I6698" t="n">
        <v>0</v>
      </c>
      <c r="J6698" t="n">
        <v>0</v>
      </c>
      <c r="K6698" t="n">
        <v>0</v>
      </c>
      <c r="L6698" t="n">
        <v>0</v>
      </c>
      <c r="M6698" t="n">
        <v>0</v>
      </c>
      <c r="N6698" t="n">
        <v>0</v>
      </c>
      <c r="O6698" t="n">
        <v>0</v>
      </c>
      <c r="P6698" t="n">
        <v>0</v>
      </c>
      <c r="Q6698" t="n">
        <v>0</v>
      </c>
      <c r="R6698" s="2" t="inlineStr"/>
    </row>
    <row r="6699" ht="15" customHeight="1">
      <c r="A6699" t="inlineStr">
        <is>
          <t>A 37140-2023</t>
        </is>
      </c>
      <c r="B6699" s="1" t="n">
        <v>45154</v>
      </c>
      <c r="C6699" s="1" t="n">
        <v>45182</v>
      </c>
      <c r="D6699" t="inlineStr">
        <is>
          <t>JÄMTLANDS LÄN</t>
        </is>
      </c>
      <c r="E6699" t="inlineStr">
        <is>
          <t>ÖSTERSUND</t>
        </is>
      </c>
      <c r="F6699" t="inlineStr">
        <is>
          <t>Övriga Aktiebolag</t>
        </is>
      </c>
      <c r="G6699" t="n">
        <v>13</v>
      </c>
      <c r="H6699" t="n">
        <v>0</v>
      </c>
      <c r="I6699" t="n">
        <v>0</v>
      </c>
      <c r="J6699" t="n">
        <v>0</v>
      </c>
      <c r="K6699" t="n">
        <v>0</v>
      </c>
      <c r="L6699" t="n">
        <v>0</v>
      </c>
      <c r="M6699" t="n">
        <v>0</v>
      </c>
      <c r="N6699" t="n">
        <v>0</v>
      </c>
      <c r="O6699" t="n">
        <v>0</v>
      </c>
      <c r="P6699" t="n">
        <v>0</v>
      </c>
      <c r="Q6699" t="n">
        <v>0</v>
      </c>
      <c r="R6699" s="2" t="inlineStr"/>
    </row>
    <row r="6700" ht="15" customHeight="1">
      <c r="A6700" t="inlineStr">
        <is>
          <t>A 37261-2023</t>
        </is>
      </c>
      <c r="B6700" s="1" t="n">
        <v>45155</v>
      </c>
      <c r="C6700" s="1" t="n">
        <v>45182</v>
      </c>
      <c r="D6700" t="inlineStr">
        <is>
          <t>JÄMTLANDS LÄN</t>
        </is>
      </c>
      <c r="E6700" t="inlineStr">
        <is>
          <t>STRÖMSUND</t>
        </is>
      </c>
      <c r="F6700" t="inlineStr">
        <is>
          <t>SCA</t>
        </is>
      </c>
      <c r="G6700" t="n">
        <v>4.2</v>
      </c>
      <c r="H6700" t="n">
        <v>0</v>
      </c>
      <c r="I6700" t="n">
        <v>0</v>
      </c>
      <c r="J6700" t="n">
        <v>0</v>
      </c>
      <c r="K6700" t="n">
        <v>0</v>
      </c>
      <c r="L6700" t="n">
        <v>0</v>
      </c>
      <c r="M6700" t="n">
        <v>0</v>
      </c>
      <c r="N6700" t="n">
        <v>0</v>
      </c>
      <c r="O6700" t="n">
        <v>0</v>
      </c>
      <c r="P6700" t="n">
        <v>0</v>
      </c>
      <c r="Q6700" t="n">
        <v>0</v>
      </c>
      <c r="R6700" s="2" t="inlineStr"/>
    </row>
    <row r="6701" ht="15" customHeight="1">
      <c r="A6701" t="inlineStr">
        <is>
          <t>A 37260-2023</t>
        </is>
      </c>
      <c r="B6701" s="1" t="n">
        <v>45155</v>
      </c>
      <c r="C6701" s="1" t="n">
        <v>45182</v>
      </c>
      <c r="D6701" t="inlineStr">
        <is>
          <t>JÄMTLANDS LÄN</t>
        </is>
      </c>
      <c r="E6701" t="inlineStr">
        <is>
          <t>STRÖMSUND</t>
        </is>
      </c>
      <c r="F6701" t="inlineStr">
        <is>
          <t>SCA</t>
        </is>
      </c>
      <c r="G6701" t="n">
        <v>2</v>
      </c>
      <c r="H6701" t="n">
        <v>0</v>
      </c>
      <c r="I6701" t="n">
        <v>0</v>
      </c>
      <c r="J6701" t="n">
        <v>0</v>
      </c>
      <c r="K6701" t="n">
        <v>0</v>
      </c>
      <c r="L6701" t="n">
        <v>0</v>
      </c>
      <c r="M6701" t="n">
        <v>0</v>
      </c>
      <c r="N6701" t="n">
        <v>0</v>
      </c>
      <c r="O6701" t="n">
        <v>0</v>
      </c>
      <c r="P6701" t="n">
        <v>0</v>
      </c>
      <c r="Q6701" t="n">
        <v>0</v>
      </c>
      <c r="R6701" s="2" t="inlineStr"/>
    </row>
    <row r="6702" ht="15" customHeight="1">
      <c r="A6702" t="inlineStr">
        <is>
          <t>A 37645-2023</t>
        </is>
      </c>
      <c r="B6702" s="1" t="n">
        <v>45159</v>
      </c>
      <c r="C6702" s="1" t="n">
        <v>45182</v>
      </c>
      <c r="D6702" t="inlineStr">
        <is>
          <t>JÄMTLANDS LÄN</t>
        </is>
      </c>
      <c r="E6702" t="inlineStr">
        <is>
          <t>ÖSTERSUND</t>
        </is>
      </c>
      <c r="F6702" t="inlineStr">
        <is>
          <t>Övriga Aktiebolag</t>
        </is>
      </c>
      <c r="G6702" t="n">
        <v>3.5</v>
      </c>
      <c r="H6702" t="n">
        <v>0</v>
      </c>
      <c r="I6702" t="n">
        <v>0</v>
      </c>
      <c r="J6702" t="n">
        <v>0</v>
      </c>
      <c r="K6702" t="n">
        <v>0</v>
      </c>
      <c r="L6702" t="n">
        <v>0</v>
      </c>
      <c r="M6702" t="n">
        <v>0</v>
      </c>
      <c r="N6702" t="n">
        <v>0</v>
      </c>
      <c r="O6702" t="n">
        <v>0</v>
      </c>
      <c r="P6702" t="n">
        <v>0</v>
      </c>
      <c r="Q6702" t="n">
        <v>0</v>
      </c>
      <c r="R6702" s="2" t="inlineStr"/>
    </row>
    <row r="6703" ht="15" customHeight="1">
      <c r="A6703" t="inlineStr">
        <is>
          <t>A 37729-2023</t>
        </is>
      </c>
      <c r="B6703" s="1" t="n">
        <v>45159</v>
      </c>
      <c r="C6703" s="1" t="n">
        <v>45182</v>
      </c>
      <c r="D6703" t="inlineStr">
        <is>
          <t>JÄMTLANDS LÄN</t>
        </is>
      </c>
      <c r="E6703" t="inlineStr">
        <is>
          <t>ÅRE</t>
        </is>
      </c>
      <c r="G6703" t="n">
        <v>2.4</v>
      </c>
      <c r="H6703" t="n">
        <v>0</v>
      </c>
      <c r="I6703" t="n">
        <v>0</v>
      </c>
      <c r="J6703" t="n">
        <v>0</v>
      </c>
      <c r="K6703" t="n">
        <v>0</v>
      </c>
      <c r="L6703" t="n">
        <v>0</v>
      </c>
      <c r="M6703" t="n">
        <v>0</v>
      </c>
      <c r="N6703" t="n">
        <v>0</v>
      </c>
      <c r="O6703" t="n">
        <v>0</v>
      </c>
      <c r="P6703" t="n">
        <v>0</v>
      </c>
      <c r="Q6703" t="n">
        <v>0</v>
      </c>
      <c r="R6703" s="2" t="inlineStr"/>
    </row>
    <row r="6704" ht="15" customHeight="1">
      <c r="A6704" t="inlineStr">
        <is>
          <t>A 37946-2023</t>
        </is>
      </c>
      <c r="B6704" s="1" t="n">
        <v>45159</v>
      </c>
      <c r="C6704" s="1" t="n">
        <v>45182</v>
      </c>
      <c r="D6704" t="inlineStr">
        <is>
          <t>JÄMTLANDS LÄN</t>
        </is>
      </c>
      <c r="E6704" t="inlineStr">
        <is>
          <t>KROKOM</t>
        </is>
      </c>
      <c r="G6704" t="n">
        <v>1.8</v>
      </c>
      <c r="H6704" t="n">
        <v>0</v>
      </c>
      <c r="I6704" t="n">
        <v>0</v>
      </c>
      <c r="J6704" t="n">
        <v>0</v>
      </c>
      <c r="K6704" t="n">
        <v>0</v>
      </c>
      <c r="L6704" t="n">
        <v>0</v>
      </c>
      <c r="M6704" t="n">
        <v>0</v>
      </c>
      <c r="N6704" t="n">
        <v>0</v>
      </c>
      <c r="O6704" t="n">
        <v>0</v>
      </c>
      <c r="P6704" t="n">
        <v>0</v>
      </c>
      <c r="Q6704" t="n">
        <v>0</v>
      </c>
      <c r="R6704" s="2" t="inlineStr"/>
    </row>
    <row r="6705" ht="15" customHeight="1">
      <c r="A6705" t="inlineStr">
        <is>
          <t>A 37747-2023</t>
        </is>
      </c>
      <c r="B6705" s="1" t="n">
        <v>45159</v>
      </c>
      <c r="C6705" s="1" t="n">
        <v>45182</v>
      </c>
      <c r="D6705" t="inlineStr">
        <is>
          <t>JÄMTLANDS LÄN</t>
        </is>
      </c>
      <c r="E6705" t="inlineStr">
        <is>
          <t>HÄRJEDALEN</t>
        </is>
      </c>
      <c r="F6705" t="inlineStr">
        <is>
          <t>Bergvik skog väst AB</t>
        </is>
      </c>
      <c r="G6705" t="n">
        <v>5.1</v>
      </c>
      <c r="H6705" t="n">
        <v>0</v>
      </c>
      <c r="I6705" t="n">
        <v>0</v>
      </c>
      <c r="J6705" t="n">
        <v>0</v>
      </c>
      <c r="K6705" t="n">
        <v>0</v>
      </c>
      <c r="L6705" t="n">
        <v>0</v>
      </c>
      <c r="M6705" t="n">
        <v>0</v>
      </c>
      <c r="N6705" t="n">
        <v>0</v>
      </c>
      <c r="O6705" t="n">
        <v>0</v>
      </c>
      <c r="P6705" t="n">
        <v>0</v>
      </c>
      <c r="Q6705" t="n">
        <v>0</v>
      </c>
      <c r="R6705" s="2" t="inlineStr"/>
    </row>
    <row r="6706" ht="15" customHeight="1">
      <c r="A6706" t="inlineStr">
        <is>
          <t>A 37758-2023</t>
        </is>
      </c>
      <c r="B6706" s="1" t="n">
        <v>45159</v>
      </c>
      <c r="C6706" s="1" t="n">
        <v>45182</v>
      </c>
      <c r="D6706" t="inlineStr">
        <is>
          <t>JÄMTLANDS LÄN</t>
        </is>
      </c>
      <c r="E6706" t="inlineStr">
        <is>
          <t>ÅRE</t>
        </is>
      </c>
      <c r="G6706" t="n">
        <v>20.1</v>
      </c>
      <c r="H6706" t="n">
        <v>0</v>
      </c>
      <c r="I6706" t="n">
        <v>0</v>
      </c>
      <c r="J6706" t="n">
        <v>0</v>
      </c>
      <c r="K6706" t="n">
        <v>0</v>
      </c>
      <c r="L6706" t="n">
        <v>0</v>
      </c>
      <c r="M6706" t="n">
        <v>0</v>
      </c>
      <c r="N6706" t="n">
        <v>0</v>
      </c>
      <c r="O6706" t="n">
        <v>0</v>
      </c>
      <c r="P6706" t="n">
        <v>0</v>
      </c>
      <c r="Q6706" t="n">
        <v>0</v>
      </c>
      <c r="R6706" s="2" t="inlineStr"/>
    </row>
    <row r="6707" ht="15" customHeight="1">
      <c r="A6707" t="inlineStr">
        <is>
          <t>A 37762-2023</t>
        </is>
      </c>
      <c r="B6707" s="1" t="n">
        <v>45159</v>
      </c>
      <c r="C6707" s="1" t="n">
        <v>45182</v>
      </c>
      <c r="D6707" t="inlineStr">
        <is>
          <t>JÄMTLANDS LÄN</t>
        </is>
      </c>
      <c r="E6707" t="inlineStr">
        <is>
          <t>HÄRJEDALEN</t>
        </is>
      </c>
      <c r="F6707" t="inlineStr">
        <is>
          <t>Bergvik skog väst AB</t>
        </is>
      </c>
      <c r="G6707" t="n">
        <v>0.9</v>
      </c>
      <c r="H6707" t="n">
        <v>0</v>
      </c>
      <c r="I6707" t="n">
        <v>0</v>
      </c>
      <c r="J6707" t="n">
        <v>0</v>
      </c>
      <c r="K6707" t="n">
        <v>0</v>
      </c>
      <c r="L6707" t="n">
        <v>0</v>
      </c>
      <c r="M6707" t="n">
        <v>0</v>
      </c>
      <c r="N6707" t="n">
        <v>0</v>
      </c>
      <c r="O6707" t="n">
        <v>0</v>
      </c>
      <c r="P6707" t="n">
        <v>0</v>
      </c>
      <c r="Q6707" t="n">
        <v>0</v>
      </c>
      <c r="R6707" s="2" t="inlineStr"/>
    </row>
    <row r="6708" ht="15" customHeight="1">
      <c r="A6708" t="inlineStr">
        <is>
          <t>A 37739-2023</t>
        </is>
      </c>
      <c r="B6708" s="1" t="n">
        <v>45159</v>
      </c>
      <c r="C6708" s="1" t="n">
        <v>45182</v>
      </c>
      <c r="D6708" t="inlineStr">
        <is>
          <t>JÄMTLANDS LÄN</t>
        </is>
      </c>
      <c r="E6708" t="inlineStr">
        <is>
          <t>ÅRE</t>
        </is>
      </c>
      <c r="G6708" t="n">
        <v>1.1</v>
      </c>
      <c r="H6708" t="n">
        <v>0</v>
      </c>
      <c r="I6708" t="n">
        <v>0</v>
      </c>
      <c r="J6708" t="n">
        <v>0</v>
      </c>
      <c r="K6708" t="n">
        <v>0</v>
      </c>
      <c r="L6708" t="n">
        <v>0</v>
      </c>
      <c r="M6708" t="n">
        <v>0</v>
      </c>
      <c r="N6708" t="n">
        <v>0</v>
      </c>
      <c r="O6708" t="n">
        <v>0</v>
      </c>
      <c r="P6708" t="n">
        <v>0</v>
      </c>
      <c r="Q6708" t="n">
        <v>0</v>
      </c>
      <c r="R6708" s="2" t="inlineStr"/>
    </row>
    <row r="6709" ht="15" customHeight="1">
      <c r="A6709" t="inlineStr">
        <is>
          <t>A 37764-2023</t>
        </is>
      </c>
      <c r="B6709" s="1" t="n">
        <v>45159</v>
      </c>
      <c r="C6709" s="1" t="n">
        <v>45182</v>
      </c>
      <c r="D6709" t="inlineStr">
        <is>
          <t>JÄMTLANDS LÄN</t>
        </is>
      </c>
      <c r="E6709" t="inlineStr">
        <is>
          <t>HÄRJEDALEN</t>
        </is>
      </c>
      <c r="F6709" t="inlineStr">
        <is>
          <t>Bergvik skog väst AB</t>
        </is>
      </c>
      <c r="G6709" t="n">
        <v>6.6</v>
      </c>
      <c r="H6709" t="n">
        <v>0</v>
      </c>
      <c r="I6709" t="n">
        <v>0</v>
      </c>
      <c r="J6709" t="n">
        <v>0</v>
      </c>
      <c r="K6709" t="n">
        <v>0</v>
      </c>
      <c r="L6709" t="n">
        <v>0</v>
      </c>
      <c r="M6709" t="n">
        <v>0</v>
      </c>
      <c r="N6709" t="n">
        <v>0</v>
      </c>
      <c r="O6709" t="n">
        <v>0</v>
      </c>
      <c r="P6709" t="n">
        <v>0</v>
      </c>
      <c r="Q6709" t="n">
        <v>0</v>
      </c>
      <c r="R6709" s="2" t="inlineStr"/>
    </row>
    <row r="6710" ht="15" customHeight="1">
      <c r="A6710" t="inlineStr">
        <is>
          <t>A 38418-2023</t>
        </is>
      </c>
      <c r="B6710" s="1" t="n">
        <v>45160</v>
      </c>
      <c r="C6710" s="1" t="n">
        <v>45182</v>
      </c>
      <c r="D6710" t="inlineStr">
        <is>
          <t>JÄMTLANDS LÄN</t>
        </is>
      </c>
      <c r="E6710" t="inlineStr">
        <is>
          <t>STRÖMSUND</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38335-2023</t>
        </is>
      </c>
      <c r="B6711" s="1" t="n">
        <v>45161</v>
      </c>
      <c r="C6711" s="1" t="n">
        <v>45182</v>
      </c>
      <c r="D6711" t="inlineStr">
        <is>
          <t>JÄMTLANDS LÄN</t>
        </is>
      </c>
      <c r="E6711" t="inlineStr">
        <is>
          <t>ÖSTERSUND</t>
        </is>
      </c>
      <c r="G6711" t="n">
        <v>15.1</v>
      </c>
      <c r="H6711" t="n">
        <v>0</v>
      </c>
      <c r="I6711" t="n">
        <v>0</v>
      </c>
      <c r="J6711" t="n">
        <v>0</v>
      </c>
      <c r="K6711" t="n">
        <v>0</v>
      </c>
      <c r="L6711" t="n">
        <v>0</v>
      </c>
      <c r="M6711" t="n">
        <v>0</v>
      </c>
      <c r="N6711" t="n">
        <v>0</v>
      </c>
      <c r="O6711" t="n">
        <v>0</v>
      </c>
      <c r="P6711" t="n">
        <v>0</v>
      </c>
      <c r="Q6711" t="n">
        <v>0</v>
      </c>
      <c r="R6711" s="2" t="inlineStr"/>
    </row>
    <row r="6712" ht="15" customHeight="1">
      <c r="A6712" t="inlineStr">
        <is>
          <t>A 39004-2023</t>
        </is>
      </c>
      <c r="B6712" s="1" t="n">
        <v>45162</v>
      </c>
      <c r="C6712" s="1" t="n">
        <v>45182</v>
      </c>
      <c r="D6712" t="inlineStr">
        <is>
          <t>JÄMTLANDS LÄN</t>
        </is>
      </c>
      <c r="E6712" t="inlineStr">
        <is>
          <t>BRÄCKE</t>
        </is>
      </c>
      <c r="G6712" t="n">
        <v>4.4</v>
      </c>
      <c r="H6712" t="n">
        <v>0</v>
      </c>
      <c r="I6712" t="n">
        <v>0</v>
      </c>
      <c r="J6712" t="n">
        <v>0</v>
      </c>
      <c r="K6712" t="n">
        <v>0</v>
      </c>
      <c r="L6712" t="n">
        <v>0</v>
      </c>
      <c r="M6712" t="n">
        <v>0</v>
      </c>
      <c r="N6712" t="n">
        <v>0</v>
      </c>
      <c r="O6712" t="n">
        <v>0</v>
      </c>
      <c r="P6712" t="n">
        <v>0</v>
      </c>
      <c r="Q6712" t="n">
        <v>0</v>
      </c>
      <c r="R6712" s="2" t="inlineStr"/>
    </row>
    <row r="6713" ht="15" customHeight="1">
      <c r="A6713" t="inlineStr">
        <is>
          <t>A 38589-2023</t>
        </is>
      </c>
      <c r="B6713" s="1" t="n">
        <v>45162</v>
      </c>
      <c r="C6713" s="1" t="n">
        <v>45182</v>
      </c>
      <c r="D6713" t="inlineStr">
        <is>
          <t>JÄMTLANDS LÄN</t>
        </is>
      </c>
      <c r="E6713" t="inlineStr">
        <is>
          <t>KROKOM</t>
        </is>
      </c>
      <c r="F6713" t="inlineStr">
        <is>
          <t>Övriga Aktiebolag</t>
        </is>
      </c>
      <c r="G6713" t="n">
        <v>2.9</v>
      </c>
      <c r="H6713" t="n">
        <v>0</v>
      </c>
      <c r="I6713" t="n">
        <v>0</v>
      </c>
      <c r="J6713" t="n">
        <v>0</v>
      </c>
      <c r="K6713" t="n">
        <v>0</v>
      </c>
      <c r="L6713" t="n">
        <v>0</v>
      </c>
      <c r="M6713" t="n">
        <v>0</v>
      </c>
      <c r="N6713" t="n">
        <v>0</v>
      </c>
      <c r="O6713" t="n">
        <v>0</v>
      </c>
      <c r="P6713" t="n">
        <v>0</v>
      </c>
      <c r="Q6713" t="n">
        <v>0</v>
      </c>
      <c r="R6713" s="2" t="inlineStr"/>
    </row>
    <row r="6714" ht="15" customHeight="1">
      <c r="A6714" t="inlineStr">
        <is>
          <t>A 38642-2023</t>
        </is>
      </c>
      <c r="B6714" s="1" t="n">
        <v>45162</v>
      </c>
      <c r="C6714" s="1" t="n">
        <v>45182</v>
      </c>
      <c r="D6714" t="inlineStr">
        <is>
          <t>JÄMTLANDS LÄN</t>
        </is>
      </c>
      <c r="E6714" t="inlineStr">
        <is>
          <t>STRÖMSUND</t>
        </is>
      </c>
      <c r="F6714" t="inlineStr">
        <is>
          <t>Holmen skog AB</t>
        </is>
      </c>
      <c r="G6714" t="n">
        <v>12.6</v>
      </c>
      <c r="H6714" t="n">
        <v>0</v>
      </c>
      <c r="I6714" t="n">
        <v>0</v>
      </c>
      <c r="J6714" t="n">
        <v>0</v>
      </c>
      <c r="K6714" t="n">
        <v>0</v>
      </c>
      <c r="L6714" t="n">
        <v>0</v>
      </c>
      <c r="M6714" t="n">
        <v>0</v>
      </c>
      <c r="N6714" t="n">
        <v>0</v>
      </c>
      <c r="O6714" t="n">
        <v>0</v>
      </c>
      <c r="P6714" t="n">
        <v>0</v>
      </c>
      <c r="Q6714" t="n">
        <v>0</v>
      </c>
      <c r="R6714" s="2" t="inlineStr"/>
    </row>
    <row r="6715" ht="15" customHeight="1">
      <c r="A6715" t="inlineStr">
        <is>
          <t>A 38996-2023</t>
        </is>
      </c>
      <c r="B6715" s="1" t="n">
        <v>45162</v>
      </c>
      <c r="C6715" s="1" t="n">
        <v>45182</v>
      </c>
      <c r="D6715" t="inlineStr">
        <is>
          <t>JÄMTLANDS LÄN</t>
        </is>
      </c>
      <c r="E6715" t="inlineStr">
        <is>
          <t>BRÄCKE</t>
        </is>
      </c>
      <c r="G6715" t="n">
        <v>3.3</v>
      </c>
      <c r="H6715" t="n">
        <v>0</v>
      </c>
      <c r="I6715" t="n">
        <v>0</v>
      </c>
      <c r="J6715" t="n">
        <v>0</v>
      </c>
      <c r="K6715" t="n">
        <v>0</v>
      </c>
      <c r="L6715" t="n">
        <v>0</v>
      </c>
      <c r="M6715" t="n">
        <v>0</v>
      </c>
      <c r="N6715" t="n">
        <v>0</v>
      </c>
      <c r="O6715" t="n">
        <v>0</v>
      </c>
      <c r="P6715" t="n">
        <v>0</v>
      </c>
      <c r="Q6715" t="n">
        <v>0</v>
      </c>
      <c r="R6715" s="2" t="inlineStr"/>
    </row>
    <row r="6716" ht="15" customHeight="1">
      <c r="A6716" t="inlineStr">
        <is>
          <t>A 39007-2023</t>
        </is>
      </c>
      <c r="B6716" s="1" t="n">
        <v>45162</v>
      </c>
      <c r="C6716" s="1" t="n">
        <v>45182</v>
      </c>
      <c r="D6716" t="inlineStr">
        <is>
          <t>JÄMTLANDS LÄN</t>
        </is>
      </c>
      <c r="E6716" t="inlineStr">
        <is>
          <t>BRÄCKE</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38713-2023</t>
        </is>
      </c>
      <c r="B6717" s="1" t="n">
        <v>45163</v>
      </c>
      <c r="C6717" s="1" t="n">
        <v>45182</v>
      </c>
      <c r="D6717" t="inlineStr">
        <is>
          <t>JÄMTLANDS LÄN</t>
        </is>
      </c>
      <c r="E6717" t="inlineStr">
        <is>
          <t>ÖSTERSUND</t>
        </is>
      </c>
      <c r="G6717" t="n">
        <v>6</v>
      </c>
      <c r="H6717" t="n">
        <v>0</v>
      </c>
      <c r="I6717" t="n">
        <v>0</v>
      </c>
      <c r="J6717" t="n">
        <v>0</v>
      </c>
      <c r="K6717" t="n">
        <v>0</v>
      </c>
      <c r="L6717" t="n">
        <v>0</v>
      </c>
      <c r="M6717" t="n">
        <v>0</v>
      </c>
      <c r="N6717" t="n">
        <v>0</v>
      </c>
      <c r="O6717" t="n">
        <v>0</v>
      </c>
      <c r="P6717" t="n">
        <v>0</v>
      </c>
      <c r="Q6717" t="n">
        <v>0</v>
      </c>
      <c r="R6717" s="2" t="inlineStr"/>
    </row>
    <row r="6718" ht="15" customHeight="1">
      <c r="A6718" t="inlineStr">
        <is>
          <t>A 39051-2023</t>
        </is>
      </c>
      <c r="B6718" s="1" t="n">
        <v>45163</v>
      </c>
      <c r="C6718" s="1" t="n">
        <v>45182</v>
      </c>
      <c r="D6718" t="inlineStr">
        <is>
          <t>JÄMTLANDS LÄN</t>
        </is>
      </c>
      <c r="E6718" t="inlineStr">
        <is>
          <t>STRÖMSUND</t>
        </is>
      </c>
      <c r="F6718" t="inlineStr">
        <is>
          <t>SCA</t>
        </is>
      </c>
      <c r="G6718" t="n">
        <v>2.6</v>
      </c>
      <c r="H6718" t="n">
        <v>0</v>
      </c>
      <c r="I6718" t="n">
        <v>0</v>
      </c>
      <c r="J6718" t="n">
        <v>0</v>
      </c>
      <c r="K6718" t="n">
        <v>0</v>
      </c>
      <c r="L6718" t="n">
        <v>0</v>
      </c>
      <c r="M6718" t="n">
        <v>0</v>
      </c>
      <c r="N6718" t="n">
        <v>0</v>
      </c>
      <c r="O6718" t="n">
        <v>0</v>
      </c>
      <c r="P6718" t="n">
        <v>0</v>
      </c>
      <c r="Q6718" t="n">
        <v>0</v>
      </c>
      <c r="R6718" s="2" t="inlineStr"/>
    </row>
    <row r="6719" ht="15" customHeight="1">
      <c r="A6719" t="inlineStr">
        <is>
          <t>A 39064-2023</t>
        </is>
      </c>
      <c r="B6719" s="1" t="n">
        <v>45163</v>
      </c>
      <c r="C6719" s="1" t="n">
        <v>45182</v>
      </c>
      <c r="D6719" t="inlineStr">
        <is>
          <t>JÄMTLANDS LÄN</t>
        </is>
      </c>
      <c r="E6719" t="inlineStr">
        <is>
          <t>STRÖMSUND</t>
        </is>
      </c>
      <c r="G6719" t="n">
        <v>5.2</v>
      </c>
      <c r="H6719" t="n">
        <v>0</v>
      </c>
      <c r="I6719" t="n">
        <v>0</v>
      </c>
      <c r="J6719" t="n">
        <v>0</v>
      </c>
      <c r="K6719" t="n">
        <v>0</v>
      </c>
      <c r="L6719" t="n">
        <v>0</v>
      </c>
      <c r="M6719" t="n">
        <v>0</v>
      </c>
      <c r="N6719" t="n">
        <v>0</v>
      </c>
      <c r="O6719" t="n">
        <v>0</v>
      </c>
      <c r="P6719" t="n">
        <v>0</v>
      </c>
      <c r="Q6719" t="n">
        <v>0</v>
      </c>
      <c r="R6719" s="2" t="inlineStr"/>
    </row>
    <row r="6720" ht="15" customHeight="1">
      <c r="A6720" t="inlineStr">
        <is>
          <t>A 39439-2023</t>
        </is>
      </c>
      <c r="B6720" s="1" t="n">
        <v>45163</v>
      </c>
      <c r="C6720" s="1" t="n">
        <v>45182</v>
      </c>
      <c r="D6720" t="inlineStr">
        <is>
          <t>JÄMTLANDS LÄN</t>
        </is>
      </c>
      <c r="E6720" t="inlineStr">
        <is>
          <t>BRÄCKE</t>
        </is>
      </c>
      <c r="G6720" t="n">
        <v>5.2</v>
      </c>
      <c r="H6720" t="n">
        <v>0</v>
      </c>
      <c r="I6720" t="n">
        <v>0</v>
      </c>
      <c r="J6720" t="n">
        <v>0</v>
      </c>
      <c r="K6720" t="n">
        <v>0</v>
      </c>
      <c r="L6720" t="n">
        <v>0</v>
      </c>
      <c r="M6720" t="n">
        <v>0</v>
      </c>
      <c r="N6720" t="n">
        <v>0</v>
      </c>
      <c r="O6720" t="n">
        <v>0</v>
      </c>
      <c r="P6720" t="n">
        <v>0</v>
      </c>
      <c r="Q6720" t="n">
        <v>0</v>
      </c>
      <c r="R6720" s="2" t="inlineStr"/>
    </row>
    <row r="6721" ht="15" customHeight="1">
      <c r="A6721" t="inlineStr">
        <is>
          <t>A 38740-2023</t>
        </is>
      </c>
      <c r="B6721" s="1" t="n">
        <v>45163</v>
      </c>
      <c r="C6721" s="1" t="n">
        <v>45182</v>
      </c>
      <c r="D6721" t="inlineStr">
        <is>
          <t>JÄMTLANDS LÄN</t>
        </is>
      </c>
      <c r="E6721" t="inlineStr">
        <is>
          <t>STRÖMSUND</t>
        </is>
      </c>
      <c r="F6721" t="inlineStr">
        <is>
          <t>Holmen skog AB</t>
        </is>
      </c>
      <c r="G6721" t="n">
        <v>5.5</v>
      </c>
      <c r="H6721" t="n">
        <v>0</v>
      </c>
      <c r="I6721" t="n">
        <v>0</v>
      </c>
      <c r="J6721" t="n">
        <v>0</v>
      </c>
      <c r="K6721" t="n">
        <v>0</v>
      </c>
      <c r="L6721" t="n">
        <v>0</v>
      </c>
      <c r="M6721" t="n">
        <v>0</v>
      </c>
      <c r="N6721" t="n">
        <v>0</v>
      </c>
      <c r="O6721" t="n">
        <v>0</v>
      </c>
      <c r="P6721" t="n">
        <v>0</v>
      </c>
      <c r="Q6721" t="n">
        <v>0</v>
      </c>
      <c r="R6721" s="2" t="inlineStr"/>
    </row>
    <row r="6722" ht="15" customHeight="1">
      <c r="A6722" t="inlineStr">
        <is>
          <t>A 39063-2023</t>
        </is>
      </c>
      <c r="B6722" s="1" t="n">
        <v>45163</v>
      </c>
      <c r="C6722" s="1" t="n">
        <v>45182</v>
      </c>
      <c r="D6722" t="inlineStr">
        <is>
          <t>JÄMTLANDS LÄN</t>
        </is>
      </c>
      <c r="E6722" t="inlineStr">
        <is>
          <t>KROKOM</t>
        </is>
      </c>
      <c r="G6722" t="n">
        <v>1.9</v>
      </c>
      <c r="H6722" t="n">
        <v>0</v>
      </c>
      <c r="I6722" t="n">
        <v>0</v>
      </c>
      <c r="J6722" t="n">
        <v>0</v>
      </c>
      <c r="K6722" t="n">
        <v>0</v>
      </c>
      <c r="L6722" t="n">
        <v>0</v>
      </c>
      <c r="M6722" t="n">
        <v>0</v>
      </c>
      <c r="N6722" t="n">
        <v>0</v>
      </c>
      <c r="O6722" t="n">
        <v>0</v>
      </c>
      <c r="P6722" t="n">
        <v>0</v>
      </c>
      <c r="Q6722" t="n">
        <v>0</v>
      </c>
      <c r="R6722" s="2" t="inlineStr"/>
    </row>
    <row r="6723" ht="15" customHeight="1">
      <c r="A6723" t="inlineStr">
        <is>
          <t>A 39490-2023</t>
        </is>
      </c>
      <c r="B6723" s="1" t="n">
        <v>45166</v>
      </c>
      <c r="C6723" s="1" t="n">
        <v>45182</v>
      </c>
      <c r="D6723" t="inlineStr">
        <is>
          <t>JÄMTLANDS LÄN</t>
        </is>
      </c>
      <c r="E6723" t="inlineStr">
        <is>
          <t>STRÖMSUND</t>
        </is>
      </c>
      <c r="F6723" t="inlineStr">
        <is>
          <t>SCA</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39478-2023</t>
        </is>
      </c>
      <c r="B6724" s="1" t="n">
        <v>45166</v>
      </c>
      <c r="C6724" s="1" t="n">
        <v>45182</v>
      </c>
      <c r="D6724" t="inlineStr">
        <is>
          <t>JÄMTLANDS LÄN</t>
        </is>
      </c>
      <c r="E6724" t="inlineStr">
        <is>
          <t>RAGUNDA</t>
        </is>
      </c>
      <c r="G6724" t="n">
        <v>6.1</v>
      </c>
      <c r="H6724" t="n">
        <v>0</v>
      </c>
      <c r="I6724" t="n">
        <v>0</v>
      </c>
      <c r="J6724" t="n">
        <v>0</v>
      </c>
      <c r="K6724" t="n">
        <v>0</v>
      </c>
      <c r="L6724" t="n">
        <v>0</v>
      </c>
      <c r="M6724" t="n">
        <v>0</v>
      </c>
      <c r="N6724" t="n">
        <v>0</v>
      </c>
      <c r="O6724" t="n">
        <v>0</v>
      </c>
      <c r="P6724" t="n">
        <v>0</v>
      </c>
      <c r="Q6724" t="n">
        <v>0</v>
      </c>
      <c r="R6724" s="2" t="inlineStr"/>
    </row>
    <row r="6725" ht="15" customHeight="1">
      <c r="A6725" t="inlineStr">
        <is>
          <t>A 39494-2023</t>
        </is>
      </c>
      <c r="B6725" s="1" t="n">
        <v>45166</v>
      </c>
      <c r="C6725" s="1" t="n">
        <v>45182</v>
      </c>
      <c r="D6725" t="inlineStr">
        <is>
          <t>JÄMTLANDS LÄN</t>
        </is>
      </c>
      <c r="E6725" t="inlineStr">
        <is>
          <t>ÖSTERSUND</t>
        </is>
      </c>
      <c r="F6725" t="inlineStr">
        <is>
          <t>SCA</t>
        </is>
      </c>
      <c r="G6725" t="n">
        <v>8.1</v>
      </c>
      <c r="H6725" t="n">
        <v>0</v>
      </c>
      <c r="I6725" t="n">
        <v>0</v>
      </c>
      <c r="J6725" t="n">
        <v>0</v>
      </c>
      <c r="K6725" t="n">
        <v>0</v>
      </c>
      <c r="L6725" t="n">
        <v>0</v>
      </c>
      <c r="M6725" t="n">
        <v>0</v>
      </c>
      <c r="N6725" t="n">
        <v>0</v>
      </c>
      <c r="O6725" t="n">
        <v>0</v>
      </c>
      <c r="P6725" t="n">
        <v>0</v>
      </c>
      <c r="Q6725" t="n">
        <v>0</v>
      </c>
      <c r="R6725" s="2" t="inlineStr"/>
    </row>
    <row r="6726" ht="15" customHeight="1">
      <c r="A6726" t="inlineStr">
        <is>
          <t>A 39169-2023</t>
        </is>
      </c>
      <c r="B6726" s="1" t="n">
        <v>45166</v>
      </c>
      <c r="C6726" s="1" t="n">
        <v>45182</v>
      </c>
      <c r="D6726" t="inlineStr">
        <is>
          <t>JÄMTLANDS LÄN</t>
        </is>
      </c>
      <c r="E6726" t="inlineStr">
        <is>
          <t>KROKOM</t>
        </is>
      </c>
      <c r="G6726" t="n">
        <v>0.7</v>
      </c>
      <c r="H6726" t="n">
        <v>0</v>
      </c>
      <c r="I6726" t="n">
        <v>0</v>
      </c>
      <c r="J6726" t="n">
        <v>0</v>
      </c>
      <c r="K6726" t="n">
        <v>0</v>
      </c>
      <c r="L6726" t="n">
        <v>0</v>
      </c>
      <c r="M6726" t="n">
        <v>0</v>
      </c>
      <c r="N6726" t="n">
        <v>0</v>
      </c>
      <c r="O6726" t="n">
        <v>0</v>
      </c>
      <c r="P6726" t="n">
        <v>0</v>
      </c>
      <c r="Q6726" t="n">
        <v>0</v>
      </c>
      <c r="R6726" s="2" t="inlineStr"/>
    </row>
    <row r="6727" ht="15" customHeight="1">
      <c r="A6727" t="inlineStr">
        <is>
          <t>A 39671-2023</t>
        </is>
      </c>
      <c r="B6727" s="1" t="n">
        <v>45167</v>
      </c>
      <c r="C6727" s="1" t="n">
        <v>45182</v>
      </c>
      <c r="D6727" t="inlineStr">
        <is>
          <t>JÄMTLANDS LÄN</t>
        </is>
      </c>
      <c r="E6727" t="inlineStr">
        <is>
          <t>STRÖMSUND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40109-2023</t>
        </is>
      </c>
      <c r="B6728" s="1" t="n">
        <v>45168</v>
      </c>
      <c r="C6728" s="1" t="n">
        <v>45182</v>
      </c>
      <c r="D6728" t="inlineStr">
        <is>
          <t>JÄMTLANDS LÄN</t>
        </is>
      </c>
      <c r="E6728" t="inlineStr">
        <is>
          <t>STRÖMSUND</t>
        </is>
      </c>
      <c r="F6728" t="inlineStr">
        <is>
          <t>SCA</t>
        </is>
      </c>
      <c r="G6728" t="n">
        <v>55.1</v>
      </c>
      <c r="H6728" t="n">
        <v>0</v>
      </c>
      <c r="I6728" t="n">
        <v>0</v>
      </c>
      <c r="J6728" t="n">
        <v>0</v>
      </c>
      <c r="K6728" t="n">
        <v>0</v>
      </c>
      <c r="L6728" t="n">
        <v>0</v>
      </c>
      <c r="M6728" t="n">
        <v>0</v>
      </c>
      <c r="N6728" t="n">
        <v>0</v>
      </c>
      <c r="O6728" t="n">
        <v>0</v>
      </c>
      <c r="P6728" t="n">
        <v>0</v>
      </c>
      <c r="Q6728" t="n">
        <v>0</v>
      </c>
      <c r="R6728" s="2" t="inlineStr"/>
    </row>
    <row r="6729" ht="15" customHeight="1">
      <c r="A6729" t="inlineStr">
        <is>
          <t>A 40364-2023</t>
        </is>
      </c>
      <c r="B6729" s="1" t="n">
        <v>45168</v>
      </c>
      <c r="C6729" s="1" t="n">
        <v>45182</v>
      </c>
      <c r="D6729" t="inlineStr">
        <is>
          <t>JÄMTLANDS LÄN</t>
        </is>
      </c>
      <c r="E6729" t="inlineStr">
        <is>
          <t>KROKOM</t>
        </is>
      </c>
      <c r="G6729" t="n">
        <v>9.199999999999999</v>
      </c>
      <c r="H6729" t="n">
        <v>0</v>
      </c>
      <c r="I6729" t="n">
        <v>0</v>
      </c>
      <c r="J6729" t="n">
        <v>0</v>
      </c>
      <c r="K6729" t="n">
        <v>0</v>
      </c>
      <c r="L6729" t="n">
        <v>0</v>
      </c>
      <c r="M6729" t="n">
        <v>0</v>
      </c>
      <c r="N6729" t="n">
        <v>0</v>
      </c>
      <c r="O6729" t="n">
        <v>0</v>
      </c>
      <c r="P6729" t="n">
        <v>0</v>
      </c>
      <c r="Q6729" t="n">
        <v>0</v>
      </c>
      <c r="R6729" s="2" t="inlineStr"/>
    </row>
    <row r="6730" ht="15" customHeight="1">
      <c r="A6730" t="inlineStr">
        <is>
          <t>A 39870-2023</t>
        </is>
      </c>
      <c r="B6730" s="1" t="n">
        <v>45168</v>
      </c>
      <c r="C6730" s="1" t="n">
        <v>45182</v>
      </c>
      <c r="D6730" t="inlineStr">
        <is>
          <t>JÄMTLANDS LÄN</t>
        </is>
      </c>
      <c r="E6730" t="inlineStr">
        <is>
          <t>STRÖMSUND</t>
        </is>
      </c>
      <c r="G6730" t="n">
        <v>34</v>
      </c>
      <c r="H6730" t="n">
        <v>0</v>
      </c>
      <c r="I6730" t="n">
        <v>0</v>
      </c>
      <c r="J6730" t="n">
        <v>0</v>
      </c>
      <c r="K6730" t="n">
        <v>0</v>
      </c>
      <c r="L6730" t="n">
        <v>0</v>
      </c>
      <c r="M6730" t="n">
        <v>0</v>
      </c>
      <c r="N6730" t="n">
        <v>0</v>
      </c>
      <c r="O6730" t="n">
        <v>0</v>
      </c>
      <c r="P6730" t="n">
        <v>0</v>
      </c>
      <c r="Q6730" t="n">
        <v>0</v>
      </c>
      <c r="R6730" s="2" t="inlineStr"/>
    </row>
    <row r="6731" ht="15" customHeight="1">
      <c r="A6731" t="inlineStr">
        <is>
          <t>A 40110-2023</t>
        </is>
      </c>
      <c r="B6731" s="1" t="n">
        <v>45168</v>
      </c>
      <c r="C6731" s="1" t="n">
        <v>45182</v>
      </c>
      <c r="D6731" t="inlineStr">
        <is>
          <t>JÄMTLANDS LÄN</t>
        </is>
      </c>
      <c r="E6731" t="inlineStr">
        <is>
          <t>STRÖMSUND</t>
        </is>
      </c>
      <c r="F6731" t="inlineStr">
        <is>
          <t>SCA</t>
        </is>
      </c>
      <c r="G6731" t="n">
        <v>0.3</v>
      </c>
      <c r="H6731" t="n">
        <v>0</v>
      </c>
      <c r="I6731" t="n">
        <v>0</v>
      </c>
      <c r="J6731" t="n">
        <v>0</v>
      </c>
      <c r="K6731" t="n">
        <v>0</v>
      </c>
      <c r="L6731" t="n">
        <v>0</v>
      </c>
      <c r="M6731" t="n">
        <v>0</v>
      </c>
      <c r="N6731" t="n">
        <v>0</v>
      </c>
      <c r="O6731" t="n">
        <v>0</v>
      </c>
      <c r="P6731" t="n">
        <v>0</v>
      </c>
      <c r="Q6731" t="n">
        <v>0</v>
      </c>
      <c r="R6731" s="2" t="inlineStr"/>
    </row>
    <row r="6732" ht="15" customHeight="1">
      <c r="A6732" t="inlineStr">
        <is>
          <t>A 40206-2023</t>
        </is>
      </c>
      <c r="B6732" s="1" t="n">
        <v>45169</v>
      </c>
      <c r="C6732" s="1" t="n">
        <v>45182</v>
      </c>
      <c r="D6732" t="inlineStr">
        <is>
          <t>JÄMTLANDS LÄN</t>
        </is>
      </c>
      <c r="E6732" t="inlineStr">
        <is>
          <t>KROKOM</t>
        </is>
      </c>
      <c r="F6732" t="inlineStr">
        <is>
          <t>Övriga Aktiebolag</t>
        </is>
      </c>
      <c r="G6732" t="n">
        <v>5.6</v>
      </c>
      <c r="H6732" t="n">
        <v>0</v>
      </c>
      <c r="I6732" t="n">
        <v>0</v>
      </c>
      <c r="J6732" t="n">
        <v>0</v>
      </c>
      <c r="K6732" t="n">
        <v>0</v>
      </c>
      <c r="L6732" t="n">
        <v>0</v>
      </c>
      <c r="M6732" t="n">
        <v>0</v>
      </c>
      <c r="N6732" t="n">
        <v>0</v>
      </c>
      <c r="O6732" t="n">
        <v>0</v>
      </c>
      <c r="P6732" t="n">
        <v>0</v>
      </c>
      <c r="Q6732" t="n">
        <v>0</v>
      </c>
      <c r="R6732" s="2" t="inlineStr"/>
    </row>
    <row r="6733" ht="15" customHeight="1">
      <c r="A6733" t="inlineStr">
        <is>
          <t>A 40179-2023</t>
        </is>
      </c>
      <c r="B6733" s="1" t="n">
        <v>45169</v>
      </c>
      <c r="C6733" s="1" t="n">
        <v>45182</v>
      </c>
      <c r="D6733" t="inlineStr">
        <is>
          <t>JÄMTLANDS LÄN</t>
        </is>
      </c>
      <c r="E6733" t="inlineStr">
        <is>
          <t>KROKOM</t>
        </is>
      </c>
      <c r="F6733" t="inlineStr">
        <is>
          <t>Övriga Aktiebolag</t>
        </is>
      </c>
      <c r="G6733" t="n">
        <v>2.8</v>
      </c>
      <c r="H6733" t="n">
        <v>0</v>
      </c>
      <c r="I6733" t="n">
        <v>0</v>
      </c>
      <c r="J6733" t="n">
        <v>0</v>
      </c>
      <c r="K6733" t="n">
        <v>0</v>
      </c>
      <c r="L6733" t="n">
        <v>0</v>
      </c>
      <c r="M6733" t="n">
        <v>0</v>
      </c>
      <c r="N6733" t="n">
        <v>0</v>
      </c>
      <c r="O6733" t="n">
        <v>0</v>
      </c>
      <c r="P6733" t="n">
        <v>0</v>
      </c>
      <c r="Q6733" t="n">
        <v>0</v>
      </c>
      <c r="R6733" s="2" t="inlineStr"/>
    </row>
    <row r="6734" ht="15" customHeight="1">
      <c r="A6734" t="inlineStr">
        <is>
          <t>A 40423-2023</t>
        </is>
      </c>
      <c r="B6734" s="1" t="n">
        <v>45169</v>
      </c>
      <c r="C6734" s="1" t="n">
        <v>45182</v>
      </c>
      <c r="D6734" t="inlineStr">
        <is>
          <t>JÄMTLANDS LÄN</t>
        </is>
      </c>
      <c r="E6734" t="inlineStr">
        <is>
          <t>ÖSTERSUND</t>
        </is>
      </c>
      <c r="F6734" t="inlineStr">
        <is>
          <t>SCA</t>
        </is>
      </c>
      <c r="G6734" t="n">
        <v>3.7</v>
      </c>
      <c r="H6734" t="n">
        <v>0</v>
      </c>
      <c r="I6734" t="n">
        <v>0</v>
      </c>
      <c r="J6734" t="n">
        <v>0</v>
      </c>
      <c r="K6734" t="n">
        <v>0</v>
      </c>
      <c r="L6734" t="n">
        <v>0</v>
      </c>
      <c r="M6734" t="n">
        <v>0</v>
      </c>
      <c r="N6734" t="n">
        <v>0</v>
      </c>
      <c r="O6734" t="n">
        <v>0</v>
      </c>
      <c r="P6734" t="n">
        <v>0</v>
      </c>
      <c r="Q6734" t="n">
        <v>0</v>
      </c>
      <c r="R6734" s="2" t="inlineStr"/>
    </row>
    <row r="6735" ht="15" customHeight="1">
      <c r="A6735" t="inlineStr">
        <is>
          <t>A 40441-2023</t>
        </is>
      </c>
      <c r="B6735" s="1" t="n">
        <v>45169</v>
      </c>
      <c r="C6735" s="1" t="n">
        <v>45182</v>
      </c>
      <c r="D6735" t="inlineStr">
        <is>
          <t>JÄMTLANDS LÄN</t>
        </is>
      </c>
      <c r="E6735" t="inlineStr">
        <is>
          <t>STRÖMSUND</t>
        </is>
      </c>
      <c r="F6735" t="inlineStr">
        <is>
          <t>SCA</t>
        </is>
      </c>
      <c r="G6735" t="n">
        <v>5.9</v>
      </c>
      <c r="H6735" t="n">
        <v>0</v>
      </c>
      <c r="I6735" t="n">
        <v>0</v>
      </c>
      <c r="J6735" t="n">
        <v>0</v>
      </c>
      <c r="K6735" t="n">
        <v>0</v>
      </c>
      <c r="L6735" t="n">
        <v>0</v>
      </c>
      <c r="M6735" t="n">
        <v>0</v>
      </c>
      <c r="N6735" t="n">
        <v>0</v>
      </c>
      <c r="O6735" t="n">
        <v>0</v>
      </c>
      <c r="P6735" t="n">
        <v>0</v>
      </c>
      <c r="Q6735" t="n">
        <v>0</v>
      </c>
      <c r="R6735" s="2" t="inlineStr"/>
    </row>
    <row r="6736" ht="15" customHeight="1">
      <c r="A6736" t="inlineStr">
        <is>
          <t>A 40323-2023</t>
        </is>
      </c>
      <c r="B6736" s="1" t="n">
        <v>45169</v>
      </c>
      <c r="C6736" s="1" t="n">
        <v>45182</v>
      </c>
      <c r="D6736" t="inlineStr">
        <is>
          <t>JÄMTLANDS LÄN</t>
        </is>
      </c>
      <c r="E6736" t="inlineStr">
        <is>
          <t>ÅRE</t>
        </is>
      </c>
      <c r="G6736" t="n">
        <v>5.1</v>
      </c>
      <c r="H6736" t="n">
        <v>0</v>
      </c>
      <c r="I6736" t="n">
        <v>0</v>
      </c>
      <c r="J6736" t="n">
        <v>0</v>
      </c>
      <c r="K6736" t="n">
        <v>0</v>
      </c>
      <c r="L6736" t="n">
        <v>0</v>
      </c>
      <c r="M6736" t="n">
        <v>0</v>
      </c>
      <c r="N6736" t="n">
        <v>0</v>
      </c>
      <c r="O6736" t="n">
        <v>0</v>
      </c>
      <c r="P6736" t="n">
        <v>0</v>
      </c>
      <c r="Q6736" t="n">
        <v>0</v>
      </c>
      <c r="R6736" s="2" t="inlineStr"/>
    </row>
    <row r="6737" ht="15" customHeight="1">
      <c r="A6737" t="inlineStr">
        <is>
          <t>A 40625-2023</t>
        </is>
      </c>
      <c r="B6737" s="1" t="n">
        <v>45169</v>
      </c>
      <c r="C6737" s="1" t="n">
        <v>45182</v>
      </c>
      <c r="D6737" t="inlineStr">
        <is>
          <t>JÄMTLANDS LÄN</t>
        </is>
      </c>
      <c r="E6737" t="inlineStr">
        <is>
          <t>STRÖMSUND</t>
        </is>
      </c>
      <c r="G6737" t="n">
        <v>12.9</v>
      </c>
      <c r="H6737" t="n">
        <v>0</v>
      </c>
      <c r="I6737" t="n">
        <v>0</v>
      </c>
      <c r="J6737" t="n">
        <v>0</v>
      </c>
      <c r="K6737" t="n">
        <v>0</v>
      </c>
      <c r="L6737" t="n">
        <v>0</v>
      </c>
      <c r="M6737" t="n">
        <v>0</v>
      </c>
      <c r="N6737" t="n">
        <v>0</v>
      </c>
      <c r="O6737" t="n">
        <v>0</v>
      </c>
      <c r="P6737" t="n">
        <v>0</v>
      </c>
      <c r="Q6737" t="n">
        <v>0</v>
      </c>
      <c r="R6737" s="2" t="inlineStr"/>
    </row>
    <row r="6738" ht="15" customHeight="1">
      <c r="A6738" t="inlineStr">
        <is>
          <t>A 40573-2023</t>
        </is>
      </c>
      <c r="B6738" s="1" t="n">
        <v>45170</v>
      </c>
      <c r="C6738" s="1" t="n">
        <v>45182</v>
      </c>
      <c r="D6738" t="inlineStr">
        <is>
          <t>JÄMTLANDS LÄN</t>
        </is>
      </c>
      <c r="E6738" t="inlineStr">
        <is>
          <t>HÄRJEDALEN</t>
        </is>
      </c>
      <c r="F6738" t="inlineStr">
        <is>
          <t>Holmen skog AB</t>
        </is>
      </c>
      <c r="G6738" t="n">
        <v>13.1</v>
      </c>
      <c r="H6738" t="n">
        <v>0</v>
      </c>
      <c r="I6738" t="n">
        <v>0</v>
      </c>
      <c r="J6738" t="n">
        <v>0</v>
      </c>
      <c r="K6738" t="n">
        <v>0</v>
      </c>
      <c r="L6738" t="n">
        <v>0</v>
      </c>
      <c r="M6738" t="n">
        <v>0</v>
      </c>
      <c r="N6738" t="n">
        <v>0</v>
      </c>
      <c r="O6738" t="n">
        <v>0</v>
      </c>
      <c r="P6738" t="n">
        <v>0</v>
      </c>
      <c r="Q6738" t="n">
        <v>0</v>
      </c>
      <c r="R6738" s="2" t="inlineStr"/>
    </row>
    <row r="6739" ht="15" customHeight="1">
      <c r="A6739" t="inlineStr">
        <is>
          <t>A 41090-2023</t>
        </is>
      </c>
      <c r="B6739" s="1" t="n">
        <v>45173</v>
      </c>
      <c r="C6739" s="1" t="n">
        <v>45182</v>
      </c>
      <c r="D6739" t="inlineStr">
        <is>
          <t>JÄMTLANDS LÄN</t>
        </is>
      </c>
      <c r="E6739" t="inlineStr">
        <is>
          <t>KROKOM</t>
        </is>
      </c>
      <c r="G6739" t="n">
        <v>3.2</v>
      </c>
      <c r="H6739" t="n">
        <v>0</v>
      </c>
      <c r="I6739" t="n">
        <v>0</v>
      </c>
      <c r="J6739" t="n">
        <v>0</v>
      </c>
      <c r="K6739" t="n">
        <v>0</v>
      </c>
      <c r="L6739" t="n">
        <v>0</v>
      </c>
      <c r="M6739" t="n">
        <v>0</v>
      </c>
      <c r="N6739" t="n">
        <v>0</v>
      </c>
      <c r="O6739" t="n">
        <v>0</v>
      </c>
      <c r="P6739" t="n">
        <v>0</v>
      </c>
      <c r="Q6739" t="n">
        <v>0</v>
      </c>
      <c r="R6739" s="2" t="inlineStr"/>
    </row>
    <row r="6740" ht="15" customHeight="1">
      <c r="A6740" t="inlineStr">
        <is>
          <t>A 41142-2023</t>
        </is>
      </c>
      <c r="B6740" s="1" t="n">
        <v>45173</v>
      </c>
      <c r="C6740" s="1" t="n">
        <v>45182</v>
      </c>
      <c r="D6740" t="inlineStr">
        <is>
          <t>JÄMTLANDS LÄN</t>
        </is>
      </c>
      <c r="E6740" t="inlineStr">
        <is>
          <t>KROKOM</t>
        </is>
      </c>
      <c r="F6740" t="inlineStr">
        <is>
          <t>SCA</t>
        </is>
      </c>
      <c r="G6740" t="n">
        <v>2</v>
      </c>
      <c r="H6740" t="n">
        <v>0</v>
      </c>
      <c r="I6740" t="n">
        <v>0</v>
      </c>
      <c r="J6740" t="n">
        <v>0</v>
      </c>
      <c r="K6740" t="n">
        <v>0</v>
      </c>
      <c r="L6740" t="n">
        <v>0</v>
      </c>
      <c r="M6740" t="n">
        <v>0</v>
      </c>
      <c r="N6740" t="n">
        <v>0</v>
      </c>
      <c r="O6740" t="n">
        <v>0</v>
      </c>
      <c r="P6740" t="n">
        <v>0</v>
      </c>
      <c r="Q6740" t="n">
        <v>0</v>
      </c>
      <c r="R6740" s="2" t="inlineStr"/>
    </row>
    <row r="6741" ht="15" customHeight="1">
      <c r="A6741" t="inlineStr">
        <is>
          <t>A 41268-2023</t>
        </is>
      </c>
      <c r="B6741" s="1" t="n">
        <v>45174</v>
      </c>
      <c r="C6741" s="1" t="n">
        <v>45182</v>
      </c>
      <c r="D6741" t="inlineStr">
        <is>
          <t>JÄMTLANDS LÄN</t>
        </is>
      </c>
      <c r="E6741" t="inlineStr">
        <is>
          <t>STRÖMSUND</t>
        </is>
      </c>
      <c r="G6741" t="n">
        <v>4</v>
      </c>
      <c r="H6741" t="n">
        <v>0</v>
      </c>
      <c r="I6741" t="n">
        <v>0</v>
      </c>
      <c r="J6741" t="n">
        <v>0</v>
      </c>
      <c r="K6741" t="n">
        <v>0</v>
      </c>
      <c r="L6741" t="n">
        <v>0</v>
      </c>
      <c r="M6741" t="n">
        <v>0</v>
      </c>
      <c r="N6741" t="n">
        <v>0</v>
      </c>
      <c r="O6741" t="n">
        <v>0</v>
      </c>
      <c r="P6741" t="n">
        <v>0</v>
      </c>
      <c r="Q6741" t="n">
        <v>0</v>
      </c>
      <c r="R6741" s="2" t="inlineStr"/>
    </row>
    <row r="6742" ht="15" customHeight="1">
      <c r="A6742" t="inlineStr">
        <is>
          <t>A 41769-2023</t>
        </is>
      </c>
      <c r="B6742" s="1" t="n">
        <v>45176</v>
      </c>
      <c r="C6742" s="1" t="n">
        <v>45182</v>
      </c>
      <c r="D6742" t="inlineStr">
        <is>
          <t>JÄMTLANDS LÄN</t>
        </is>
      </c>
      <c r="E6742" t="inlineStr">
        <is>
          <t>KROKOM</t>
        </is>
      </c>
      <c r="F6742" t="inlineStr">
        <is>
          <t>Övriga Aktiebolag</t>
        </is>
      </c>
      <c r="G6742" t="n">
        <v>10.2</v>
      </c>
      <c r="H6742" t="n">
        <v>0</v>
      </c>
      <c r="I6742" t="n">
        <v>0</v>
      </c>
      <c r="J6742" t="n">
        <v>0</v>
      </c>
      <c r="K6742" t="n">
        <v>0</v>
      </c>
      <c r="L6742" t="n">
        <v>0</v>
      </c>
      <c r="M6742" t="n">
        <v>0</v>
      </c>
      <c r="N6742" t="n">
        <v>0</v>
      </c>
      <c r="O6742" t="n">
        <v>0</v>
      </c>
      <c r="P6742" t="n">
        <v>0</v>
      </c>
      <c r="Q6742" t="n">
        <v>0</v>
      </c>
      <c r="R6742" s="2" t="inlineStr"/>
    </row>
    <row r="6743" ht="15" customHeight="1">
      <c r="A6743" t="inlineStr">
        <is>
          <t>A 41784-2023</t>
        </is>
      </c>
      <c r="B6743" s="1" t="n">
        <v>45176</v>
      </c>
      <c r="C6743" s="1" t="n">
        <v>45182</v>
      </c>
      <c r="D6743" t="inlineStr">
        <is>
          <t>JÄMTLANDS LÄN</t>
        </is>
      </c>
      <c r="E6743" t="inlineStr">
        <is>
          <t>KROKOM</t>
        </is>
      </c>
      <c r="F6743" t="inlineStr">
        <is>
          <t>Övriga Aktiebolag</t>
        </is>
      </c>
      <c r="G6743" t="n">
        <v>3.1</v>
      </c>
      <c r="H6743" t="n">
        <v>0</v>
      </c>
      <c r="I6743" t="n">
        <v>0</v>
      </c>
      <c r="J6743" t="n">
        <v>0</v>
      </c>
      <c r="K6743" t="n">
        <v>0</v>
      </c>
      <c r="L6743" t="n">
        <v>0</v>
      </c>
      <c r="M6743" t="n">
        <v>0</v>
      </c>
      <c r="N6743" t="n">
        <v>0</v>
      </c>
      <c r="O6743" t="n">
        <v>0</v>
      </c>
      <c r="P6743" t="n">
        <v>0</v>
      </c>
      <c r="Q6743" t="n">
        <v>0</v>
      </c>
      <c r="R6743" s="2" t="inlineStr"/>
    </row>
    <row r="6744" ht="15" customHeight="1">
      <c r="A6744" t="inlineStr">
        <is>
          <t>A 42287-2023</t>
        </is>
      </c>
      <c r="B6744" s="1" t="n">
        <v>45180</v>
      </c>
      <c r="C6744" s="1" t="n">
        <v>45182</v>
      </c>
      <c r="D6744" t="inlineStr">
        <is>
          <t>JÄMTLANDS LÄN</t>
        </is>
      </c>
      <c r="E6744" t="inlineStr">
        <is>
          <t>STRÖMSUND</t>
        </is>
      </c>
      <c r="G6744" t="n">
        <v>3.4</v>
      </c>
      <c r="H6744" t="n">
        <v>0</v>
      </c>
      <c r="I6744" t="n">
        <v>0</v>
      </c>
      <c r="J6744" t="n">
        <v>0</v>
      </c>
      <c r="K6744" t="n">
        <v>0</v>
      </c>
      <c r="L6744" t="n">
        <v>0</v>
      </c>
      <c r="M6744" t="n">
        <v>0</v>
      </c>
      <c r="N6744" t="n">
        <v>0</v>
      </c>
      <c r="O6744" t="n">
        <v>0</v>
      </c>
      <c r="P6744" t="n">
        <v>0</v>
      </c>
      <c r="Q6744" t="n">
        <v>0</v>
      </c>
      <c r="R6744" s="2" t="inlineStr"/>
    </row>
    <row r="6745" ht="15" customHeight="1">
      <c r="A6745" t="inlineStr">
        <is>
          <t>A 42369-2023</t>
        </is>
      </c>
      <c r="B6745" s="1" t="n">
        <v>45180</v>
      </c>
      <c r="C6745" s="1" t="n">
        <v>45182</v>
      </c>
      <c r="D6745" t="inlineStr">
        <is>
          <t>JÄMTLANDS LÄN</t>
        </is>
      </c>
      <c r="E6745" t="inlineStr">
        <is>
          <t>KROKOM</t>
        </is>
      </c>
      <c r="F6745" t="inlineStr">
        <is>
          <t>Övriga Aktiebolag</t>
        </is>
      </c>
      <c r="G6745" t="n">
        <v>0.2</v>
      </c>
      <c r="H6745" t="n">
        <v>0</v>
      </c>
      <c r="I6745" t="n">
        <v>0</v>
      </c>
      <c r="J6745" t="n">
        <v>0</v>
      </c>
      <c r="K6745" t="n">
        <v>0</v>
      </c>
      <c r="L6745" t="n">
        <v>0</v>
      </c>
      <c r="M6745" t="n">
        <v>0</v>
      </c>
      <c r="N6745" t="n">
        <v>0</v>
      </c>
      <c r="O6745" t="n">
        <v>0</v>
      </c>
      <c r="P6745" t="n">
        <v>0</v>
      </c>
      <c r="Q6745" t="n">
        <v>0</v>
      </c>
      <c r="R6745" s="2" t="inlineStr"/>
    </row>
    <row r="6746" ht="15" customHeight="1">
      <c r="A6746" t="inlineStr">
        <is>
          <t>A 42284-2023</t>
        </is>
      </c>
      <c r="B6746" s="1" t="n">
        <v>45180</v>
      </c>
      <c r="C6746" s="1" t="n">
        <v>45182</v>
      </c>
      <c r="D6746" t="inlineStr">
        <is>
          <t>JÄMTLANDS LÄN</t>
        </is>
      </c>
      <c r="E6746" t="inlineStr">
        <is>
          <t>STRÖMSUND</t>
        </is>
      </c>
      <c r="G6746" t="n">
        <v>2.8</v>
      </c>
      <c r="H6746" t="n">
        <v>0</v>
      </c>
      <c r="I6746" t="n">
        <v>0</v>
      </c>
      <c r="J6746" t="n">
        <v>0</v>
      </c>
      <c r="K6746" t="n">
        <v>0</v>
      </c>
      <c r="L6746" t="n">
        <v>0</v>
      </c>
      <c r="M6746" t="n">
        <v>0</v>
      </c>
      <c r="N6746" t="n">
        <v>0</v>
      </c>
      <c r="O6746" t="n">
        <v>0</v>
      </c>
      <c r="P6746" t="n">
        <v>0</v>
      </c>
      <c r="Q6746" t="n">
        <v>0</v>
      </c>
      <c r="R6746" s="2" t="inlineStr"/>
    </row>
    <row r="6747" ht="15" customHeight="1">
      <c r="A6747" t="inlineStr">
        <is>
          <t>A 42385-2023</t>
        </is>
      </c>
      <c r="B6747" s="1" t="n">
        <v>45180</v>
      </c>
      <c r="C6747" s="1" t="n">
        <v>45182</v>
      </c>
      <c r="D6747" t="inlineStr">
        <is>
          <t>JÄMTLANDS LÄN</t>
        </is>
      </c>
      <c r="E6747" t="inlineStr">
        <is>
          <t>KROKOM</t>
        </is>
      </c>
      <c r="F6747" t="inlineStr">
        <is>
          <t>Övriga Aktiebolag</t>
        </is>
      </c>
      <c r="G6747" t="n">
        <v>7.7</v>
      </c>
      <c r="H6747" t="n">
        <v>0</v>
      </c>
      <c r="I6747" t="n">
        <v>0</v>
      </c>
      <c r="J6747" t="n">
        <v>0</v>
      </c>
      <c r="K6747" t="n">
        <v>0</v>
      </c>
      <c r="L6747" t="n">
        <v>0</v>
      </c>
      <c r="M6747" t="n">
        <v>0</v>
      </c>
      <c r="N6747" t="n">
        <v>0</v>
      </c>
      <c r="O6747" t="n">
        <v>0</v>
      </c>
      <c r="P6747" t="n">
        <v>0</v>
      </c>
      <c r="Q6747" t="n">
        <v>0</v>
      </c>
      <c r="R6747" s="2" t="inlineStr"/>
    </row>
    <row r="6748" ht="15" customHeight="1">
      <c r="A6748" t="inlineStr">
        <is>
          <t>A 42258-2023</t>
        </is>
      </c>
      <c r="B6748" s="1" t="n">
        <v>45180</v>
      </c>
      <c r="C6748" s="1" t="n">
        <v>45182</v>
      </c>
      <c r="D6748" t="inlineStr">
        <is>
          <t>JÄMTLANDS LÄN</t>
        </is>
      </c>
      <c r="E6748" t="inlineStr">
        <is>
          <t>KROKOM</t>
        </is>
      </c>
      <c r="F6748" t="inlineStr">
        <is>
          <t>Övriga Aktiebolag</t>
        </is>
      </c>
      <c r="G6748" t="n">
        <v>0.2</v>
      </c>
      <c r="H6748" t="n">
        <v>0</v>
      </c>
      <c r="I6748" t="n">
        <v>0</v>
      </c>
      <c r="J6748" t="n">
        <v>0</v>
      </c>
      <c r="K6748" t="n">
        <v>0</v>
      </c>
      <c r="L6748" t="n">
        <v>0</v>
      </c>
      <c r="M6748" t="n">
        <v>0</v>
      </c>
      <c r="N6748" t="n">
        <v>0</v>
      </c>
      <c r="O6748" t="n">
        <v>0</v>
      </c>
      <c r="P6748" t="n">
        <v>0</v>
      </c>
      <c r="Q6748" t="n">
        <v>0</v>
      </c>
      <c r="R6748" s="2" t="inlineStr"/>
    </row>
    <row r="6749" ht="15" customHeight="1">
      <c r="A6749" t="inlineStr">
        <is>
          <t>A 42372-2023</t>
        </is>
      </c>
      <c r="B6749" s="1" t="n">
        <v>45180</v>
      </c>
      <c r="C6749" s="1" t="n">
        <v>45182</v>
      </c>
      <c r="D6749" t="inlineStr">
        <is>
          <t>JÄMTLANDS LÄN</t>
        </is>
      </c>
      <c r="E6749" t="inlineStr">
        <is>
          <t>KROKOM</t>
        </is>
      </c>
      <c r="F6749" t="inlineStr">
        <is>
          <t>Övriga Aktiebolag</t>
        </is>
      </c>
      <c r="G6749" t="n">
        <v>0.2</v>
      </c>
      <c r="H6749" t="n">
        <v>0</v>
      </c>
      <c r="I6749" t="n">
        <v>0</v>
      </c>
      <c r="J6749" t="n">
        <v>0</v>
      </c>
      <c r="K6749" t="n">
        <v>0</v>
      </c>
      <c r="L6749" t="n">
        <v>0</v>
      </c>
      <c r="M6749" t="n">
        <v>0</v>
      </c>
      <c r="N6749" t="n">
        <v>0</v>
      </c>
      <c r="O6749" t="n">
        <v>0</v>
      </c>
      <c r="P6749" t="n">
        <v>0</v>
      </c>
      <c r="Q6749" t="n">
        <v>0</v>
      </c>
      <c r="R6749" s="2" t="inlineStr"/>
    </row>
    <row r="6750" ht="15" customHeight="1">
      <c r="A6750" t="inlineStr">
        <is>
          <t>A 42291-2023</t>
        </is>
      </c>
      <c r="B6750" s="1" t="n">
        <v>45180</v>
      </c>
      <c r="C6750" s="1" t="n">
        <v>45182</v>
      </c>
      <c r="D6750" t="inlineStr">
        <is>
          <t>JÄMTLANDS LÄN</t>
        </is>
      </c>
      <c r="E6750" t="inlineStr">
        <is>
          <t>STRÖMSUND</t>
        </is>
      </c>
      <c r="G6750" t="n">
        <v>0.6</v>
      </c>
      <c r="H6750" t="n">
        <v>0</v>
      </c>
      <c r="I6750" t="n">
        <v>0</v>
      </c>
      <c r="J6750" t="n">
        <v>0</v>
      </c>
      <c r="K6750" t="n">
        <v>0</v>
      </c>
      <c r="L6750" t="n">
        <v>0</v>
      </c>
      <c r="M6750" t="n">
        <v>0</v>
      </c>
      <c r="N6750" t="n">
        <v>0</v>
      </c>
      <c r="O6750" t="n">
        <v>0</v>
      </c>
      <c r="P6750" t="n">
        <v>0</v>
      </c>
      <c r="Q6750" t="n">
        <v>0</v>
      </c>
      <c r="R6750" s="2" t="inlineStr"/>
    </row>
    <row r="6751">
      <c r="A6751" t="inlineStr">
        <is>
          <t>A 42444-2023</t>
        </is>
      </c>
      <c r="B6751" s="1" t="n">
        <v>45180</v>
      </c>
      <c r="C6751" s="1" t="n">
        <v>45182</v>
      </c>
      <c r="D6751" t="inlineStr">
        <is>
          <t>JÄMTLANDS LÄN</t>
        </is>
      </c>
      <c r="E6751" t="inlineStr">
        <is>
          <t>HÄRJEDALEN</t>
        </is>
      </c>
      <c r="G6751" t="n">
        <v>20.7</v>
      </c>
      <c r="H6751" t="n">
        <v>0</v>
      </c>
      <c r="I6751" t="n">
        <v>0</v>
      </c>
      <c r="J6751" t="n">
        <v>0</v>
      </c>
      <c r="K6751" t="n">
        <v>0</v>
      </c>
      <c r="L6751" t="n">
        <v>0</v>
      </c>
      <c r="M6751" t="n">
        <v>0</v>
      </c>
      <c r="N6751" t="n">
        <v>0</v>
      </c>
      <c r="O6751" t="n">
        <v>0</v>
      </c>
      <c r="P6751" t="n">
        <v>0</v>
      </c>
      <c r="Q6751" t="n">
        <v>0</v>
      </c>
      <c r="R675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2023-09-13T06:37:55Z</dcterms:created>
  <dcterms:modified xmlns:dcterms="http://purl.org/dc/terms/" xmlns:xsi="http://www.w3.org/2001/XMLSchema-instance" xsi:type="dcterms:W3CDTF">2023-09-13T06:37:57Z</dcterms:modified>
</cp:coreProperties>
</file>