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45225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45225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45225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45225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45225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45225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45225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45225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45225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45225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45225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45225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45225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45225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45225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45225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45225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45225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45225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45225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45225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45225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45225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45225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45225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45225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45225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45225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45225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45225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45225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45225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45225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45225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45225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45225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45225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45225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45225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45225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45225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45225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45225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45225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45225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45225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45225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45225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45225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45225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45225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45225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45225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45225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45225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45225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45225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45225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45225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45225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45225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45225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45225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45225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45225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45225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45225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45225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45225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45225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45225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45225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45225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45225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45225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45225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45225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45225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45225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45225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45225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36871-2019</t>
        </is>
      </c>
      <c r="B84" s="1" t="n">
        <v>43675</v>
      </c>
      <c r="C84" s="1" t="n">
        <v>45225</v>
      </c>
      <c r="D84" t="inlineStr">
        <is>
          <t>JÖNKÖPINGS LÄN</t>
        </is>
      </c>
      <c r="E84" t="inlineStr">
        <is>
          <t>JÖNKÖPING</t>
        </is>
      </c>
      <c r="G84" t="n">
        <v>4.1</v>
      </c>
      <c r="H84" t="n">
        <v>2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Knärot
Mattlummer</t>
        </is>
      </c>
      <c r="S84">
        <f>HYPERLINK("https://klasma.github.io/Logging_0680/artfynd/A 36871-2019 artfynd.xlsx", "A 36871-2019")</f>
        <v/>
      </c>
      <c r="T84">
        <f>HYPERLINK("https://klasma.github.io/Logging_0680/kartor/A 36871-2019 karta.png", "A 36871-2019")</f>
        <v/>
      </c>
      <c r="U84">
        <f>HYPERLINK("https://klasma.github.io/Logging_0680/knärot/A 36871-2019 karta knärot.png", "A 36871-2019")</f>
        <v/>
      </c>
      <c r="V84">
        <f>HYPERLINK("https://klasma.github.io/Logging_0680/klagomål/A 36871-2019 FSC-klagomål.docx", "A 36871-2019")</f>
        <v/>
      </c>
      <c r="W84">
        <f>HYPERLINK("https://klasma.github.io/Logging_0680/klagomålsmail/A 36871-2019 FSC-klagomål mail.docx", "A 36871-2019")</f>
        <v/>
      </c>
      <c r="X84">
        <f>HYPERLINK("https://klasma.github.io/Logging_0680/tillsyn/A 36871-2019 tillsynsbegäran.docx", "A 36871-2019")</f>
        <v/>
      </c>
      <c r="Y84">
        <f>HYPERLINK("https://klasma.github.io/Logging_0680/tillsynsmail/A 36871-2019 tillsynsbegäran mail.docx", "A 36871-2019")</f>
        <v/>
      </c>
    </row>
    <row r="85" ht="15" customHeight="1">
      <c r="A85" t="inlineStr">
        <is>
          <t>A 45348-2019</t>
        </is>
      </c>
      <c r="B85" s="1" t="n">
        <v>43714</v>
      </c>
      <c r="C85" s="1" t="n">
        <v>45225</v>
      </c>
      <c r="D85" t="inlineStr">
        <is>
          <t>JÖNKÖPINGS LÄN</t>
        </is>
      </c>
      <c r="E85" t="inlineStr">
        <is>
          <t>VETLANDA</t>
        </is>
      </c>
      <c r="G85" t="n">
        <v>12.2</v>
      </c>
      <c r="H85" t="n">
        <v>1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Ask
Vanlig padda</t>
        </is>
      </c>
      <c r="S85">
        <f>HYPERLINK("https://klasma.github.io/Logging_0685/artfynd/A 45348-2019 artfynd.xlsx", "A 45348-2019")</f>
        <v/>
      </c>
      <c r="T85">
        <f>HYPERLINK("https://klasma.github.io/Logging_0685/kartor/A 45348-2019 karta.png", "A 45348-2019")</f>
        <v/>
      </c>
      <c r="V85">
        <f>HYPERLINK("https://klasma.github.io/Logging_0685/klagomål/A 45348-2019 FSC-klagomål.docx", "A 45348-2019")</f>
        <v/>
      </c>
      <c r="W85">
        <f>HYPERLINK("https://klasma.github.io/Logging_0685/klagomålsmail/A 45348-2019 FSC-klagomål mail.docx", "A 45348-2019")</f>
        <v/>
      </c>
      <c r="X85">
        <f>HYPERLINK("https://klasma.github.io/Logging_0685/tillsyn/A 45348-2019 tillsynsbegäran.docx", "A 45348-2019")</f>
        <v/>
      </c>
      <c r="Y85">
        <f>HYPERLINK("https://klasma.github.io/Logging_0685/tillsynsmail/A 45348-2019 tillsynsbegäran mail.docx", "A 45348-2019")</f>
        <v/>
      </c>
    </row>
    <row r="86" ht="15" customHeight="1">
      <c r="A86" t="inlineStr">
        <is>
          <t>A 48284-2019</t>
        </is>
      </c>
      <c r="B86" s="1" t="n">
        <v>43726</v>
      </c>
      <c r="C86" s="1" t="n">
        <v>45225</v>
      </c>
      <c r="D86" t="inlineStr">
        <is>
          <t>JÖNKÖPINGS LÄN</t>
        </is>
      </c>
      <c r="E86" t="inlineStr">
        <is>
          <t>NÄSSJÖ</t>
        </is>
      </c>
      <c r="G86" t="n">
        <v>5.5</v>
      </c>
      <c r="H86" t="n">
        <v>2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Nordfladdermus
Dvärgpipistrell</t>
        </is>
      </c>
      <c r="S86">
        <f>HYPERLINK("https://klasma.github.io/Logging_0682/artfynd/A 48284-2019 artfynd.xlsx", "A 48284-2019")</f>
        <v/>
      </c>
      <c r="T86">
        <f>HYPERLINK("https://klasma.github.io/Logging_0682/kartor/A 48284-2019 karta.png", "A 48284-2019")</f>
        <v/>
      </c>
      <c r="V86">
        <f>HYPERLINK("https://klasma.github.io/Logging_0682/klagomål/A 48284-2019 FSC-klagomål.docx", "A 48284-2019")</f>
        <v/>
      </c>
      <c r="W86">
        <f>HYPERLINK("https://klasma.github.io/Logging_0682/klagomålsmail/A 48284-2019 FSC-klagomål mail.docx", "A 48284-2019")</f>
        <v/>
      </c>
      <c r="X86">
        <f>HYPERLINK("https://klasma.github.io/Logging_0682/tillsyn/A 48284-2019 tillsynsbegäran.docx", "A 48284-2019")</f>
        <v/>
      </c>
      <c r="Y86">
        <f>HYPERLINK("https://klasma.github.io/Logging_0682/tillsynsmail/A 48284-2019 tillsynsbegäran mail.docx", "A 48284-2019")</f>
        <v/>
      </c>
    </row>
    <row r="87" ht="15" customHeight="1">
      <c r="A87" t="inlineStr">
        <is>
          <t>A 62662-2019</t>
        </is>
      </c>
      <c r="B87" s="1" t="n">
        <v>43789</v>
      </c>
      <c r="C87" s="1" t="n">
        <v>45225</v>
      </c>
      <c r="D87" t="inlineStr">
        <is>
          <t>JÖNKÖPINGS LÄN</t>
        </is>
      </c>
      <c r="E87" t="inlineStr">
        <is>
          <t>EKSJÖ</t>
        </is>
      </c>
      <c r="F87" t="inlineStr">
        <is>
          <t>Kyrkan</t>
        </is>
      </c>
      <c r="G87" t="n">
        <v>0.9</v>
      </c>
      <c r="H87" t="n">
        <v>2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Brunlångöra
Nordfladdermus</t>
        </is>
      </c>
      <c r="S87">
        <f>HYPERLINK("https://klasma.github.io/Logging_0686/artfynd/A 62662-2019 artfynd.xlsx", "A 62662-2019")</f>
        <v/>
      </c>
      <c r="T87">
        <f>HYPERLINK("https://klasma.github.io/Logging_0686/kartor/A 62662-2019 karta.png", "A 62662-2019")</f>
        <v/>
      </c>
      <c r="V87">
        <f>HYPERLINK("https://klasma.github.io/Logging_0686/klagomål/A 62662-2019 FSC-klagomål.docx", "A 62662-2019")</f>
        <v/>
      </c>
      <c r="W87">
        <f>HYPERLINK("https://klasma.github.io/Logging_0686/klagomålsmail/A 62662-2019 FSC-klagomål mail.docx", "A 62662-2019")</f>
        <v/>
      </c>
      <c r="X87">
        <f>HYPERLINK("https://klasma.github.io/Logging_0686/tillsyn/A 62662-2019 tillsynsbegäran.docx", "A 62662-2019")</f>
        <v/>
      </c>
      <c r="Y87">
        <f>HYPERLINK("https://klasma.github.io/Logging_0686/tillsynsmail/A 62662-2019 tillsynsbegäran mail.docx", "A 62662-2019")</f>
        <v/>
      </c>
    </row>
    <row r="88" ht="15" customHeight="1">
      <c r="A88" t="inlineStr">
        <is>
          <t>A 66666-2019</t>
        </is>
      </c>
      <c r="B88" s="1" t="n">
        <v>43809</v>
      </c>
      <c r="C88" s="1" t="n">
        <v>45225</v>
      </c>
      <c r="D88" t="inlineStr">
        <is>
          <t>JÖNKÖPINGS LÄN</t>
        </is>
      </c>
      <c r="E88" t="inlineStr">
        <is>
          <t>JÖNKÖPING</t>
        </is>
      </c>
      <c r="G88" t="n">
        <v>1.5</v>
      </c>
      <c r="H88" t="n">
        <v>2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Spindelblomster
Grönvit nattviol</t>
        </is>
      </c>
      <c r="S88">
        <f>HYPERLINK("https://klasma.github.io/Logging_0680/artfynd/A 66666-2019 artfynd.xlsx", "A 66666-2019")</f>
        <v/>
      </c>
      <c r="T88">
        <f>HYPERLINK("https://klasma.github.io/Logging_0680/kartor/A 66666-2019 karta.png", "A 66666-2019")</f>
        <v/>
      </c>
      <c r="V88">
        <f>HYPERLINK("https://klasma.github.io/Logging_0680/klagomål/A 66666-2019 FSC-klagomål.docx", "A 66666-2019")</f>
        <v/>
      </c>
      <c r="W88">
        <f>HYPERLINK("https://klasma.github.io/Logging_0680/klagomålsmail/A 66666-2019 FSC-klagomål mail.docx", "A 66666-2019")</f>
        <v/>
      </c>
      <c r="X88">
        <f>HYPERLINK("https://klasma.github.io/Logging_0680/tillsyn/A 66666-2019 tillsynsbegäran.docx", "A 66666-2019")</f>
        <v/>
      </c>
      <c r="Y88">
        <f>HYPERLINK("https://klasma.github.io/Logging_0680/tillsynsmail/A 66666-2019 tillsynsbegäran mail.docx", "A 66666-2019")</f>
        <v/>
      </c>
    </row>
    <row r="89" ht="15" customHeight="1">
      <c r="A89" t="inlineStr">
        <is>
          <t>A 8074-2020</t>
        </is>
      </c>
      <c r="B89" s="1" t="n">
        <v>43874</v>
      </c>
      <c r="C89" s="1" t="n">
        <v>45225</v>
      </c>
      <c r="D89" t="inlineStr">
        <is>
          <t>JÖNKÖPINGS LÄN</t>
        </is>
      </c>
      <c r="E89" t="inlineStr">
        <is>
          <t>MULLSJÖ</t>
        </is>
      </c>
      <c r="G89" t="n">
        <v>6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Entita
Svartvit flugsnappare</t>
        </is>
      </c>
      <c r="S89">
        <f>HYPERLINK("https://klasma.github.io/Logging_0642/artfynd/A 8074-2020 artfynd.xlsx", "A 8074-2020")</f>
        <v/>
      </c>
      <c r="T89">
        <f>HYPERLINK("https://klasma.github.io/Logging_0642/kartor/A 8074-2020 karta.png", "A 8074-2020")</f>
        <v/>
      </c>
      <c r="V89">
        <f>HYPERLINK("https://klasma.github.io/Logging_0642/klagomål/A 8074-2020 FSC-klagomål.docx", "A 8074-2020")</f>
        <v/>
      </c>
      <c r="W89">
        <f>HYPERLINK("https://klasma.github.io/Logging_0642/klagomålsmail/A 8074-2020 FSC-klagomål mail.docx", "A 8074-2020")</f>
        <v/>
      </c>
      <c r="X89">
        <f>HYPERLINK("https://klasma.github.io/Logging_0642/tillsyn/A 8074-2020 tillsynsbegäran.docx", "A 8074-2020")</f>
        <v/>
      </c>
      <c r="Y89">
        <f>HYPERLINK("https://klasma.github.io/Logging_0642/tillsynsmail/A 8074-2020 tillsynsbegäran mail.docx", "A 8074-2020")</f>
        <v/>
      </c>
    </row>
    <row r="90" ht="15" customHeight="1">
      <c r="A90" t="inlineStr">
        <is>
          <t>A 16952-2020</t>
        </is>
      </c>
      <c r="B90" s="1" t="n">
        <v>43913</v>
      </c>
      <c r="C90" s="1" t="n">
        <v>45225</v>
      </c>
      <c r="D90" t="inlineStr">
        <is>
          <t>JÖNKÖPINGS LÄN</t>
        </is>
      </c>
      <c r="E90" t="inlineStr">
        <is>
          <t>VETLANDA</t>
        </is>
      </c>
      <c r="G90" t="n">
        <v>2.9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Tibast
Revlummer</t>
        </is>
      </c>
      <c r="S90">
        <f>HYPERLINK("https://klasma.github.io/Logging_0685/artfynd/A 16952-2020 artfynd.xlsx", "A 16952-2020")</f>
        <v/>
      </c>
      <c r="T90">
        <f>HYPERLINK("https://klasma.github.io/Logging_0685/kartor/A 16952-2020 karta.png", "A 16952-2020")</f>
        <v/>
      </c>
      <c r="V90">
        <f>HYPERLINK("https://klasma.github.io/Logging_0685/klagomål/A 16952-2020 FSC-klagomål.docx", "A 16952-2020")</f>
        <v/>
      </c>
      <c r="W90">
        <f>HYPERLINK("https://klasma.github.io/Logging_0685/klagomålsmail/A 16952-2020 FSC-klagomål mail.docx", "A 16952-2020")</f>
        <v/>
      </c>
      <c r="X90">
        <f>HYPERLINK("https://klasma.github.io/Logging_0685/tillsyn/A 16952-2020 tillsynsbegäran.docx", "A 16952-2020")</f>
        <v/>
      </c>
      <c r="Y90">
        <f>HYPERLINK("https://klasma.github.io/Logging_0685/tillsynsmail/A 16952-2020 tillsynsbegäran mail.docx", "A 16952-2020")</f>
        <v/>
      </c>
    </row>
    <row r="91" ht="15" customHeight="1">
      <c r="A91" t="inlineStr">
        <is>
          <t>A 16652-2020</t>
        </is>
      </c>
      <c r="B91" s="1" t="n">
        <v>43920</v>
      </c>
      <c r="C91" s="1" t="n">
        <v>45225</v>
      </c>
      <c r="D91" t="inlineStr">
        <is>
          <t>JÖNKÖPINGS LÄN</t>
        </is>
      </c>
      <c r="E91" t="inlineStr">
        <is>
          <t>JÖNKÖPING</t>
        </is>
      </c>
      <c r="G91" t="n">
        <v>12.2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Blylav
Lunglav</t>
        </is>
      </c>
      <c r="S91">
        <f>HYPERLINK("https://klasma.github.io/Logging_0680/artfynd/A 16652-2020 artfynd.xlsx", "A 16652-2020")</f>
        <v/>
      </c>
      <c r="T91">
        <f>HYPERLINK("https://klasma.github.io/Logging_0680/kartor/A 16652-2020 karta.png", "A 16652-2020")</f>
        <v/>
      </c>
      <c r="V91">
        <f>HYPERLINK("https://klasma.github.io/Logging_0680/klagomål/A 16652-2020 FSC-klagomål.docx", "A 16652-2020")</f>
        <v/>
      </c>
      <c r="W91">
        <f>HYPERLINK("https://klasma.github.io/Logging_0680/klagomålsmail/A 16652-2020 FSC-klagomål mail.docx", "A 16652-2020")</f>
        <v/>
      </c>
      <c r="X91">
        <f>HYPERLINK("https://klasma.github.io/Logging_0680/tillsyn/A 16652-2020 tillsynsbegäran.docx", "A 16652-2020")</f>
        <v/>
      </c>
      <c r="Y91">
        <f>HYPERLINK("https://klasma.github.io/Logging_0680/tillsynsmail/A 16652-2020 tillsynsbegäran mail.docx", "A 16652-2020")</f>
        <v/>
      </c>
    </row>
    <row r="92" ht="15" customHeight="1">
      <c r="A92" t="inlineStr">
        <is>
          <t>A 22662-2020</t>
        </is>
      </c>
      <c r="B92" s="1" t="n">
        <v>43963</v>
      </c>
      <c r="C92" s="1" t="n">
        <v>45225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22662-2020 artfynd.xlsx", "A 22662-2020")</f>
        <v/>
      </c>
      <c r="T92">
        <f>HYPERLINK("https://klasma.github.io/Logging_0684/kartor/A 22662-2020 karta.png", "A 22662-2020")</f>
        <v/>
      </c>
      <c r="V92">
        <f>HYPERLINK("https://klasma.github.io/Logging_0684/klagomål/A 22662-2020 FSC-klagomål.docx", "A 22662-2020")</f>
        <v/>
      </c>
      <c r="W92">
        <f>HYPERLINK("https://klasma.github.io/Logging_0684/klagomålsmail/A 22662-2020 FSC-klagomål mail.docx", "A 22662-2020")</f>
        <v/>
      </c>
      <c r="X92">
        <f>HYPERLINK("https://klasma.github.io/Logging_0684/tillsyn/A 22662-2020 tillsynsbegäran.docx", "A 22662-2020")</f>
        <v/>
      </c>
      <c r="Y92">
        <f>HYPERLINK("https://klasma.github.io/Logging_0684/tillsynsmail/A 22662-2020 tillsynsbegäran mail.docx", "A 22662-2020")</f>
        <v/>
      </c>
    </row>
    <row r="93" ht="15" customHeight="1">
      <c r="A93" t="inlineStr">
        <is>
          <t>A 22660-2020</t>
        </is>
      </c>
      <c r="B93" s="1" t="n">
        <v>43963</v>
      </c>
      <c r="C93" s="1" t="n">
        <v>45225</v>
      </c>
      <c r="D93" t="inlineStr">
        <is>
          <t>JÖNKÖPINGS LÄN</t>
        </is>
      </c>
      <c r="E93" t="inlineStr">
        <is>
          <t>SÄVSJÖ</t>
        </is>
      </c>
      <c r="G93" t="n">
        <v>2.4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1</v>
      </c>
      <c r="O93" t="n">
        <v>1</v>
      </c>
      <c r="P93" t="n">
        <v>0</v>
      </c>
      <c r="Q93" t="n">
        <v>2</v>
      </c>
      <c r="R93" s="2" t="inlineStr">
        <is>
          <t>Pimpinellros
Murgröna</t>
        </is>
      </c>
      <c r="S93">
        <f>HYPERLINK("https://klasma.github.io/Logging_0684/artfynd/A 22660-2020 artfynd.xlsx", "A 22660-2020")</f>
        <v/>
      </c>
      <c r="T93">
        <f>HYPERLINK("https://klasma.github.io/Logging_0684/kartor/A 22660-2020 karta.png", "A 22660-2020")</f>
        <v/>
      </c>
      <c r="V93">
        <f>HYPERLINK("https://klasma.github.io/Logging_0684/klagomål/A 22660-2020 FSC-klagomål.docx", "A 22660-2020")</f>
        <v/>
      </c>
      <c r="W93">
        <f>HYPERLINK("https://klasma.github.io/Logging_0684/klagomålsmail/A 22660-2020 FSC-klagomål mail.docx", "A 22660-2020")</f>
        <v/>
      </c>
      <c r="X93">
        <f>HYPERLINK("https://klasma.github.io/Logging_0684/tillsyn/A 22660-2020 tillsynsbegäran.docx", "A 22660-2020")</f>
        <v/>
      </c>
      <c r="Y93">
        <f>HYPERLINK("https://klasma.github.io/Logging_0684/tillsynsmail/A 22660-2020 tillsynsbegäran mail.docx", "A 22660-2020")</f>
        <v/>
      </c>
    </row>
    <row r="94" ht="15" customHeight="1">
      <c r="A94" t="inlineStr">
        <is>
          <t>A 29939-2020</t>
        </is>
      </c>
      <c r="B94" s="1" t="n">
        <v>44006</v>
      </c>
      <c r="C94" s="1" t="n">
        <v>45225</v>
      </c>
      <c r="D94" t="inlineStr">
        <is>
          <t>JÖNKÖPINGS LÄN</t>
        </is>
      </c>
      <c r="E94" t="inlineStr">
        <is>
          <t>VETLANDA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Backstarr
Sandviol</t>
        </is>
      </c>
      <c r="S94">
        <f>HYPERLINK("https://klasma.github.io/Logging_0685/artfynd/A 29939-2020 artfynd.xlsx", "A 29939-2020")</f>
        <v/>
      </c>
      <c r="T94">
        <f>HYPERLINK("https://klasma.github.io/Logging_0685/kartor/A 29939-2020 karta.png", "A 29939-2020")</f>
        <v/>
      </c>
      <c r="V94">
        <f>HYPERLINK("https://klasma.github.io/Logging_0685/klagomål/A 29939-2020 FSC-klagomål.docx", "A 29939-2020")</f>
        <v/>
      </c>
      <c r="W94">
        <f>HYPERLINK("https://klasma.github.io/Logging_0685/klagomålsmail/A 29939-2020 FSC-klagomål mail.docx", "A 29939-2020")</f>
        <v/>
      </c>
      <c r="X94">
        <f>HYPERLINK("https://klasma.github.io/Logging_0685/tillsyn/A 29939-2020 tillsynsbegäran.docx", "A 29939-2020")</f>
        <v/>
      </c>
      <c r="Y94">
        <f>HYPERLINK("https://klasma.github.io/Logging_0685/tillsynsmail/A 29939-2020 tillsynsbegäran mail.docx", "A 29939-2020")</f>
        <v/>
      </c>
    </row>
    <row r="95" ht="15" customHeight="1">
      <c r="A95" t="inlineStr">
        <is>
          <t>A 36233-2020</t>
        </is>
      </c>
      <c r="B95" s="1" t="n">
        <v>44049</v>
      </c>
      <c r="C95" s="1" t="n">
        <v>45225</v>
      </c>
      <c r="D95" t="inlineStr">
        <is>
          <t>JÖNKÖPINGS LÄN</t>
        </is>
      </c>
      <c r="E95" t="inlineStr">
        <is>
          <t>VETLANDA</t>
        </is>
      </c>
      <c r="G95" t="n">
        <v>1</v>
      </c>
      <c r="H95" t="n">
        <v>0</v>
      </c>
      <c r="I95" t="n">
        <v>0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2</v>
      </c>
      <c r="R95" s="2" t="inlineStr">
        <is>
          <t>Åkerrättika
Klofibbla</t>
        </is>
      </c>
      <c r="S95">
        <f>HYPERLINK("https://klasma.github.io/Logging_0685/artfynd/A 36233-2020 artfynd.xlsx", "A 36233-2020")</f>
        <v/>
      </c>
      <c r="T95">
        <f>HYPERLINK("https://klasma.github.io/Logging_0685/kartor/A 36233-2020 karta.png", "A 36233-2020")</f>
        <v/>
      </c>
      <c r="V95">
        <f>HYPERLINK("https://klasma.github.io/Logging_0685/klagomål/A 36233-2020 FSC-klagomål.docx", "A 36233-2020")</f>
        <v/>
      </c>
      <c r="W95">
        <f>HYPERLINK("https://klasma.github.io/Logging_0685/klagomålsmail/A 36233-2020 FSC-klagomål mail.docx", "A 36233-2020")</f>
        <v/>
      </c>
      <c r="X95">
        <f>HYPERLINK("https://klasma.github.io/Logging_0685/tillsyn/A 36233-2020 tillsynsbegäran.docx", "A 36233-2020")</f>
        <v/>
      </c>
      <c r="Y95">
        <f>HYPERLINK("https://klasma.github.io/Logging_0685/tillsynsmail/A 36233-2020 tillsynsbegäran mail.docx", "A 36233-2020")</f>
        <v/>
      </c>
    </row>
    <row r="96" ht="15" customHeight="1">
      <c r="A96" t="inlineStr">
        <is>
          <t>A 46397-2020</t>
        </is>
      </c>
      <c r="B96" s="1" t="n">
        <v>44094</v>
      </c>
      <c r="C96" s="1" t="n">
        <v>45225</v>
      </c>
      <c r="D96" t="inlineStr">
        <is>
          <t>JÖNKÖPINGS LÄN</t>
        </is>
      </c>
      <c r="E96" t="inlineStr">
        <is>
          <t>JÖNKÖPING</t>
        </is>
      </c>
      <c r="G96" t="n">
        <v>6.5</v>
      </c>
      <c r="H96" t="n">
        <v>0</v>
      </c>
      <c r="I96" t="n">
        <v>1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Sommarfibbla
Spindelbock</t>
        </is>
      </c>
      <c r="S96">
        <f>HYPERLINK("https://klasma.github.io/Logging_0680/artfynd/A 46397-2020 artfynd.xlsx", "A 46397-2020")</f>
        <v/>
      </c>
      <c r="T96">
        <f>HYPERLINK("https://klasma.github.io/Logging_0680/kartor/A 46397-2020 karta.png", "A 46397-2020")</f>
        <v/>
      </c>
      <c r="V96">
        <f>HYPERLINK("https://klasma.github.io/Logging_0680/klagomål/A 46397-2020 FSC-klagomål.docx", "A 46397-2020")</f>
        <v/>
      </c>
      <c r="W96">
        <f>HYPERLINK("https://klasma.github.io/Logging_0680/klagomålsmail/A 46397-2020 FSC-klagomål mail.docx", "A 46397-2020")</f>
        <v/>
      </c>
      <c r="X96">
        <f>HYPERLINK("https://klasma.github.io/Logging_0680/tillsyn/A 46397-2020 tillsynsbegäran.docx", "A 46397-2020")</f>
        <v/>
      </c>
      <c r="Y96">
        <f>HYPERLINK("https://klasma.github.io/Logging_0680/tillsynsmail/A 46397-2020 tillsynsbegäran mail.docx", "A 46397-2020")</f>
        <v/>
      </c>
    </row>
    <row r="97" ht="15" customHeight="1">
      <c r="A97" t="inlineStr">
        <is>
          <t>A 59687-2020</t>
        </is>
      </c>
      <c r="B97" s="1" t="n">
        <v>44151</v>
      </c>
      <c r="C97" s="1" t="n">
        <v>45225</v>
      </c>
      <c r="D97" t="inlineStr">
        <is>
          <t>JÖNKÖPINGS LÄN</t>
        </is>
      </c>
      <c r="E97" t="inlineStr">
        <is>
          <t>JÖNKÖPING</t>
        </is>
      </c>
      <c r="G97" t="n">
        <v>4.6</v>
      </c>
      <c r="H97" t="n">
        <v>2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Korallrot
Spindelblomster</t>
        </is>
      </c>
      <c r="S97">
        <f>HYPERLINK("https://klasma.github.io/Logging_0680/artfynd/A 59687-2020 artfynd.xlsx", "A 59687-2020")</f>
        <v/>
      </c>
      <c r="T97">
        <f>HYPERLINK("https://klasma.github.io/Logging_0680/kartor/A 59687-2020 karta.png", "A 59687-2020")</f>
        <v/>
      </c>
      <c r="V97">
        <f>HYPERLINK("https://klasma.github.io/Logging_0680/klagomål/A 59687-2020 FSC-klagomål.docx", "A 59687-2020")</f>
        <v/>
      </c>
      <c r="W97">
        <f>HYPERLINK("https://klasma.github.io/Logging_0680/klagomålsmail/A 59687-2020 FSC-klagomål mail.docx", "A 59687-2020")</f>
        <v/>
      </c>
      <c r="X97">
        <f>HYPERLINK("https://klasma.github.io/Logging_0680/tillsyn/A 59687-2020 tillsynsbegäran.docx", "A 59687-2020")</f>
        <v/>
      </c>
      <c r="Y97">
        <f>HYPERLINK("https://klasma.github.io/Logging_0680/tillsynsmail/A 59687-2020 tillsynsbegäran mail.docx", "A 59687-2020")</f>
        <v/>
      </c>
    </row>
    <row r="98" ht="15" customHeight="1">
      <c r="A98" t="inlineStr">
        <is>
          <t>A 59975-2020</t>
        </is>
      </c>
      <c r="B98" s="1" t="n">
        <v>44151</v>
      </c>
      <c r="C98" s="1" t="n">
        <v>45225</v>
      </c>
      <c r="D98" t="inlineStr">
        <is>
          <t>JÖNKÖPINGS LÄN</t>
        </is>
      </c>
      <c r="E98" t="inlineStr">
        <is>
          <t>ANEBY</t>
        </is>
      </c>
      <c r="F98" t="inlineStr">
        <is>
          <t>Kyrkan</t>
        </is>
      </c>
      <c r="G98" t="n">
        <v>2</v>
      </c>
      <c r="H98" t="n">
        <v>2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Revlummer</t>
        </is>
      </c>
      <c r="S98">
        <f>HYPERLINK("https://klasma.github.io/Logging_0604/artfynd/A 59975-2020 artfynd.xlsx", "A 59975-2020")</f>
        <v/>
      </c>
      <c r="T98">
        <f>HYPERLINK("https://klasma.github.io/Logging_0604/kartor/A 59975-2020 karta.png", "A 59975-2020")</f>
        <v/>
      </c>
      <c r="U98">
        <f>HYPERLINK("https://klasma.github.io/Logging_0604/knärot/A 59975-2020 karta knärot.png", "A 59975-2020")</f>
        <v/>
      </c>
      <c r="V98">
        <f>HYPERLINK("https://klasma.github.io/Logging_0604/klagomål/A 59975-2020 FSC-klagomål.docx", "A 59975-2020")</f>
        <v/>
      </c>
      <c r="W98">
        <f>HYPERLINK("https://klasma.github.io/Logging_0604/klagomålsmail/A 59975-2020 FSC-klagomål mail.docx", "A 59975-2020")</f>
        <v/>
      </c>
      <c r="X98">
        <f>HYPERLINK("https://klasma.github.io/Logging_0604/tillsyn/A 59975-2020 tillsynsbegäran.docx", "A 59975-2020")</f>
        <v/>
      </c>
      <c r="Y98">
        <f>HYPERLINK("https://klasma.github.io/Logging_0604/tillsynsmail/A 59975-2020 tillsynsbegäran mail.docx", "A 59975-2020")</f>
        <v/>
      </c>
    </row>
    <row r="99" ht="15" customHeight="1">
      <c r="A99" t="inlineStr">
        <is>
          <t>A 66627-2020</t>
        </is>
      </c>
      <c r="B99" s="1" t="n">
        <v>44179</v>
      </c>
      <c r="C99" s="1" t="n">
        <v>45225</v>
      </c>
      <c r="D99" t="inlineStr">
        <is>
          <t>JÖNKÖPINGS LÄN</t>
        </is>
      </c>
      <c r="E99" t="inlineStr">
        <is>
          <t>NÄSSJÖ</t>
        </is>
      </c>
      <c r="G99" t="n">
        <v>1.2</v>
      </c>
      <c r="H99" t="n">
        <v>1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2</v>
      </c>
      <c r="R99" s="2" t="inlineStr">
        <is>
          <t>Knärot
Granbarkgnagare</t>
        </is>
      </c>
      <c r="S99">
        <f>HYPERLINK("https://klasma.github.io/Logging_0682/artfynd/A 66627-2020 artfynd.xlsx", "A 66627-2020")</f>
        <v/>
      </c>
      <c r="T99">
        <f>HYPERLINK("https://klasma.github.io/Logging_0682/kartor/A 66627-2020 karta.png", "A 66627-2020")</f>
        <v/>
      </c>
      <c r="U99">
        <f>HYPERLINK("https://klasma.github.io/Logging_0682/knärot/A 66627-2020 karta knärot.png", "A 66627-2020")</f>
        <v/>
      </c>
      <c r="V99">
        <f>HYPERLINK("https://klasma.github.io/Logging_0682/klagomål/A 66627-2020 FSC-klagomål.docx", "A 66627-2020")</f>
        <v/>
      </c>
      <c r="W99">
        <f>HYPERLINK("https://klasma.github.io/Logging_0682/klagomålsmail/A 66627-2020 FSC-klagomål mail.docx", "A 66627-2020")</f>
        <v/>
      </c>
      <c r="X99">
        <f>HYPERLINK("https://klasma.github.io/Logging_0682/tillsyn/A 66627-2020 tillsynsbegäran.docx", "A 66627-2020")</f>
        <v/>
      </c>
      <c r="Y99">
        <f>HYPERLINK("https://klasma.github.io/Logging_0682/tillsynsmail/A 66627-2020 tillsynsbegäran mail.docx", "A 66627-2020")</f>
        <v/>
      </c>
    </row>
    <row r="100" ht="15" customHeight="1">
      <c r="A100" t="inlineStr">
        <is>
          <t>A 882-2021</t>
        </is>
      </c>
      <c r="B100" s="1" t="n">
        <v>44205</v>
      </c>
      <c r="C100" s="1" t="n">
        <v>45225</v>
      </c>
      <c r="D100" t="inlineStr">
        <is>
          <t>JÖNKÖPINGS LÄN</t>
        </is>
      </c>
      <c r="E100" t="inlineStr">
        <is>
          <t>VETLANDA</t>
        </is>
      </c>
      <c r="G100" t="n">
        <v>2.9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Sommarfibbla
Svinrot</t>
        </is>
      </c>
      <c r="S100">
        <f>HYPERLINK("https://klasma.github.io/Logging_0685/artfynd/A 882-2021 artfynd.xlsx", "A 882-2021")</f>
        <v/>
      </c>
      <c r="T100">
        <f>HYPERLINK("https://klasma.github.io/Logging_0685/kartor/A 882-2021 karta.png", "A 882-2021")</f>
        <v/>
      </c>
      <c r="V100">
        <f>HYPERLINK("https://klasma.github.io/Logging_0685/klagomål/A 882-2021 FSC-klagomål.docx", "A 882-2021")</f>
        <v/>
      </c>
      <c r="W100">
        <f>HYPERLINK("https://klasma.github.io/Logging_0685/klagomålsmail/A 882-2021 FSC-klagomål mail.docx", "A 882-2021")</f>
        <v/>
      </c>
      <c r="X100">
        <f>HYPERLINK("https://klasma.github.io/Logging_0685/tillsyn/A 882-2021 tillsynsbegäran.docx", "A 882-2021")</f>
        <v/>
      </c>
      <c r="Y100">
        <f>HYPERLINK("https://klasma.github.io/Logging_0685/tillsynsmail/A 882-2021 tillsynsbegäran mail.docx", "A 882-2021")</f>
        <v/>
      </c>
    </row>
    <row r="101" ht="15" customHeight="1">
      <c r="A101" t="inlineStr">
        <is>
          <t>A 10009-2021</t>
        </is>
      </c>
      <c r="B101" s="1" t="n">
        <v>44255</v>
      </c>
      <c r="C101" s="1" t="n">
        <v>45225</v>
      </c>
      <c r="D101" t="inlineStr">
        <is>
          <t>JÖNKÖPINGS LÄN</t>
        </is>
      </c>
      <c r="E101" t="inlineStr">
        <is>
          <t>VETLANDA</t>
        </is>
      </c>
      <c r="G101" t="n">
        <v>6.1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Blomkålssvamp
Blåsippa</t>
        </is>
      </c>
      <c r="S101">
        <f>HYPERLINK("https://klasma.github.io/Logging_0685/artfynd/A 10009-2021 artfynd.xlsx", "A 10009-2021")</f>
        <v/>
      </c>
      <c r="T101">
        <f>HYPERLINK("https://klasma.github.io/Logging_0685/kartor/A 10009-2021 karta.png", "A 10009-2021")</f>
        <v/>
      </c>
      <c r="V101">
        <f>HYPERLINK("https://klasma.github.io/Logging_0685/klagomål/A 10009-2021 FSC-klagomål.docx", "A 10009-2021")</f>
        <v/>
      </c>
      <c r="W101">
        <f>HYPERLINK("https://klasma.github.io/Logging_0685/klagomålsmail/A 10009-2021 FSC-klagomål mail.docx", "A 10009-2021")</f>
        <v/>
      </c>
      <c r="X101">
        <f>HYPERLINK("https://klasma.github.io/Logging_0685/tillsyn/A 10009-2021 tillsynsbegäran.docx", "A 10009-2021")</f>
        <v/>
      </c>
      <c r="Y101">
        <f>HYPERLINK("https://klasma.github.io/Logging_0685/tillsynsmail/A 10009-2021 tillsynsbegäran mail.docx", "A 10009-2021")</f>
        <v/>
      </c>
    </row>
    <row r="102" ht="15" customHeight="1">
      <c r="A102" t="inlineStr">
        <is>
          <t>A 45507-2021</t>
        </is>
      </c>
      <c r="B102" s="1" t="n">
        <v>44440</v>
      </c>
      <c r="C102" s="1" t="n">
        <v>45225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Bredbrämad bastardsvärmare
Mindre bastardsvärmare</t>
        </is>
      </c>
      <c r="S102">
        <f>HYPERLINK("https://klasma.github.io/Logging_0685/artfynd/A 45507-2021 artfynd.xlsx", "A 45507-2021")</f>
        <v/>
      </c>
      <c r="T102">
        <f>HYPERLINK("https://klasma.github.io/Logging_0685/kartor/A 45507-2021 karta.png", "A 45507-2021")</f>
        <v/>
      </c>
      <c r="V102">
        <f>HYPERLINK("https://klasma.github.io/Logging_0685/klagomål/A 45507-2021 FSC-klagomål.docx", "A 45507-2021")</f>
        <v/>
      </c>
      <c r="W102">
        <f>HYPERLINK("https://klasma.github.io/Logging_0685/klagomålsmail/A 45507-2021 FSC-klagomål mail.docx", "A 45507-2021")</f>
        <v/>
      </c>
      <c r="X102">
        <f>HYPERLINK("https://klasma.github.io/Logging_0685/tillsyn/A 45507-2021 tillsynsbegäran.docx", "A 45507-2021")</f>
        <v/>
      </c>
      <c r="Y102">
        <f>HYPERLINK("https://klasma.github.io/Logging_0685/tillsynsmail/A 45507-2021 tillsynsbegäran mail.docx", "A 45507-2021")</f>
        <v/>
      </c>
    </row>
    <row r="103" ht="15" customHeight="1">
      <c r="A103" t="inlineStr">
        <is>
          <t>A 72729-2021</t>
        </is>
      </c>
      <c r="B103" s="1" t="n">
        <v>44546</v>
      </c>
      <c r="C103" s="1" t="n">
        <v>45225</v>
      </c>
      <c r="D103" t="inlineStr">
        <is>
          <t>JÖNKÖPINGS LÄN</t>
        </is>
      </c>
      <c r="E103" t="inlineStr">
        <is>
          <t>VÄRNAMO</t>
        </is>
      </c>
      <c r="G103" t="n">
        <v>9.699999999999999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Blåmossa
Vanlig groda</t>
        </is>
      </c>
      <c r="S103">
        <f>HYPERLINK("https://klasma.github.io/Logging_0683/artfynd/A 72729-2021 artfynd.xlsx", "A 72729-2021")</f>
        <v/>
      </c>
      <c r="T103">
        <f>HYPERLINK("https://klasma.github.io/Logging_0683/kartor/A 72729-2021 karta.png", "A 72729-2021")</f>
        <v/>
      </c>
      <c r="V103">
        <f>HYPERLINK("https://klasma.github.io/Logging_0683/klagomål/A 72729-2021 FSC-klagomål.docx", "A 72729-2021")</f>
        <v/>
      </c>
      <c r="W103">
        <f>HYPERLINK("https://klasma.github.io/Logging_0683/klagomålsmail/A 72729-2021 FSC-klagomål mail.docx", "A 72729-2021")</f>
        <v/>
      </c>
      <c r="X103">
        <f>HYPERLINK("https://klasma.github.io/Logging_0683/tillsyn/A 72729-2021 tillsynsbegäran.docx", "A 72729-2021")</f>
        <v/>
      </c>
      <c r="Y103">
        <f>HYPERLINK("https://klasma.github.io/Logging_0683/tillsynsmail/A 72729-2021 tillsynsbegäran mail.docx", "A 72729-2021")</f>
        <v/>
      </c>
    </row>
    <row r="104" ht="15" customHeight="1">
      <c r="A104" t="inlineStr">
        <is>
          <t>A 73375-2021</t>
        </is>
      </c>
      <c r="B104" s="1" t="n">
        <v>44550</v>
      </c>
      <c r="C104" s="1" t="n">
        <v>45225</v>
      </c>
      <c r="D104" t="inlineStr">
        <is>
          <t>JÖNKÖPINGS LÄN</t>
        </is>
      </c>
      <c r="E104" t="inlineStr">
        <is>
          <t>VETLANDA</t>
        </is>
      </c>
      <c r="G104" t="n">
        <v>7.4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Järpe
Blåsippa</t>
        </is>
      </c>
      <c r="S104">
        <f>HYPERLINK("https://klasma.github.io/Logging_0685/artfynd/A 73375-2021 artfynd.xlsx", "A 73375-2021")</f>
        <v/>
      </c>
      <c r="T104">
        <f>HYPERLINK("https://klasma.github.io/Logging_0685/kartor/A 73375-2021 karta.png", "A 73375-2021")</f>
        <v/>
      </c>
      <c r="V104">
        <f>HYPERLINK("https://klasma.github.io/Logging_0685/klagomål/A 73375-2021 FSC-klagomål.docx", "A 73375-2021")</f>
        <v/>
      </c>
      <c r="W104">
        <f>HYPERLINK("https://klasma.github.io/Logging_0685/klagomålsmail/A 73375-2021 FSC-klagomål mail.docx", "A 73375-2021")</f>
        <v/>
      </c>
      <c r="X104">
        <f>HYPERLINK("https://klasma.github.io/Logging_0685/tillsyn/A 73375-2021 tillsynsbegäran.docx", "A 73375-2021")</f>
        <v/>
      </c>
      <c r="Y104">
        <f>HYPERLINK("https://klasma.github.io/Logging_0685/tillsynsmail/A 73375-2021 tillsynsbegäran mail.docx", "A 73375-2021")</f>
        <v/>
      </c>
    </row>
    <row r="105" ht="15" customHeight="1">
      <c r="A105" t="inlineStr">
        <is>
          <t>A 7078-2022</t>
        </is>
      </c>
      <c r="B105" s="1" t="n">
        <v>44603</v>
      </c>
      <c r="C105" s="1" t="n">
        <v>45225</v>
      </c>
      <c r="D105" t="inlineStr">
        <is>
          <t>JÖNKÖPINGS LÄN</t>
        </is>
      </c>
      <c r="E105" t="inlineStr">
        <is>
          <t>VETLANDA</t>
        </is>
      </c>
      <c r="G105" t="n">
        <v>2.4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Narrklibbfibbla
Fjällig taggsvamp s.str.</t>
        </is>
      </c>
      <c r="S105">
        <f>HYPERLINK("https://klasma.github.io/Logging_0685/artfynd/A 7078-2022 artfynd.xlsx", "A 7078-2022")</f>
        <v/>
      </c>
      <c r="T105">
        <f>HYPERLINK("https://klasma.github.io/Logging_0685/kartor/A 7078-2022 karta.png", "A 7078-2022")</f>
        <v/>
      </c>
      <c r="V105">
        <f>HYPERLINK("https://klasma.github.io/Logging_0685/klagomål/A 7078-2022 FSC-klagomål.docx", "A 7078-2022")</f>
        <v/>
      </c>
      <c r="W105">
        <f>HYPERLINK("https://klasma.github.io/Logging_0685/klagomålsmail/A 7078-2022 FSC-klagomål mail.docx", "A 7078-2022")</f>
        <v/>
      </c>
      <c r="X105">
        <f>HYPERLINK("https://klasma.github.io/Logging_0685/tillsyn/A 7078-2022 tillsynsbegäran.docx", "A 7078-2022")</f>
        <v/>
      </c>
      <c r="Y105">
        <f>HYPERLINK("https://klasma.github.io/Logging_0685/tillsynsmail/A 7078-2022 tillsynsbegäran mail.docx", "A 7078-2022")</f>
        <v/>
      </c>
    </row>
    <row r="106" ht="15" customHeight="1">
      <c r="A106" t="inlineStr">
        <is>
          <t>A 17130-2022</t>
        </is>
      </c>
      <c r="B106" s="1" t="n">
        <v>44677</v>
      </c>
      <c r="C106" s="1" t="n">
        <v>45225</v>
      </c>
      <c r="D106" t="inlineStr">
        <is>
          <t>JÖNKÖPINGS LÄN</t>
        </is>
      </c>
      <c r="E106" t="inlineStr">
        <is>
          <t>ANEBY</t>
        </is>
      </c>
      <c r="G106" t="n">
        <v>4.2</v>
      </c>
      <c r="H106" t="n">
        <v>2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Korallrot
Spindelblomster</t>
        </is>
      </c>
      <c r="S106">
        <f>HYPERLINK("https://klasma.github.io/Logging_0604/artfynd/A 17130-2022 artfynd.xlsx", "A 17130-2022")</f>
        <v/>
      </c>
      <c r="T106">
        <f>HYPERLINK("https://klasma.github.io/Logging_0604/kartor/A 17130-2022 karta.png", "A 17130-2022")</f>
        <v/>
      </c>
      <c r="V106">
        <f>HYPERLINK("https://klasma.github.io/Logging_0604/klagomål/A 17130-2022 FSC-klagomål.docx", "A 17130-2022")</f>
        <v/>
      </c>
      <c r="W106">
        <f>HYPERLINK("https://klasma.github.io/Logging_0604/klagomålsmail/A 17130-2022 FSC-klagomål mail.docx", "A 17130-2022")</f>
        <v/>
      </c>
      <c r="X106">
        <f>HYPERLINK("https://klasma.github.io/Logging_0604/tillsyn/A 17130-2022 tillsynsbegäran.docx", "A 17130-2022")</f>
        <v/>
      </c>
      <c r="Y106">
        <f>HYPERLINK("https://klasma.github.io/Logging_0604/tillsynsmail/A 17130-2022 tillsynsbegäran mail.docx", "A 17130-2022")</f>
        <v/>
      </c>
    </row>
    <row r="107" ht="15" customHeight="1">
      <c r="A107" t="inlineStr">
        <is>
          <t>A 22369-2022</t>
        </is>
      </c>
      <c r="B107" s="1" t="n">
        <v>44713</v>
      </c>
      <c r="C107" s="1" t="n">
        <v>45225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30</v>
      </c>
      <c r="H107" t="n">
        <v>2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Entita
Mattlummer</t>
        </is>
      </c>
      <c r="S107">
        <f>HYPERLINK("https://klasma.github.io/Logging_0665/artfynd/A 22369-2022 artfynd.xlsx", "A 22369-2022")</f>
        <v/>
      </c>
      <c r="T107">
        <f>HYPERLINK("https://klasma.github.io/Logging_0665/kartor/A 22369-2022 karta.png", "A 22369-2022")</f>
        <v/>
      </c>
      <c r="V107">
        <f>HYPERLINK("https://klasma.github.io/Logging_0665/klagomål/A 22369-2022 FSC-klagomål.docx", "A 22369-2022")</f>
        <v/>
      </c>
      <c r="W107">
        <f>HYPERLINK("https://klasma.github.io/Logging_0665/klagomålsmail/A 22369-2022 FSC-klagomål mail.docx", "A 22369-2022")</f>
        <v/>
      </c>
      <c r="X107">
        <f>HYPERLINK("https://klasma.github.io/Logging_0665/tillsyn/A 22369-2022 tillsynsbegäran.docx", "A 22369-2022")</f>
        <v/>
      </c>
      <c r="Y107">
        <f>HYPERLINK("https://klasma.github.io/Logging_0665/tillsynsmail/A 22369-2022 tillsynsbegäran mail.docx", "A 22369-2022")</f>
        <v/>
      </c>
    </row>
    <row r="108" ht="15" customHeight="1">
      <c r="A108" t="inlineStr">
        <is>
          <t>A 28842-2022</t>
        </is>
      </c>
      <c r="B108" s="1" t="n">
        <v>44749</v>
      </c>
      <c r="C108" s="1" t="n">
        <v>45225</v>
      </c>
      <c r="D108" t="inlineStr">
        <is>
          <t>JÖNKÖPINGS LÄN</t>
        </is>
      </c>
      <c r="E108" t="inlineStr">
        <is>
          <t>HABO</t>
        </is>
      </c>
      <c r="G108" t="n">
        <v>3.7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Skrovlig taggsvamp
Blomkålssvamp</t>
        </is>
      </c>
      <c r="S108">
        <f>HYPERLINK("https://klasma.github.io/Logging_0643/artfynd/A 28842-2022 artfynd.xlsx", "A 28842-2022")</f>
        <v/>
      </c>
      <c r="T108">
        <f>HYPERLINK("https://klasma.github.io/Logging_0643/kartor/A 28842-2022 karta.png", "A 28842-2022")</f>
        <v/>
      </c>
      <c r="V108">
        <f>HYPERLINK("https://klasma.github.io/Logging_0643/klagomål/A 28842-2022 FSC-klagomål.docx", "A 28842-2022")</f>
        <v/>
      </c>
      <c r="W108">
        <f>HYPERLINK("https://klasma.github.io/Logging_0643/klagomålsmail/A 28842-2022 FSC-klagomål mail.docx", "A 28842-2022")</f>
        <v/>
      </c>
      <c r="X108">
        <f>HYPERLINK("https://klasma.github.io/Logging_0643/tillsyn/A 28842-2022 tillsynsbegäran.docx", "A 28842-2022")</f>
        <v/>
      </c>
      <c r="Y108">
        <f>HYPERLINK("https://klasma.github.io/Logging_0643/tillsynsmail/A 28842-2022 tillsynsbegäran mail.docx", "A 28842-2022")</f>
        <v/>
      </c>
    </row>
    <row r="109" ht="15" customHeight="1">
      <c r="A109" t="inlineStr">
        <is>
          <t>A 28847-2022</t>
        </is>
      </c>
      <c r="B109" s="1" t="n">
        <v>44749</v>
      </c>
      <c r="C109" s="1" t="n">
        <v>45225</v>
      </c>
      <c r="D109" t="inlineStr">
        <is>
          <t>JÖNKÖPINGS LÄN</t>
        </is>
      </c>
      <c r="E109" t="inlineStr">
        <is>
          <t>HABO</t>
        </is>
      </c>
      <c r="G109" t="n">
        <v>8</v>
      </c>
      <c r="H109" t="n">
        <v>0</v>
      </c>
      <c r="I109" t="n">
        <v>1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Motaggsvamp
Zontaggsvamp</t>
        </is>
      </c>
      <c r="S109">
        <f>HYPERLINK("https://klasma.github.io/Logging_0643/artfynd/A 28847-2022 artfynd.xlsx", "A 28847-2022")</f>
        <v/>
      </c>
      <c r="T109">
        <f>HYPERLINK("https://klasma.github.io/Logging_0643/kartor/A 28847-2022 karta.png", "A 28847-2022")</f>
        <v/>
      </c>
      <c r="V109">
        <f>HYPERLINK("https://klasma.github.io/Logging_0643/klagomål/A 28847-2022 FSC-klagomål.docx", "A 28847-2022")</f>
        <v/>
      </c>
      <c r="W109">
        <f>HYPERLINK("https://klasma.github.io/Logging_0643/klagomålsmail/A 28847-2022 FSC-klagomål mail.docx", "A 28847-2022")</f>
        <v/>
      </c>
      <c r="X109">
        <f>HYPERLINK("https://klasma.github.io/Logging_0643/tillsyn/A 28847-2022 tillsynsbegäran.docx", "A 28847-2022")</f>
        <v/>
      </c>
      <c r="Y109">
        <f>HYPERLINK("https://klasma.github.io/Logging_0643/tillsynsmail/A 28847-2022 tillsynsbegäran mail.docx", "A 28847-2022")</f>
        <v/>
      </c>
    </row>
    <row r="110" ht="15" customHeight="1">
      <c r="A110" t="inlineStr">
        <is>
          <t>A 45525-2022</t>
        </is>
      </c>
      <c r="B110" s="1" t="n">
        <v>44841</v>
      </c>
      <c r="C110" s="1" t="n">
        <v>45225</v>
      </c>
      <c r="D110" t="inlineStr">
        <is>
          <t>JÖNKÖPINGS LÄN</t>
        </is>
      </c>
      <c r="E110" t="inlineStr">
        <is>
          <t>VÄRNAMO</t>
        </is>
      </c>
      <c r="G110" t="n">
        <v>15.2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Hasselticka
Svart trolldruva</t>
        </is>
      </c>
      <c r="S110">
        <f>HYPERLINK("https://klasma.github.io/Logging_0683/artfynd/A 45525-2022 artfynd.xlsx", "A 45525-2022")</f>
        <v/>
      </c>
      <c r="T110">
        <f>HYPERLINK("https://klasma.github.io/Logging_0683/kartor/A 45525-2022 karta.png", "A 45525-2022")</f>
        <v/>
      </c>
      <c r="V110">
        <f>HYPERLINK("https://klasma.github.io/Logging_0683/klagomål/A 45525-2022 FSC-klagomål.docx", "A 45525-2022")</f>
        <v/>
      </c>
      <c r="W110">
        <f>HYPERLINK("https://klasma.github.io/Logging_0683/klagomålsmail/A 45525-2022 FSC-klagomål mail.docx", "A 45525-2022")</f>
        <v/>
      </c>
      <c r="X110">
        <f>HYPERLINK("https://klasma.github.io/Logging_0683/tillsyn/A 45525-2022 tillsynsbegäran.docx", "A 45525-2022")</f>
        <v/>
      </c>
      <c r="Y110">
        <f>HYPERLINK("https://klasma.github.io/Logging_0683/tillsynsmail/A 45525-2022 tillsynsbegäran mail.docx", "A 45525-2022")</f>
        <v/>
      </c>
    </row>
    <row r="111" ht="15" customHeight="1">
      <c r="A111" t="inlineStr">
        <is>
          <t>A 46272-2022</t>
        </is>
      </c>
      <c r="B111" s="1" t="n">
        <v>44847</v>
      </c>
      <c r="C111" s="1" t="n">
        <v>45225</v>
      </c>
      <c r="D111" t="inlineStr">
        <is>
          <t>JÖNKÖPINGS LÄN</t>
        </is>
      </c>
      <c r="E111" t="inlineStr">
        <is>
          <t>SÄVSJÖ</t>
        </is>
      </c>
      <c r="G111" t="n">
        <v>6</v>
      </c>
      <c r="H111" t="n">
        <v>1</v>
      </c>
      <c r="I111" t="n">
        <v>0</v>
      </c>
      <c r="J111" t="n">
        <v>0</v>
      </c>
      <c r="K111" t="n">
        <v>1</v>
      </c>
      <c r="L111" t="n">
        <v>1</v>
      </c>
      <c r="M111" t="n">
        <v>0</v>
      </c>
      <c r="N111" t="n">
        <v>0</v>
      </c>
      <c r="O111" t="n">
        <v>2</v>
      </c>
      <c r="P111" t="n">
        <v>2</v>
      </c>
      <c r="Q111" t="n">
        <v>2</v>
      </c>
      <c r="R111" s="2" t="inlineStr">
        <is>
          <t>Mosippa
Slåttergubbe</t>
        </is>
      </c>
      <c r="S111">
        <f>HYPERLINK("https://klasma.github.io/Logging_0684/artfynd/A 46272-2022 artfynd.xlsx", "A 46272-2022")</f>
        <v/>
      </c>
      <c r="T111">
        <f>HYPERLINK("https://klasma.github.io/Logging_0684/kartor/A 46272-2022 karta.png", "A 46272-2022")</f>
        <v/>
      </c>
      <c r="V111">
        <f>HYPERLINK("https://klasma.github.io/Logging_0684/klagomål/A 46272-2022 FSC-klagomål.docx", "A 46272-2022")</f>
        <v/>
      </c>
      <c r="W111">
        <f>HYPERLINK("https://klasma.github.io/Logging_0684/klagomålsmail/A 46272-2022 FSC-klagomål mail.docx", "A 46272-2022")</f>
        <v/>
      </c>
      <c r="X111">
        <f>HYPERLINK("https://klasma.github.io/Logging_0684/tillsyn/A 46272-2022 tillsynsbegäran.docx", "A 46272-2022")</f>
        <v/>
      </c>
      <c r="Y111">
        <f>HYPERLINK("https://klasma.github.io/Logging_0684/tillsynsmail/A 46272-2022 tillsynsbegäran mail.docx", "A 46272-2022")</f>
        <v/>
      </c>
    </row>
    <row r="112" ht="15" customHeight="1">
      <c r="A112" t="inlineStr">
        <is>
          <t>A 55701-2022</t>
        </is>
      </c>
      <c r="B112" s="1" t="n">
        <v>44888</v>
      </c>
      <c r="C112" s="1" t="n">
        <v>45225</v>
      </c>
      <c r="D112" t="inlineStr">
        <is>
          <t>JÖNKÖPINGS LÄN</t>
        </is>
      </c>
      <c r="E112" t="inlineStr">
        <is>
          <t>TRANÅS</t>
        </is>
      </c>
      <c r="G112" t="n">
        <v>1.9</v>
      </c>
      <c r="H112" t="n">
        <v>0</v>
      </c>
      <c r="I112" t="n">
        <v>1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2</v>
      </c>
      <c r="R112" s="2" t="inlineStr">
        <is>
          <t>Storgröe
Hässleklocka</t>
        </is>
      </c>
      <c r="S112">
        <f>HYPERLINK("https://klasma.github.io/Logging_0687/artfynd/A 55701-2022 artfynd.xlsx", "A 55701-2022")</f>
        <v/>
      </c>
      <c r="T112">
        <f>HYPERLINK("https://klasma.github.io/Logging_0687/kartor/A 55701-2022 karta.png", "A 55701-2022")</f>
        <v/>
      </c>
      <c r="V112">
        <f>HYPERLINK("https://klasma.github.io/Logging_0687/klagomål/A 55701-2022 FSC-klagomål.docx", "A 55701-2022")</f>
        <v/>
      </c>
      <c r="W112">
        <f>HYPERLINK("https://klasma.github.io/Logging_0687/klagomålsmail/A 55701-2022 FSC-klagomål mail.docx", "A 55701-2022")</f>
        <v/>
      </c>
      <c r="X112">
        <f>HYPERLINK("https://klasma.github.io/Logging_0687/tillsyn/A 55701-2022 tillsynsbegäran.docx", "A 55701-2022")</f>
        <v/>
      </c>
      <c r="Y112">
        <f>HYPERLINK("https://klasma.github.io/Logging_0687/tillsynsmail/A 55701-2022 tillsynsbegäran mail.docx", "A 55701-2022")</f>
        <v/>
      </c>
    </row>
    <row r="113" ht="15" customHeight="1">
      <c r="A113" t="inlineStr">
        <is>
          <t>A 58101-2022</t>
        </is>
      </c>
      <c r="B113" s="1" t="n">
        <v>44900</v>
      </c>
      <c r="C113" s="1" t="n">
        <v>45225</v>
      </c>
      <c r="D113" t="inlineStr">
        <is>
          <t>JÖNKÖPINGS LÄN</t>
        </is>
      </c>
      <c r="E113" t="inlineStr">
        <is>
          <t>SÄVSJÖ</t>
        </is>
      </c>
      <c r="G113" t="n">
        <v>1.2</v>
      </c>
      <c r="H113" t="n">
        <v>1</v>
      </c>
      <c r="I113" t="n">
        <v>0</v>
      </c>
      <c r="J113" t="n">
        <v>0</v>
      </c>
      <c r="K113" t="n">
        <v>0</v>
      </c>
      <c r="L113" t="n">
        <v>1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Ask
Grönvit nattviol</t>
        </is>
      </c>
      <c r="S113">
        <f>HYPERLINK("https://klasma.github.io/Logging_0684/artfynd/A 58101-2022 artfynd.xlsx", "A 58101-2022")</f>
        <v/>
      </c>
      <c r="T113">
        <f>HYPERLINK("https://klasma.github.io/Logging_0684/kartor/A 58101-2022 karta.png", "A 58101-2022")</f>
        <v/>
      </c>
      <c r="V113">
        <f>HYPERLINK("https://klasma.github.io/Logging_0684/klagomål/A 58101-2022 FSC-klagomål.docx", "A 58101-2022")</f>
        <v/>
      </c>
      <c r="W113">
        <f>HYPERLINK("https://klasma.github.io/Logging_0684/klagomålsmail/A 58101-2022 FSC-klagomål mail.docx", "A 58101-2022")</f>
        <v/>
      </c>
      <c r="X113">
        <f>HYPERLINK("https://klasma.github.io/Logging_0684/tillsyn/A 58101-2022 tillsynsbegäran.docx", "A 58101-2022")</f>
        <v/>
      </c>
      <c r="Y113">
        <f>HYPERLINK("https://klasma.github.io/Logging_0684/tillsynsmail/A 58101-2022 tillsynsbegäran mail.docx", "A 58101-2022")</f>
        <v/>
      </c>
    </row>
    <row r="114" ht="15" customHeight="1">
      <c r="A114" t="inlineStr">
        <is>
          <t>A 59543-2022</t>
        </is>
      </c>
      <c r="B114" s="1" t="n">
        <v>44900</v>
      </c>
      <c r="C114" s="1" t="n">
        <v>45225</v>
      </c>
      <c r="D114" t="inlineStr">
        <is>
          <t>JÖNKÖPINGS LÄN</t>
        </is>
      </c>
      <c r="E114" t="inlineStr">
        <is>
          <t>TRANÅS</t>
        </is>
      </c>
      <c r="G114" t="n">
        <v>2.6</v>
      </c>
      <c r="H114" t="n">
        <v>2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Större vattensalamander
Mindre vattensalamander</t>
        </is>
      </c>
      <c r="S114">
        <f>HYPERLINK("https://klasma.github.io/Logging_0687/artfynd/A 59543-2022 artfynd.xlsx", "A 59543-2022")</f>
        <v/>
      </c>
      <c r="T114">
        <f>HYPERLINK("https://klasma.github.io/Logging_0687/kartor/A 59543-2022 karta.png", "A 59543-2022")</f>
        <v/>
      </c>
      <c r="V114">
        <f>HYPERLINK("https://klasma.github.io/Logging_0687/klagomål/A 59543-2022 FSC-klagomål.docx", "A 59543-2022")</f>
        <v/>
      </c>
      <c r="W114">
        <f>HYPERLINK("https://klasma.github.io/Logging_0687/klagomålsmail/A 59543-2022 FSC-klagomål mail.docx", "A 59543-2022")</f>
        <v/>
      </c>
      <c r="X114">
        <f>HYPERLINK("https://klasma.github.io/Logging_0687/tillsyn/A 59543-2022 tillsynsbegäran.docx", "A 59543-2022")</f>
        <v/>
      </c>
      <c r="Y114">
        <f>HYPERLINK("https://klasma.github.io/Logging_0687/tillsynsmail/A 59543-2022 tillsynsbegäran mail.docx", "A 59543-2022")</f>
        <v/>
      </c>
    </row>
    <row r="115" ht="15" customHeight="1">
      <c r="A115" t="inlineStr">
        <is>
          <t>A 6307-2023</t>
        </is>
      </c>
      <c r="B115" s="1" t="n">
        <v>44965</v>
      </c>
      <c r="C115" s="1" t="n">
        <v>45225</v>
      </c>
      <c r="D115" t="inlineStr">
        <is>
          <t>JÖNKÖPINGS LÄN</t>
        </is>
      </c>
      <c r="E115" t="inlineStr">
        <is>
          <t>TRANÅS</t>
        </is>
      </c>
      <c r="G115" t="n">
        <v>1.4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Liten hornflikmossa
Revlummer</t>
        </is>
      </c>
      <c r="S115">
        <f>HYPERLINK("https://klasma.github.io/Logging_0687/artfynd/A 6307-2023 artfynd.xlsx", "A 6307-2023")</f>
        <v/>
      </c>
      <c r="T115">
        <f>HYPERLINK("https://klasma.github.io/Logging_0687/kartor/A 6307-2023 karta.png", "A 6307-2023")</f>
        <v/>
      </c>
      <c r="V115">
        <f>HYPERLINK("https://klasma.github.io/Logging_0687/klagomål/A 6307-2023 FSC-klagomål.docx", "A 6307-2023")</f>
        <v/>
      </c>
      <c r="W115">
        <f>HYPERLINK("https://klasma.github.io/Logging_0687/klagomålsmail/A 6307-2023 FSC-klagomål mail.docx", "A 6307-2023")</f>
        <v/>
      </c>
      <c r="X115">
        <f>HYPERLINK("https://klasma.github.io/Logging_0687/tillsyn/A 6307-2023 tillsynsbegäran.docx", "A 6307-2023")</f>
        <v/>
      </c>
      <c r="Y115">
        <f>HYPERLINK("https://klasma.github.io/Logging_0687/tillsynsmail/A 6307-2023 tillsynsbegäran mail.docx", "A 6307-2023")</f>
        <v/>
      </c>
    </row>
    <row r="116" ht="15" customHeight="1">
      <c r="A116" t="inlineStr">
        <is>
          <t>A 7365-2023</t>
        </is>
      </c>
      <c r="B116" s="1" t="n">
        <v>44971</v>
      </c>
      <c r="C116" s="1" t="n">
        <v>45225</v>
      </c>
      <c r="D116" t="inlineStr">
        <is>
          <t>JÖNKÖPINGS LÄN</t>
        </is>
      </c>
      <c r="E116" t="inlineStr">
        <is>
          <t>MULLSJÖ</t>
        </is>
      </c>
      <c r="G116" t="n">
        <v>1.6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Fläcknycklar
Grönvit nattviol</t>
        </is>
      </c>
      <c r="S116">
        <f>HYPERLINK("https://klasma.github.io/Logging_0642/artfynd/A 7365-2023 artfynd.xlsx", "A 7365-2023")</f>
        <v/>
      </c>
      <c r="T116">
        <f>HYPERLINK("https://klasma.github.io/Logging_0642/kartor/A 7365-2023 karta.png", "A 7365-2023")</f>
        <v/>
      </c>
      <c r="V116">
        <f>HYPERLINK("https://klasma.github.io/Logging_0642/klagomål/A 7365-2023 FSC-klagomål.docx", "A 7365-2023")</f>
        <v/>
      </c>
      <c r="W116">
        <f>HYPERLINK("https://klasma.github.io/Logging_0642/klagomålsmail/A 7365-2023 FSC-klagomål mail.docx", "A 7365-2023")</f>
        <v/>
      </c>
      <c r="X116">
        <f>HYPERLINK("https://klasma.github.io/Logging_0642/tillsyn/A 7365-2023 tillsynsbegäran.docx", "A 7365-2023")</f>
        <v/>
      </c>
      <c r="Y116">
        <f>HYPERLINK("https://klasma.github.io/Logging_0642/tillsynsmail/A 7365-2023 tillsynsbegäran mail.docx", "A 7365-2023")</f>
        <v/>
      </c>
    </row>
    <row r="117" ht="15" customHeight="1">
      <c r="A117" t="inlineStr">
        <is>
          <t>A 10991-2023</t>
        </is>
      </c>
      <c r="B117" s="1" t="n">
        <v>44991</v>
      </c>
      <c r="C117" s="1" t="n">
        <v>45225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2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Gulnål
Kornig nållav</t>
        </is>
      </c>
      <c r="S117">
        <f>HYPERLINK("https://klasma.github.io/Logging_0680/artfynd/A 10991-2023 artfynd.xlsx", "A 10991-2023")</f>
        <v/>
      </c>
      <c r="T117">
        <f>HYPERLINK("https://klasma.github.io/Logging_0680/kartor/A 10991-2023 karta.png", "A 10991-2023")</f>
        <v/>
      </c>
      <c r="V117">
        <f>HYPERLINK("https://klasma.github.io/Logging_0680/klagomål/A 10991-2023 FSC-klagomål.docx", "A 10991-2023")</f>
        <v/>
      </c>
      <c r="W117">
        <f>HYPERLINK("https://klasma.github.io/Logging_0680/klagomålsmail/A 10991-2023 FSC-klagomål mail.docx", "A 10991-2023")</f>
        <v/>
      </c>
      <c r="X117">
        <f>HYPERLINK("https://klasma.github.io/Logging_0680/tillsyn/A 10991-2023 tillsynsbegäran.docx", "A 10991-2023")</f>
        <v/>
      </c>
      <c r="Y117">
        <f>HYPERLINK("https://klasma.github.io/Logging_0680/tillsynsmail/A 10991-2023 tillsynsbegäran mail.docx", "A 10991-2023")</f>
        <v/>
      </c>
    </row>
    <row r="118" ht="15" customHeight="1">
      <c r="A118" t="inlineStr">
        <is>
          <t>A 14000-2023</t>
        </is>
      </c>
      <c r="B118" s="1" t="n">
        <v>45008</v>
      </c>
      <c r="C118" s="1" t="n">
        <v>45225</v>
      </c>
      <c r="D118" t="inlineStr">
        <is>
          <t>JÖNKÖPINGS LÄN</t>
        </is>
      </c>
      <c r="E118" t="inlineStr">
        <is>
          <t>VÄRNAMO</t>
        </is>
      </c>
      <c r="G118" t="n">
        <v>4.7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Backtimjan
Strutbräken</t>
        </is>
      </c>
      <c r="S118">
        <f>HYPERLINK("https://klasma.github.io/Logging_0683/artfynd/A 14000-2023 artfynd.xlsx", "A 14000-2023")</f>
        <v/>
      </c>
      <c r="T118">
        <f>HYPERLINK("https://klasma.github.io/Logging_0683/kartor/A 14000-2023 karta.png", "A 14000-2023")</f>
        <v/>
      </c>
      <c r="V118">
        <f>HYPERLINK("https://klasma.github.io/Logging_0683/klagomål/A 14000-2023 FSC-klagomål.docx", "A 14000-2023")</f>
        <v/>
      </c>
      <c r="W118">
        <f>HYPERLINK("https://klasma.github.io/Logging_0683/klagomålsmail/A 14000-2023 FSC-klagomål mail.docx", "A 14000-2023")</f>
        <v/>
      </c>
      <c r="X118">
        <f>HYPERLINK("https://klasma.github.io/Logging_0683/tillsyn/A 14000-2023 tillsynsbegäran.docx", "A 14000-2023")</f>
        <v/>
      </c>
      <c r="Y118">
        <f>HYPERLINK("https://klasma.github.io/Logging_0683/tillsynsmail/A 14000-2023 tillsynsbegäran mail.docx", "A 14000-2023")</f>
        <v/>
      </c>
    </row>
    <row r="119" ht="15" customHeight="1">
      <c r="A119" t="inlineStr">
        <is>
          <t>A 17256-2023</t>
        </is>
      </c>
      <c r="B119" s="1" t="n">
        <v>45035</v>
      </c>
      <c r="C119" s="1" t="n">
        <v>45225</v>
      </c>
      <c r="D119" t="inlineStr">
        <is>
          <t>JÖNKÖPINGS LÄN</t>
        </is>
      </c>
      <c r="E119" t="inlineStr">
        <is>
          <t>VETLANDA</t>
        </is>
      </c>
      <c r="G119" t="n">
        <v>0.8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Klasefibbla
Vårärt</t>
        </is>
      </c>
      <c r="S119">
        <f>HYPERLINK("https://klasma.github.io/Logging_0685/artfynd/A 17256-2023 artfynd.xlsx", "A 17256-2023")</f>
        <v/>
      </c>
      <c r="T119">
        <f>HYPERLINK("https://klasma.github.io/Logging_0685/kartor/A 17256-2023 karta.png", "A 17256-2023")</f>
        <v/>
      </c>
      <c r="V119">
        <f>HYPERLINK("https://klasma.github.io/Logging_0685/klagomål/A 17256-2023 FSC-klagomål.docx", "A 17256-2023")</f>
        <v/>
      </c>
      <c r="W119">
        <f>HYPERLINK("https://klasma.github.io/Logging_0685/klagomålsmail/A 17256-2023 FSC-klagomål mail.docx", "A 17256-2023")</f>
        <v/>
      </c>
      <c r="X119">
        <f>HYPERLINK("https://klasma.github.io/Logging_0685/tillsyn/A 17256-2023 tillsynsbegäran.docx", "A 17256-2023")</f>
        <v/>
      </c>
      <c r="Y119">
        <f>HYPERLINK("https://klasma.github.io/Logging_0685/tillsynsmail/A 17256-2023 tillsynsbegäran mail.docx", "A 17256-2023")</f>
        <v/>
      </c>
    </row>
    <row r="120" ht="15" customHeight="1">
      <c r="A120" t="inlineStr">
        <is>
          <t>A 18733-2023</t>
        </is>
      </c>
      <c r="B120" s="1" t="n">
        <v>45043</v>
      </c>
      <c r="C120" s="1" t="n">
        <v>45225</v>
      </c>
      <c r="D120" t="inlineStr">
        <is>
          <t>JÖNKÖPINGS LÄN</t>
        </is>
      </c>
      <c r="E120" t="inlineStr">
        <is>
          <t>NÄSSJÖ</t>
        </is>
      </c>
      <c r="G120" t="n">
        <v>1.4</v>
      </c>
      <c r="H120" t="n">
        <v>0</v>
      </c>
      <c r="I120" t="n">
        <v>0</v>
      </c>
      <c r="J120" t="n">
        <v>1</v>
      </c>
      <c r="K120" t="n">
        <v>1</v>
      </c>
      <c r="L120" t="n">
        <v>0</v>
      </c>
      <c r="M120" t="n">
        <v>0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Fläckmaskros
Månlåsbräken</t>
        </is>
      </c>
      <c r="S120">
        <f>HYPERLINK("https://klasma.github.io/Logging_0682/artfynd/A 18733-2023 artfynd.xlsx", "A 18733-2023")</f>
        <v/>
      </c>
      <c r="T120">
        <f>HYPERLINK("https://klasma.github.io/Logging_0682/kartor/A 18733-2023 karta.png", "A 18733-2023")</f>
        <v/>
      </c>
      <c r="V120">
        <f>HYPERLINK("https://klasma.github.io/Logging_0682/klagomål/A 18733-2023 FSC-klagomål.docx", "A 18733-2023")</f>
        <v/>
      </c>
      <c r="W120">
        <f>HYPERLINK("https://klasma.github.io/Logging_0682/klagomålsmail/A 18733-2023 FSC-klagomål mail.docx", "A 18733-2023")</f>
        <v/>
      </c>
      <c r="X120">
        <f>HYPERLINK("https://klasma.github.io/Logging_0682/tillsyn/A 18733-2023 tillsynsbegäran.docx", "A 18733-2023")</f>
        <v/>
      </c>
      <c r="Y120">
        <f>HYPERLINK("https://klasma.github.io/Logging_0682/tillsynsmail/A 18733-2023 tillsynsbegäran mail.docx", "A 18733-2023")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45225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20756-2023</t>
        </is>
      </c>
      <c r="B122" s="1" t="n">
        <v>45058</v>
      </c>
      <c r="C122" s="1" t="n">
        <v>45225</v>
      </c>
      <c r="D122" t="inlineStr">
        <is>
          <t>JÖNKÖPINGS LÄN</t>
        </is>
      </c>
      <c r="E122" t="inlineStr">
        <is>
          <t>JÖNKÖPING</t>
        </is>
      </c>
      <c r="G122" t="n">
        <v>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1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Naverlönn
Åkerkål</t>
        </is>
      </c>
      <c r="S122">
        <f>HYPERLINK("https://klasma.github.io/Logging_0680/artfynd/A 20756-2023 artfynd.xlsx", "A 20756-2023")</f>
        <v/>
      </c>
      <c r="T122">
        <f>HYPERLINK("https://klasma.github.io/Logging_0680/kartor/A 20756-2023 karta.png", "A 20756-2023")</f>
        <v/>
      </c>
      <c r="V122">
        <f>HYPERLINK("https://klasma.github.io/Logging_0680/klagomål/A 20756-2023 FSC-klagomål.docx", "A 20756-2023")</f>
        <v/>
      </c>
      <c r="W122">
        <f>HYPERLINK("https://klasma.github.io/Logging_0680/klagomålsmail/A 20756-2023 FSC-klagomål mail.docx", "A 20756-2023")</f>
        <v/>
      </c>
      <c r="X122">
        <f>HYPERLINK("https://klasma.github.io/Logging_0680/tillsyn/A 20756-2023 tillsynsbegäran.docx", "A 20756-2023")</f>
        <v/>
      </c>
      <c r="Y122">
        <f>HYPERLINK("https://klasma.github.io/Logging_0680/tillsynsmail/A 20756-2023 tillsynsbegäran mail.docx", "A 20756-2023")</f>
        <v/>
      </c>
    </row>
    <row r="123" ht="15" customHeight="1">
      <c r="A123" t="inlineStr">
        <is>
          <t>A 29486-2023</t>
        </is>
      </c>
      <c r="B123" s="1" t="n">
        <v>45106</v>
      </c>
      <c r="C123" s="1" t="n">
        <v>45225</v>
      </c>
      <c r="D123" t="inlineStr">
        <is>
          <t>JÖNKÖPINGS LÄN</t>
        </is>
      </c>
      <c r="E123" t="inlineStr">
        <is>
          <t>TRANÅS</t>
        </is>
      </c>
      <c r="G123" t="n">
        <v>4.3</v>
      </c>
      <c r="H123" t="n">
        <v>0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2</v>
      </c>
      <c r="R123" s="2" t="inlineStr">
        <is>
          <t>Åkerrättika
Klofibbla</t>
        </is>
      </c>
      <c r="S123">
        <f>HYPERLINK("https://klasma.github.io/Logging_0687/artfynd/A 29486-2023 artfynd.xlsx", "A 29486-2023")</f>
        <v/>
      </c>
      <c r="T123">
        <f>HYPERLINK("https://klasma.github.io/Logging_0687/kartor/A 29486-2023 karta.png", "A 29486-2023")</f>
        <v/>
      </c>
      <c r="V123">
        <f>HYPERLINK("https://klasma.github.io/Logging_0687/klagomål/A 29486-2023 FSC-klagomål.docx", "A 29486-2023")</f>
        <v/>
      </c>
      <c r="W123">
        <f>HYPERLINK("https://klasma.github.io/Logging_0687/klagomålsmail/A 29486-2023 FSC-klagomål mail.docx", "A 29486-2023")</f>
        <v/>
      </c>
      <c r="X123">
        <f>HYPERLINK("https://klasma.github.io/Logging_0687/tillsyn/A 29486-2023 tillsynsbegäran.docx", "A 29486-2023")</f>
        <v/>
      </c>
      <c r="Y123">
        <f>HYPERLINK("https://klasma.github.io/Logging_0687/tillsynsmail/A 29486-2023 tillsynsbegäran mail.docx", "A 29486-2023")</f>
        <v/>
      </c>
    </row>
    <row r="124" ht="15" customHeight="1">
      <c r="A124" t="inlineStr">
        <is>
          <t>A 29448-2023</t>
        </is>
      </c>
      <c r="B124" s="1" t="n">
        <v>45106</v>
      </c>
      <c r="C124" s="1" t="n">
        <v>45225</v>
      </c>
      <c r="D124" t="inlineStr">
        <is>
          <t>JÖNKÖPINGS LÄN</t>
        </is>
      </c>
      <c r="E124" t="inlineStr">
        <is>
          <t>HABO</t>
        </is>
      </c>
      <c r="G124" t="n">
        <v>4.6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Sexfläckig bastardsvärmare
Guldlockmossa</t>
        </is>
      </c>
      <c r="S124">
        <f>HYPERLINK("https://klasma.github.io/Logging_0643/artfynd/A 29448-2023 artfynd.xlsx", "A 29448-2023")</f>
        <v/>
      </c>
      <c r="T124">
        <f>HYPERLINK("https://klasma.github.io/Logging_0643/kartor/A 29448-2023 karta.png", "A 29448-2023")</f>
        <v/>
      </c>
      <c r="V124">
        <f>HYPERLINK("https://klasma.github.io/Logging_0643/klagomål/A 29448-2023 FSC-klagomål.docx", "A 29448-2023")</f>
        <v/>
      </c>
      <c r="W124">
        <f>HYPERLINK("https://klasma.github.io/Logging_0643/klagomålsmail/A 29448-2023 FSC-klagomål mail.docx", "A 29448-2023")</f>
        <v/>
      </c>
      <c r="X124">
        <f>HYPERLINK("https://klasma.github.io/Logging_0643/tillsyn/A 29448-2023 tillsynsbegäran.docx", "A 29448-2023")</f>
        <v/>
      </c>
      <c r="Y124">
        <f>HYPERLINK("https://klasma.github.io/Logging_0643/tillsynsmail/A 29448-2023 tillsynsbegäran mail.docx", "A 29448-2023")</f>
        <v/>
      </c>
    </row>
    <row r="125" ht="15" customHeight="1">
      <c r="A125" t="inlineStr">
        <is>
          <t>A 34244-2018</t>
        </is>
      </c>
      <c r="B125" s="1" t="n">
        <v>43318</v>
      </c>
      <c r="C125" s="1" t="n">
        <v>45225</v>
      </c>
      <c r="D125" t="inlineStr">
        <is>
          <t>JÖNKÖPINGS LÄN</t>
        </is>
      </c>
      <c r="E125" t="inlineStr">
        <is>
          <t>VETLANDA</t>
        </is>
      </c>
      <c r="G125" t="n">
        <v>1.8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Svart trolldruva</t>
        </is>
      </c>
      <c r="S125">
        <f>HYPERLINK("https://klasma.github.io/Logging_0685/artfynd/A 34244-2018 artfynd.xlsx", "A 34244-2018")</f>
        <v/>
      </c>
      <c r="T125">
        <f>HYPERLINK("https://klasma.github.io/Logging_0685/kartor/A 34244-2018 karta.png", "A 34244-2018")</f>
        <v/>
      </c>
      <c r="V125">
        <f>HYPERLINK("https://klasma.github.io/Logging_0685/klagomål/A 34244-2018 FSC-klagomål.docx", "A 34244-2018")</f>
        <v/>
      </c>
      <c r="W125">
        <f>HYPERLINK("https://klasma.github.io/Logging_0685/klagomålsmail/A 34244-2018 FSC-klagomål mail.docx", "A 34244-2018")</f>
        <v/>
      </c>
      <c r="X125">
        <f>HYPERLINK("https://klasma.github.io/Logging_0685/tillsyn/A 34244-2018 tillsynsbegäran.docx", "A 34244-2018")</f>
        <v/>
      </c>
      <c r="Y125">
        <f>HYPERLINK("https://klasma.github.io/Logging_0685/tillsynsmail/A 34244-2018 tillsynsbegäran mail.docx", "A 34244-2018")</f>
        <v/>
      </c>
    </row>
    <row r="126" ht="15" customHeight="1">
      <c r="A126" t="inlineStr">
        <is>
          <t>A 36024-2018</t>
        </is>
      </c>
      <c r="B126" s="1" t="n">
        <v>43327</v>
      </c>
      <c r="C126" s="1" t="n">
        <v>45225</v>
      </c>
      <c r="D126" t="inlineStr">
        <is>
          <t>JÖNKÖPINGS LÄN</t>
        </is>
      </c>
      <c r="E126" t="inlineStr">
        <is>
          <t>VETLANDA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Kvällsmaskros</t>
        </is>
      </c>
      <c r="S126">
        <f>HYPERLINK("https://klasma.github.io/Logging_0685/artfynd/A 36024-2018 artfynd.xlsx", "A 36024-2018")</f>
        <v/>
      </c>
      <c r="T126">
        <f>HYPERLINK("https://klasma.github.io/Logging_0685/kartor/A 36024-2018 karta.png", "A 36024-2018")</f>
        <v/>
      </c>
      <c r="V126">
        <f>HYPERLINK("https://klasma.github.io/Logging_0685/klagomål/A 36024-2018 FSC-klagomål.docx", "A 36024-2018")</f>
        <v/>
      </c>
      <c r="W126">
        <f>HYPERLINK("https://klasma.github.io/Logging_0685/klagomålsmail/A 36024-2018 FSC-klagomål mail.docx", "A 36024-2018")</f>
        <v/>
      </c>
      <c r="X126">
        <f>HYPERLINK("https://klasma.github.io/Logging_0685/tillsyn/A 36024-2018 tillsynsbegäran.docx", "A 36024-2018")</f>
        <v/>
      </c>
      <c r="Y126">
        <f>HYPERLINK("https://klasma.github.io/Logging_0685/tillsynsmail/A 36024-2018 tillsynsbegäran mail.docx", "A 36024-2018")</f>
        <v/>
      </c>
    </row>
    <row r="127" ht="15" customHeight="1">
      <c r="A127" t="inlineStr">
        <is>
          <t>A 36077-2018</t>
        </is>
      </c>
      <c r="B127" s="1" t="n">
        <v>43327</v>
      </c>
      <c r="C127" s="1" t="n">
        <v>45225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HYPERLINK("https://klasma.github.io/Logging_0685/artfynd/A 36077-2018 artfynd.xlsx", "A 36077-2018")</f>
        <v/>
      </c>
      <c r="T127">
        <f>HYPERLINK("https://klasma.github.io/Logging_0685/kartor/A 36077-2018 karta.png", "A 36077-2018")</f>
        <v/>
      </c>
      <c r="U127">
        <f>HYPERLINK("https://klasma.github.io/Logging_0685/knärot/A 36077-2018 karta knärot.png", "A 36077-2018")</f>
        <v/>
      </c>
      <c r="V127">
        <f>HYPERLINK("https://klasma.github.io/Logging_0685/klagomål/A 36077-2018 FSC-klagomål.docx", "A 36077-2018")</f>
        <v/>
      </c>
      <c r="W127">
        <f>HYPERLINK("https://klasma.github.io/Logging_0685/klagomålsmail/A 36077-2018 FSC-klagomål mail.docx", "A 36077-2018")</f>
        <v/>
      </c>
      <c r="X127">
        <f>HYPERLINK("https://klasma.github.io/Logging_0685/tillsyn/A 36077-2018 tillsynsbegäran.docx", "A 36077-2018")</f>
        <v/>
      </c>
      <c r="Y127">
        <f>HYPERLINK("https://klasma.github.io/Logging_0685/tillsynsmail/A 36077-2018 tillsynsbegäran mail.docx", "A 36077-2018")</f>
        <v/>
      </c>
    </row>
    <row r="128" ht="15" customHeight="1">
      <c r="A128" t="inlineStr">
        <is>
          <t>A 39566-2018</t>
        </is>
      </c>
      <c r="B128" s="1" t="n">
        <v>43342</v>
      </c>
      <c r="C128" s="1" t="n">
        <v>45225</v>
      </c>
      <c r="D128" t="inlineStr">
        <is>
          <t>JÖNKÖPINGS LÄN</t>
        </is>
      </c>
      <c r="E128" t="inlineStr">
        <is>
          <t>VETLANDA</t>
        </is>
      </c>
      <c r="F128" t="inlineStr">
        <is>
          <t>Kommuner</t>
        </is>
      </c>
      <c r="G128" t="n">
        <v>0.5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Skogsödla</t>
        </is>
      </c>
      <c r="S128">
        <f>HYPERLINK("https://klasma.github.io/Logging_0685/artfynd/A 39566-2018 artfynd.xlsx", "A 39566-2018")</f>
        <v/>
      </c>
      <c r="T128">
        <f>HYPERLINK("https://klasma.github.io/Logging_0685/kartor/A 39566-2018 karta.png", "A 39566-2018")</f>
        <v/>
      </c>
      <c r="V128">
        <f>HYPERLINK("https://klasma.github.io/Logging_0685/klagomål/A 39566-2018 FSC-klagomål.docx", "A 39566-2018")</f>
        <v/>
      </c>
      <c r="W128">
        <f>HYPERLINK("https://klasma.github.io/Logging_0685/klagomålsmail/A 39566-2018 FSC-klagomål mail.docx", "A 39566-2018")</f>
        <v/>
      </c>
      <c r="X128">
        <f>HYPERLINK("https://klasma.github.io/Logging_0685/tillsyn/A 39566-2018 tillsynsbegäran.docx", "A 39566-2018")</f>
        <v/>
      </c>
      <c r="Y128">
        <f>HYPERLINK("https://klasma.github.io/Logging_0685/tillsynsmail/A 39566-2018 tillsynsbegäran mail.docx", "A 39566-2018")</f>
        <v/>
      </c>
    </row>
    <row r="129" ht="15" customHeight="1">
      <c r="A129" t="inlineStr">
        <is>
          <t>A 41219-2018</t>
        </is>
      </c>
      <c r="B129" s="1" t="n">
        <v>43348</v>
      </c>
      <c r="C129" s="1" t="n">
        <v>45225</v>
      </c>
      <c r="D129" t="inlineStr">
        <is>
          <t>JÖNKÖPINGS LÄN</t>
        </is>
      </c>
      <c r="E129" t="inlineStr">
        <is>
          <t>TRANÅS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Hartmansstarr</t>
        </is>
      </c>
      <c r="S129">
        <f>HYPERLINK("https://klasma.github.io/Logging_0687/artfynd/A 41219-2018 artfynd.xlsx", "A 41219-2018")</f>
        <v/>
      </c>
      <c r="T129">
        <f>HYPERLINK("https://klasma.github.io/Logging_0687/kartor/A 41219-2018 karta.png", "A 41219-2018")</f>
        <v/>
      </c>
      <c r="V129">
        <f>HYPERLINK("https://klasma.github.io/Logging_0687/klagomål/A 41219-2018 FSC-klagomål.docx", "A 41219-2018")</f>
        <v/>
      </c>
      <c r="W129">
        <f>HYPERLINK("https://klasma.github.io/Logging_0687/klagomålsmail/A 41219-2018 FSC-klagomål mail.docx", "A 41219-2018")</f>
        <v/>
      </c>
      <c r="X129">
        <f>HYPERLINK("https://klasma.github.io/Logging_0687/tillsyn/A 41219-2018 tillsynsbegäran.docx", "A 41219-2018")</f>
        <v/>
      </c>
      <c r="Y129">
        <f>HYPERLINK("https://klasma.github.io/Logging_0687/tillsynsmail/A 41219-2018 tillsynsbegäran mail.docx", "A 41219-2018")</f>
        <v/>
      </c>
    </row>
    <row r="130" ht="15" customHeight="1">
      <c r="A130" t="inlineStr">
        <is>
          <t>A 45216-2018</t>
        </is>
      </c>
      <c r="B130" s="1" t="n">
        <v>43363</v>
      </c>
      <c r="C130" s="1" t="n">
        <v>45225</v>
      </c>
      <c r="D130" t="inlineStr">
        <is>
          <t>JÖNKÖPINGS LÄN</t>
        </is>
      </c>
      <c r="E130" t="inlineStr">
        <is>
          <t>NÄSSJÖ</t>
        </is>
      </c>
      <c r="G130" t="n">
        <v>1.4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Brudsporre</t>
        </is>
      </c>
      <c r="S130">
        <f>HYPERLINK("https://klasma.github.io/Logging_0682/artfynd/A 45216-2018 artfynd.xlsx", "A 45216-2018")</f>
        <v/>
      </c>
      <c r="T130">
        <f>HYPERLINK("https://klasma.github.io/Logging_0682/kartor/A 45216-2018 karta.png", "A 45216-2018")</f>
        <v/>
      </c>
      <c r="V130">
        <f>HYPERLINK("https://klasma.github.io/Logging_0682/klagomål/A 45216-2018 FSC-klagomål.docx", "A 45216-2018")</f>
        <v/>
      </c>
      <c r="W130">
        <f>HYPERLINK("https://klasma.github.io/Logging_0682/klagomålsmail/A 45216-2018 FSC-klagomål mail.docx", "A 45216-2018")</f>
        <v/>
      </c>
      <c r="X130">
        <f>HYPERLINK("https://klasma.github.io/Logging_0682/tillsyn/A 45216-2018 tillsynsbegäran.docx", "A 45216-2018")</f>
        <v/>
      </c>
      <c r="Y130">
        <f>HYPERLINK("https://klasma.github.io/Logging_0682/tillsynsmail/A 45216-2018 tillsynsbegäran mail.docx", "A 45216-2018")</f>
        <v/>
      </c>
    </row>
    <row r="131" ht="15" customHeight="1">
      <c r="A131" t="inlineStr">
        <is>
          <t>A 52688-2018</t>
        </is>
      </c>
      <c r="B131" s="1" t="n">
        <v>43383</v>
      </c>
      <c r="C131" s="1" t="n">
        <v>45225</v>
      </c>
      <c r="D131" t="inlineStr">
        <is>
          <t>JÖNKÖPINGS LÄN</t>
        </is>
      </c>
      <c r="E131" t="inlineStr">
        <is>
          <t>SÄVSJÖ</t>
        </is>
      </c>
      <c r="G131" t="n">
        <v>1.1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Brun nållav</t>
        </is>
      </c>
      <c r="S131">
        <f>HYPERLINK("https://klasma.github.io/Logging_0684/artfynd/A 52688-2018 artfynd.xlsx", "A 52688-2018")</f>
        <v/>
      </c>
      <c r="T131">
        <f>HYPERLINK("https://klasma.github.io/Logging_0684/kartor/A 52688-2018 karta.png", "A 52688-2018")</f>
        <v/>
      </c>
      <c r="V131">
        <f>HYPERLINK("https://klasma.github.io/Logging_0684/klagomål/A 52688-2018 FSC-klagomål.docx", "A 52688-2018")</f>
        <v/>
      </c>
      <c r="W131">
        <f>HYPERLINK("https://klasma.github.io/Logging_0684/klagomålsmail/A 52688-2018 FSC-klagomål mail.docx", "A 52688-2018")</f>
        <v/>
      </c>
      <c r="X131">
        <f>HYPERLINK("https://klasma.github.io/Logging_0684/tillsyn/A 52688-2018 tillsynsbegäran.docx", "A 52688-2018")</f>
        <v/>
      </c>
      <c r="Y131">
        <f>HYPERLINK("https://klasma.github.io/Logging_0684/tillsynsmail/A 52688-2018 tillsynsbegäran mail.docx", "A 52688-2018")</f>
        <v/>
      </c>
    </row>
    <row r="132" ht="15" customHeight="1">
      <c r="A132" t="inlineStr">
        <is>
          <t>A 54407-2018</t>
        </is>
      </c>
      <c r="B132" s="1" t="n">
        <v>43390</v>
      </c>
      <c r="C132" s="1" t="n">
        <v>45225</v>
      </c>
      <c r="D132" t="inlineStr">
        <is>
          <t>JÖNKÖPINGS LÄN</t>
        </is>
      </c>
      <c r="E132" t="inlineStr">
        <is>
          <t>VETLANDA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Ryl</t>
        </is>
      </c>
      <c r="S132">
        <f>HYPERLINK("https://klasma.github.io/Logging_0685/artfynd/A 54407-2018 artfynd.xlsx", "A 54407-2018")</f>
        <v/>
      </c>
      <c r="T132">
        <f>HYPERLINK("https://klasma.github.io/Logging_0685/kartor/A 54407-2018 karta.png", "A 54407-2018")</f>
        <v/>
      </c>
      <c r="V132">
        <f>HYPERLINK("https://klasma.github.io/Logging_0685/klagomål/A 54407-2018 FSC-klagomål.docx", "A 54407-2018")</f>
        <v/>
      </c>
      <c r="W132">
        <f>HYPERLINK("https://klasma.github.io/Logging_0685/klagomålsmail/A 54407-2018 FSC-klagomål mail.docx", "A 54407-2018")</f>
        <v/>
      </c>
      <c r="X132">
        <f>HYPERLINK("https://klasma.github.io/Logging_0685/tillsyn/A 54407-2018 tillsynsbegäran.docx", "A 54407-2018")</f>
        <v/>
      </c>
      <c r="Y132">
        <f>HYPERLINK("https://klasma.github.io/Logging_0685/tillsynsmail/A 54407-2018 tillsynsbegäran mail.docx", "A 54407-2018")</f>
        <v/>
      </c>
    </row>
    <row r="133" ht="15" customHeight="1">
      <c r="A133" t="inlineStr">
        <is>
          <t>A 58859-2018</t>
        </is>
      </c>
      <c r="B133" s="1" t="n">
        <v>43399</v>
      </c>
      <c r="C133" s="1" t="n">
        <v>45225</v>
      </c>
      <c r="D133" t="inlineStr">
        <is>
          <t>JÖNKÖPINGS LÄN</t>
        </is>
      </c>
      <c r="E133" t="inlineStr">
        <is>
          <t>JÖNKÖPING</t>
        </is>
      </c>
      <c r="F133" t="inlineStr">
        <is>
          <t>Kommuner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1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Ask</t>
        </is>
      </c>
      <c r="S133">
        <f>HYPERLINK("https://klasma.github.io/Logging_0680/artfynd/A 58859-2018 artfynd.xlsx", "A 58859-2018")</f>
        <v/>
      </c>
      <c r="T133">
        <f>HYPERLINK("https://klasma.github.io/Logging_0680/kartor/A 58859-2018 karta.png", "A 58859-2018")</f>
        <v/>
      </c>
      <c r="V133">
        <f>HYPERLINK("https://klasma.github.io/Logging_0680/klagomål/A 58859-2018 FSC-klagomål.docx", "A 58859-2018")</f>
        <v/>
      </c>
      <c r="W133">
        <f>HYPERLINK("https://klasma.github.io/Logging_0680/klagomålsmail/A 58859-2018 FSC-klagomål mail.docx", "A 58859-2018")</f>
        <v/>
      </c>
      <c r="X133">
        <f>HYPERLINK("https://klasma.github.io/Logging_0680/tillsyn/A 58859-2018 tillsynsbegäran.docx", "A 58859-2018")</f>
        <v/>
      </c>
      <c r="Y133">
        <f>HYPERLINK("https://klasma.github.io/Logging_0680/tillsynsmail/A 58859-2018 tillsynsbegäran mail.docx", "A 58859-2018")</f>
        <v/>
      </c>
    </row>
    <row r="134" ht="15" customHeight="1">
      <c r="A134" t="inlineStr">
        <is>
          <t>A 58545-2018</t>
        </is>
      </c>
      <c r="B134" s="1" t="n">
        <v>43409</v>
      </c>
      <c r="C134" s="1" t="n">
        <v>45225</v>
      </c>
      <c r="D134" t="inlineStr">
        <is>
          <t>JÖNKÖPINGS LÄN</t>
        </is>
      </c>
      <c r="E134" t="inlineStr">
        <is>
          <t>VETLANDA</t>
        </is>
      </c>
      <c r="G134" t="n">
        <v>3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Blomkålssvamp</t>
        </is>
      </c>
      <c r="S134">
        <f>HYPERLINK("https://klasma.github.io/Logging_0685/artfynd/A 58545-2018 artfynd.xlsx", "A 58545-2018")</f>
        <v/>
      </c>
      <c r="T134">
        <f>HYPERLINK("https://klasma.github.io/Logging_0685/kartor/A 58545-2018 karta.png", "A 58545-2018")</f>
        <v/>
      </c>
      <c r="V134">
        <f>HYPERLINK("https://klasma.github.io/Logging_0685/klagomål/A 58545-2018 FSC-klagomål.docx", "A 58545-2018")</f>
        <v/>
      </c>
      <c r="W134">
        <f>HYPERLINK("https://klasma.github.io/Logging_0685/klagomålsmail/A 58545-2018 FSC-klagomål mail.docx", "A 58545-2018")</f>
        <v/>
      </c>
      <c r="X134">
        <f>HYPERLINK("https://klasma.github.io/Logging_0685/tillsyn/A 58545-2018 tillsynsbegäran.docx", "A 58545-2018")</f>
        <v/>
      </c>
      <c r="Y134">
        <f>HYPERLINK("https://klasma.github.io/Logging_0685/tillsynsmail/A 58545-2018 tillsynsbegäran mail.docx", "A 58545-2018")</f>
        <v/>
      </c>
    </row>
    <row r="135" ht="15" customHeight="1">
      <c r="A135" t="inlineStr">
        <is>
          <t>A 60040-2018</t>
        </is>
      </c>
      <c r="B135" s="1" t="n">
        <v>43412</v>
      </c>
      <c r="C135" s="1" t="n">
        <v>45225</v>
      </c>
      <c r="D135" t="inlineStr">
        <is>
          <t>JÖNKÖPINGS LÄN</t>
        </is>
      </c>
      <c r="E135" t="inlineStr">
        <is>
          <t>VETLANDA</t>
        </is>
      </c>
      <c r="G135" t="n">
        <v>4.3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HYPERLINK("https://klasma.github.io/Logging_0685/artfynd/A 60040-2018 artfynd.xlsx", "A 60040-2018")</f>
        <v/>
      </c>
      <c r="T135">
        <f>HYPERLINK("https://klasma.github.io/Logging_0685/kartor/A 60040-2018 karta.png", "A 60040-2018")</f>
        <v/>
      </c>
      <c r="U135">
        <f>HYPERLINK("https://klasma.github.io/Logging_0685/knärot/A 60040-2018 karta knärot.png", "A 60040-2018")</f>
        <v/>
      </c>
      <c r="V135">
        <f>HYPERLINK("https://klasma.github.io/Logging_0685/klagomål/A 60040-2018 FSC-klagomål.docx", "A 60040-2018")</f>
        <v/>
      </c>
      <c r="W135">
        <f>HYPERLINK("https://klasma.github.io/Logging_0685/klagomålsmail/A 60040-2018 FSC-klagomål mail.docx", "A 60040-2018")</f>
        <v/>
      </c>
      <c r="X135">
        <f>HYPERLINK("https://klasma.github.io/Logging_0685/tillsyn/A 60040-2018 tillsynsbegäran.docx", "A 60040-2018")</f>
        <v/>
      </c>
      <c r="Y135">
        <f>HYPERLINK("https://klasma.github.io/Logging_0685/tillsynsmail/A 60040-2018 tillsynsbegäran mail.docx", "A 60040-2018")</f>
        <v/>
      </c>
    </row>
    <row r="136" ht="15" customHeight="1">
      <c r="A136" t="inlineStr">
        <is>
          <t>A 61181-2018</t>
        </is>
      </c>
      <c r="B136" s="1" t="n">
        <v>43412</v>
      </c>
      <c r="C136" s="1" t="n">
        <v>45225</v>
      </c>
      <c r="D136" t="inlineStr">
        <is>
          <t>JÖNKÖPINGS LÄN</t>
        </is>
      </c>
      <c r="E136" t="inlineStr">
        <is>
          <t>JÖNKÖPING</t>
        </is>
      </c>
      <c r="G136" t="n">
        <v>2.2</v>
      </c>
      <c r="H136" t="n">
        <v>1</v>
      </c>
      <c r="I136" t="n">
        <v>0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Knärot</t>
        </is>
      </c>
      <c r="S136">
        <f>HYPERLINK("https://klasma.github.io/Logging_0680/artfynd/A 61181-2018 artfynd.xlsx", "A 61181-2018")</f>
        <v/>
      </c>
      <c r="T136">
        <f>HYPERLINK("https://klasma.github.io/Logging_0680/kartor/A 61181-2018 karta.png", "A 61181-2018")</f>
        <v/>
      </c>
      <c r="U136">
        <f>HYPERLINK("https://klasma.github.io/Logging_0680/knärot/A 61181-2018 karta knärot.png", "A 61181-2018")</f>
        <v/>
      </c>
      <c r="V136">
        <f>HYPERLINK("https://klasma.github.io/Logging_0680/klagomål/A 61181-2018 FSC-klagomål.docx", "A 61181-2018")</f>
        <v/>
      </c>
      <c r="W136">
        <f>HYPERLINK("https://klasma.github.io/Logging_0680/klagomålsmail/A 61181-2018 FSC-klagomål mail.docx", "A 61181-2018")</f>
        <v/>
      </c>
      <c r="X136">
        <f>HYPERLINK("https://klasma.github.io/Logging_0680/tillsyn/A 61181-2018 tillsynsbegäran.docx", "A 61181-2018")</f>
        <v/>
      </c>
      <c r="Y136">
        <f>HYPERLINK("https://klasma.github.io/Logging_0680/tillsynsmail/A 61181-2018 tillsynsbegäran mail.docx", "A 61181-2018")</f>
        <v/>
      </c>
    </row>
    <row r="137" ht="15" customHeight="1">
      <c r="A137" t="inlineStr">
        <is>
          <t>A 60273-2018</t>
        </is>
      </c>
      <c r="B137" s="1" t="n">
        <v>43413</v>
      </c>
      <c r="C137" s="1" t="n">
        <v>45225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Tibast</t>
        </is>
      </c>
      <c r="S137">
        <f>HYPERLINK("https://klasma.github.io/Logging_0684/artfynd/A 60273-2018 artfynd.xlsx", "A 60273-2018")</f>
        <v/>
      </c>
      <c r="T137">
        <f>HYPERLINK("https://klasma.github.io/Logging_0684/kartor/A 60273-2018 karta.png", "A 60273-2018")</f>
        <v/>
      </c>
      <c r="V137">
        <f>HYPERLINK("https://klasma.github.io/Logging_0684/klagomål/A 60273-2018 FSC-klagomål.docx", "A 60273-2018")</f>
        <v/>
      </c>
      <c r="W137">
        <f>HYPERLINK("https://klasma.github.io/Logging_0684/klagomålsmail/A 60273-2018 FSC-klagomål mail.docx", "A 60273-2018")</f>
        <v/>
      </c>
      <c r="X137">
        <f>HYPERLINK("https://klasma.github.io/Logging_0684/tillsyn/A 60273-2018 tillsynsbegäran.docx", "A 60273-2018")</f>
        <v/>
      </c>
      <c r="Y137">
        <f>HYPERLINK("https://klasma.github.io/Logging_0684/tillsynsmail/A 60273-2018 tillsynsbegäran mail.docx", "A 60273-2018")</f>
        <v/>
      </c>
    </row>
    <row r="138" ht="15" customHeight="1">
      <c r="A138" t="inlineStr">
        <is>
          <t>A 63873-2018</t>
        </is>
      </c>
      <c r="B138" s="1" t="n">
        <v>43430</v>
      </c>
      <c r="C138" s="1" t="n">
        <v>45225</v>
      </c>
      <c r="D138" t="inlineStr">
        <is>
          <t>JÖNKÖPINGS LÄN</t>
        </is>
      </c>
      <c r="E138" t="inlineStr">
        <is>
          <t>VAGGERYD</t>
        </is>
      </c>
      <c r="F138" t="inlineStr">
        <is>
          <t>Sveaskog</t>
        </is>
      </c>
      <c r="G138" t="n">
        <v>4.9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Järpe</t>
        </is>
      </c>
      <c r="S138">
        <f>HYPERLINK("https://klasma.github.io/Logging_0665/artfynd/A 63873-2018 artfynd.xlsx", "A 63873-2018")</f>
        <v/>
      </c>
      <c r="T138">
        <f>HYPERLINK("https://klasma.github.io/Logging_0665/kartor/A 63873-2018 karta.png", "A 63873-2018")</f>
        <v/>
      </c>
      <c r="V138">
        <f>HYPERLINK("https://klasma.github.io/Logging_0665/klagomål/A 63873-2018 FSC-klagomål.docx", "A 63873-2018")</f>
        <v/>
      </c>
      <c r="W138">
        <f>HYPERLINK("https://klasma.github.io/Logging_0665/klagomålsmail/A 63873-2018 FSC-klagomål mail.docx", "A 63873-2018")</f>
        <v/>
      </c>
      <c r="X138">
        <f>HYPERLINK("https://klasma.github.io/Logging_0665/tillsyn/A 63873-2018 tillsynsbegäran.docx", "A 63873-2018")</f>
        <v/>
      </c>
      <c r="Y138">
        <f>HYPERLINK("https://klasma.github.io/Logging_0665/tillsynsmail/A 63873-2018 tillsynsbegäran mail.docx", "A 63873-2018")</f>
        <v/>
      </c>
    </row>
    <row r="139" ht="15" customHeight="1">
      <c r="A139" t="inlineStr">
        <is>
          <t>A 66703-2018</t>
        </is>
      </c>
      <c r="B139" s="1" t="n">
        <v>43430</v>
      </c>
      <c r="C139" s="1" t="n">
        <v>45225</v>
      </c>
      <c r="D139" t="inlineStr">
        <is>
          <t>JÖNKÖPINGS LÄN</t>
        </is>
      </c>
      <c r="E139" t="inlineStr">
        <is>
          <t>VAGGERYD</t>
        </is>
      </c>
      <c r="G139" t="n">
        <v>1.8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Mattlummer</t>
        </is>
      </c>
      <c r="S139">
        <f>HYPERLINK("https://klasma.github.io/Logging_0665/artfynd/A 66703-2018 artfynd.xlsx", "A 66703-2018")</f>
        <v/>
      </c>
      <c r="T139">
        <f>HYPERLINK("https://klasma.github.io/Logging_0665/kartor/A 66703-2018 karta.png", "A 66703-2018")</f>
        <v/>
      </c>
      <c r="V139">
        <f>HYPERLINK("https://klasma.github.io/Logging_0665/klagomål/A 66703-2018 FSC-klagomål.docx", "A 66703-2018")</f>
        <v/>
      </c>
      <c r="W139">
        <f>HYPERLINK("https://klasma.github.io/Logging_0665/klagomålsmail/A 66703-2018 FSC-klagomål mail.docx", "A 66703-2018")</f>
        <v/>
      </c>
      <c r="X139">
        <f>HYPERLINK("https://klasma.github.io/Logging_0665/tillsyn/A 66703-2018 tillsynsbegäran.docx", "A 66703-2018")</f>
        <v/>
      </c>
      <c r="Y139">
        <f>HYPERLINK("https://klasma.github.io/Logging_0665/tillsynsmail/A 66703-2018 tillsynsbegäran mail.docx", "A 66703-2018")</f>
        <v/>
      </c>
    </row>
    <row r="140" ht="15" customHeight="1">
      <c r="A140" t="inlineStr">
        <is>
          <t>A 65631-2018</t>
        </is>
      </c>
      <c r="B140" s="1" t="n">
        <v>43433</v>
      </c>
      <c r="C140" s="1" t="n">
        <v>45225</v>
      </c>
      <c r="D140" t="inlineStr">
        <is>
          <t>JÖNKÖPINGS LÄN</t>
        </is>
      </c>
      <c r="E140" t="inlineStr">
        <is>
          <t>VETLANDA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1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Ask</t>
        </is>
      </c>
      <c r="S140">
        <f>HYPERLINK("https://klasma.github.io/Logging_0685/artfynd/A 65631-2018 artfynd.xlsx", "A 65631-2018")</f>
        <v/>
      </c>
      <c r="T140">
        <f>HYPERLINK("https://klasma.github.io/Logging_0685/kartor/A 65631-2018 karta.png", "A 65631-2018")</f>
        <v/>
      </c>
      <c r="V140">
        <f>HYPERLINK("https://klasma.github.io/Logging_0685/klagomål/A 65631-2018 FSC-klagomål.docx", "A 65631-2018")</f>
        <v/>
      </c>
      <c r="W140">
        <f>HYPERLINK("https://klasma.github.io/Logging_0685/klagomålsmail/A 65631-2018 FSC-klagomål mail.docx", "A 65631-2018")</f>
        <v/>
      </c>
      <c r="X140">
        <f>HYPERLINK("https://klasma.github.io/Logging_0685/tillsyn/A 65631-2018 tillsynsbegäran.docx", "A 65631-2018")</f>
        <v/>
      </c>
      <c r="Y140">
        <f>HYPERLINK("https://klasma.github.io/Logging_0685/tillsynsmail/A 65631-2018 tillsynsbegäran mail.docx", "A 65631-2018")</f>
        <v/>
      </c>
    </row>
    <row r="141" ht="15" customHeight="1">
      <c r="A141" t="inlineStr">
        <is>
          <t>A 71791-2018</t>
        </is>
      </c>
      <c r="B141" s="1" t="n">
        <v>43454</v>
      </c>
      <c r="C141" s="1" t="n">
        <v>45225</v>
      </c>
      <c r="D141" t="inlineStr">
        <is>
          <t>JÖNKÖPINGS LÄN</t>
        </is>
      </c>
      <c r="E141" t="inlineStr">
        <is>
          <t>VETLANDA</t>
        </is>
      </c>
      <c r="G141" t="n">
        <v>5.5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Lopplummer</t>
        </is>
      </c>
      <c r="S141">
        <f>HYPERLINK("https://klasma.github.io/Logging_0685/artfynd/A 71791-2018 artfynd.xlsx", "A 71791-2018")</f>
        <v/>
      </c>
      <c r="T141">
        <f>HYPERLINK("https://klasma.github.io/Logging_0685/kartor/A 71791-2018 karta.png", "A 71791-2018")</f>
        <v/>
      </c>
      <c r="V141">
        <f>HYPERLINK("https://klasma.github.io/Logging_0685/klagomål/A 71791-2018 FSC-klagomål.docx", "A 71791-2018")</f>
        <v/>
      </c>
      <c r="W141">
        <f>HYPERLINK("https://klasma.github.io/Logging_0685/klagomålsmail/A 71791-2018 FSC-klagomål mail.docx", "A 71791-2018")</f>
        <v/>
      </c>
      <c r="X141">
        <f>HYPERLINK("https://klasma.github.io/Logging_0685/tillsyn/A 71791-2018 tillsynsbegäran.docx", "A 71791-2018")</f>
        <v/>
      </c>
      <c r="Y141">
        <f>HYPERLINK("https://klasma.github.io/Logging_0685/tillsynsmail/A 71791-2018 tillsynsbegäran mail.docx", "A 71791-2018")</f>
        <v/>
      </c>
    </row>
    <row r="142" ht="15" customHeight="1">
      <c r="A142" t="inlineStr">
        <is>
          <t>A 4551-2019</t>
        </is>
      </c>
      <c r="B142" s="1" t="n">
        <v>43479</v>
      </c>
      <c r="C142" s="1" t="n">
        <v>45225</v>
      </c>
      <c r="D142" t="inlineStr">
        <is>
          <t>JÖNKÖPINGS LÄN</t>
        </is>
      </c>
      <c r="E142" t="inlineStr">
        <is>
          <t>VAGGERYD</t>
        </is>
      </c>
      <c r="G142" t="n">
        <v>15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Garnlav</t>
        </is>
      </c>
      <c r="S142">
        <f>HYPERLINK("https://klasma.github.io/Logging_0665/artfynd/A 4551-2019 artfynd.xlsx", "A 4551-2019")</f>
        <v/>
      </c>
      <c r="T142">
        <f>HYPERLINK("https://klasma.github.io/Logging_0665/kartor/A 4551-2019 karta.png", "A 4551-2019")</f>
        <v/>
      </c>
      <c r="V142">
        <f>HYPERLINK("https://klasma.github.io/Logging_0665/klagomål/A 4551-2019 FSC-klagomål.docx", "A 4551-2019")</f>
        <v/>
      </c>
      <c r="W142">
        <f>HYPERLINK("https://klasma.github.io/Logging_0665/klagomålsmail/A 4551-2019 FSC-klagomål mail.docx", "A 4551-2019")</f>
        <v/>
      </c>
      <c r="X142">
        <f>HYPERLINK("https://klasma.github.io/Logging_0665/tillsyn/A 4551-2019 tillsynsbegäran.docx", "A 4551-2019")</f>
        <v/>
      </c>
      <c r="Y142">
        <f>HYPERLINK("https://klasma.github.io/Logging_0665/tillsynsmail/A 4551-2019 tillsynsbegäran mail.docx", "A 4551-2019")</f>
        <v/>
      </c>
    </row>
    <row r="143" ht="15" customHeight="1">
      <c r="A143" t="inlineStr">
        <is>
          <t>A 3222-2019</t>
        </is>
      </c>
      <c r="B143" s="1" t="n">
        <v>43480</v>
      </c>
      <c r="C143" s="1" t="n">
        <v>45225</v>
      </c>
      <c r="D143" t="inlineStr">
        <is>
          <t>JÖNKÖPINGS LÄN</t>
        </is>
      </c>
      <c r="E143" t="inlineStr">
        <is>
          <t>TRANÅS</t>
        </is>
      </c>
      <c r="G143" t="n">
        <v>3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Sanddådra</t>
        </is>
      </c>
      <c r="S143">
        <f>HYPERLINK("https://klasma.github.io/Logging_0687/artfynd/A 3222-2019 artfynd.xlsx", "A 3222-2019")</f>
        <v/>
      </c>
      <c r="T143">
        <f>HYPERLINK("https://klasma.github.io/Logging_0687/kartor/A 3222-2019 karta.png", "A 3222-2019")</f>
        <v/>
      </c>
      <c r="V143">
        <f>HYPERLINK("https://klasma.github.io/Logging_0687/klagomål/A 3222-2019 FSC-klagomål.docx", "A 3222-2019")</f>
        <v/>
      </c>
      <c r="W143">
        <f>HYPERLINK("https://klasma.github.io/Logging_0687/klagomålsmail/A 3222-2019 FSC-klagomål mail.docx", "A 3222-2019")</f>
        <v/>
      </c>
      <c r="X143">
        <f>HYPERLINK("https://klasma.github.io/Logging_0687/tillsyn/A 3222-2019 tillsynsbegäran.docx", "A 3222-2019")</f>
        <v/>
      </c>
      <c r="Y143">
        <f>HYPERLINK("https://klasma.github.io/Logging_0687/tillsynsmail/A 3222-2019 tillsynsbegäran mail.docx", "A 3222-2019")</f>
        <v/>
      </c>
    </row>
    <row r="144" ht="15" customHeight="1">
      <c r="A144" t="inlineStr">
        <is>
          <t>A 3856-2019</t>
        </is>
      </c>
      <c r="B144" s="1" t="n">
        <v>43482</v>
      </c>
      <c r="C144" s="1" t="n">
        <v>45225</v>
      </c>
      <c r="D144" t="inlineStr">
        <is>
          <t>JÖNKÖPINGS LÄN</t>
        </is>
      </c>
      <c r="E144" t="inlineStr">
        <is>
          <t>ANEBY</t>
        </is>
      </c>
      <c r="G144" t="n">
        <v>2.7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Lundbräsma</t>
        </is>
      </c>
      <c r="S144">
        <f>HYPERLINK("https://klasma.github.io/Logging_0604/artfynd/A 3856-2019 artfynd.xlsx", "A 3856-2019")</f>
        <v/>
      </c>
      <c r="T144">
        <f>HYPERLINK("https://klasma.github.io/Logging_0604/kartor/A 3856-2019 karta.png", "A 3856-2019")</f>
        <v/>
      </c>
      <c r="V144">
        <f>HYPERLINK("https://klasma.github.io/Logging_0604/klagomål/A 3856-2019 FSC-klagomål.docx", "A 3856-2019")</f>
        <v/>
      </c>
      <c r="W144">
        <f>HYPERLINK("https://klasma.github.io/Logging_0604/klagomålsmail/A 3856-2019 FSC-klagomål mail.docx", "A 3856-2019")</f>
        <v/>
      </c>
      <c r="X144">
        <f>HYPERLINK("https://klasma.github.io/Logging_0604/tillsyn/A 3856-2019 tillsynsbegäran.docx", "A 3856-2019")</f>
        <v/>
      </c>
      <c r="Y144">
        <f>HYPERLINK("https://klasma.github.io/Logging_0604/tillsynsmail/A 3856-2019 tillsynsbegäran mail.docx", "A 3856-2019")</f>
        <v/>
      </c>
    </row>
    <row r="145" ht="15" customHeight="1">
      <c r="A145" t="inlineStr">
        <is>
          <t>A 6531-2019</t>
        </is>
      </c>
      <c r="B145" s="1" t="n">
        <v>43487</v>
      </c>
      <c r="C145" s="1" t="n">
        <v>45225</v>
      </c>
      <c r="D145" t="inlineStr">
        <is>
          <t>JÖNKÖPINGS LÄN</t>
        </is>
      </c>
      <c r="E145" t="inlineStr">
        <is>
          <t>TRANÅS</t>
        </is>
      </c>
      <c r="G145" t="n">
        <v>14.5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Strutbräken</t>
        </is>
      </c>
      <c r="S145">
        <f>HYPERLINK("https://klasma.github.io/Logging_0687/artfynd/A 6531-2019 artfynd.xlsx", "A 6531-2019")</f>
        <v/>
      </c>
      <c r="T145">
        <f>HYPERLINK("https://klasma.github.io/Logging_0687/kartor/A 6531-2019 karta.png", "A 6531-2019")</f>
        <v/>
      </c>
      <c r="V145">
        <f>HYPERLINK("https://klasma.github.io/Logging_0687/klagomål/A 6531-2019 FSC-klagomål.docx", "A 6531-2019")</f>
        <v/>
      </c>
      <c r="W145">
        <f>HYPERLINK("https://klasma.github.io/Logging_0687/klagomålsmail/A 6531-2019 FSC-klagomål mail.docx", "A 6531-2019")</f>
        <v/>
      </c>
      <c r="X145">
        <f>HYPERLINK("https://klasma.github.io/Logging_0687/tillsyn/A 6531-2019 tillsynsbegäran.docx", "A 6531-2019")</f>
        <v/>
      </c>
      <c r="Y145">
        <f>HYPERLINK("https://klasma.github.io/Logging_0687/tillsynsmail/A 6531-2019 tillsynsbegäran mail.docx", "A 6531-2019")</f>
        <v/>
      </c>
    </row>
    <row r="146" ht="15" customHeight="1">
      <c r="A146" t="inlineStr">
        <is>
          <t>A 5382-2019</t>
        </is>
      </c>
      <c r="B146" s="1" t="n">
        <v>43488</v>
      </c>
      <c r="C146" s="1" t="n">
        <v>45225</v>
      </c>
      <c r="D146" t="inlineStr">
        <is>
          <t>JÖNKÖPINGS LÄN</t>
        </is>
      </c>
      <c r="E146" t="inlineStr">
        <is>
          <t>MULLSJÖ</t>
        </is>
      </c>
      <c r="F146" t="inlineStr">
        <is>
          <t>Kommuner</t>
        </is>
      </c>
      <c r="G146" t="n">
        <v>4.3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Blomkålssvamp</t>
        </is>
      </c>
      <c r="S146">
        <f>HYPERLINK("https://klasma.github.io/Logging_0642/artfynd/A 5382-2019 artfynd.xlsx", "A 5382-2019")</f>
        <v/>
      </c>
      <c r="T146">
        <f>HYPERLINK("https://klasma.github.io/Logging_0642/kartor/A 5382-2019 karta.png", "A 5382-2019")</f>
        <v/>
      </c>
      <c r="V146">
        <f>HYPERLINK("https://klasma.github.io/Logging_0642/klagomål/A 5382-2019 FSC-klagomål.docx", "A 5382-2019")</f>
        <v/>
      </c>
      <c r="W146">
        <f>HYPERLINK("https://klasma.github.io/Logging_0642/klagomålsmail/A 5382-2019 FSC-klagomål mail.docx", "A 5382-2019")</f>
        <v/>
      </c>
      <c r="X146">
        <f>HYPERLINK("https://klasma.github.io/Logging_0642/tillsyn/A 5382-2019 tillsynsbegäran.docx", "A 5382-2019")</f>
        <v/>
      </c>
      <c r="Y146">
        <f>HYPERLINK("https://klasma.github.io/Logging_0642/tillsynsmail/A 5382-2019 tillsynsbegäran mail.docx", "A 5382-2019")</f>
        <v/>
      </c>
    </row>
    <row r="147" ht="15" customHeight="1">
      <c r="A147" t="inlineStr">
        <is>
          <t>A 5571-2019</t>
        </is>
      </c>
      <c r="B147" s="1" t="n">
        <v>43489</v>
      </c>
      <c r="C147" s="1" t="n">
        <v>45225</v>
      </c>
      <c r="D147" t="inlineStr">
        <is>
          <t>JÖNKÖPINGS LÄN</t>
        </is>
      </c>
      <c r="E147" t="inlineStr">
        <is>
          <t>VETLANDA</t>
        </is>
      </c>
      <c r="F147" t="inlineStr">
        <is>
          <t>Kommuner</t>
        </is>
      </c>
      <c r="G147" t="n">
        <v>1.2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HYPERLINK("https://klasma.github.io/Logging_0685/artfynd/A 5571-2019 artfynd.xlsx", "A 5571-2019")</f>
        <v/>
      </c>
      <c r="T147">
        <f>HYPERLINK("https://klasma.github.io/Logging_0685/kartor/A 5571-2019 karta.png", "A 5571-2019")</f>
        <v/>
      </c>
      <c r="V147">
        <f>HYPERLINK("https://klasma.github.io/Logging_0685/klagomål/A 5571-2019 FSC-klagomål.docx", "A 5571-2019")</f>
        <v/>
      </c>
      <c r="W147">
        <f>HYPERLINK("https://klasma.github.io/Logging_0685/klagomålsmail/A 5571-2019 FSC-klagomål mail.docx", "A 5571-2019")</f>
        <v/>
      </c>
      <c r="X147">
        <f>HYPERLINK("https://klasma.github.io/Logging_0685/tillsyn/A 5571-2019 tillsynsbegäran.docx", "A 5571-2019")</f>
        <v/>
      </c>
      <c r="Y147">
        <f>HYPERLINK("https://klasma.github.io/Logging_0685/tillsynsmail/A 5571-2019 tillsynsbegäran mail.docx", "A 5571-2019")</f>
        <v/>
      </c>
    </row>
    <row r="148" ht="15" customHeight="1">
      <c r="A148" t="inlineStr">
        <is>
          <t>A 7961-2019</t>
        </is>
      </c>
      <c r="B148" s="1" t="n">
        <v>43493</v>
      </c>
      <c r="C148" s="1" t="n">
        <v>45225</v>
      </c>
      <c r="D148" t="inlineStr">
        <is>
          <t>JÖNKÖPINGS LÄN</t>
        </is>
      </c>
      <c r="E148" t="inlineStr">
        <is>
          <t>SÄVSJÖ</t>
        </is>
      </c>
      <c r="G148" t="n">
        <v>5.3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Barkkornlav</t>
        </is>
      </c>
      <c r="S148">
        <f>HYPERLINK("https://klasma.github.io/Logging_0684/artfynd/A 7961-2019 artfynd.xlsx", "A 7961-2019")</f>
        <v/>
      </c>
      <c r="T148">
        <f>HYPERLINK("https://klasma.github.io/Logging_0684/kartor/A 7961-2019 karta.png", "A 7961-2019")</f>
        <v/>
      </c>
      <c r="V148">
        <f>HYPERLINK("https://klasma.github.io/Logging_0684/klagomål/A 7961-2019 FSC-klagomål.docx", "A 7961-2019")</f>
        <v/>
      </c>
      <c r="W148">
        <f>HYPERLINK("https://klasma.github.io/Logging_0684/klagomålsmail/A 7961-2019 FSC-klagomål mail.docx", "A 7961-2019")</f>
        <v/>
      </c>
      <c r="X148">
        <f>HYPERLINK("https://klasma.github.io/Logging_0684/tillsyn/A 7961-2019 tillsynsbegäran.docx", "A 7961-2019")</f>
        <v/>
      </c>
      <c r="Y148">
        <f>HYPERLINK("https://klasma.github.io/Logging_0684/tillsynsmail/A 7961-2019 tillsynsbegäran mail.docx", "A 7961-2019")</f>
        <v/>
      </c>
    </row>
    <row r="149" ht="15" customHeight="1">
      <c r="A149" t="inlineStr">
        <is>
          <t>A 7951-2019</t>
        </is>
      </c>
      <c r="B149" s="1" t="n">
        <v>43493</v>
      </c>
      <c r="C149" s="1" t="n">
        <v>45225</v>
      </c>
      <c r="D149" t="inlineStr">
        <is>
          <t>JÖNKÖPINGS LÄN</t>
        </is>
      </c>
      <c r="E149" t="inlineStr">
        <is>
          <t>SÄVSJÖ</t>
        </is>
      </c>
      <c r="G149" t="n">
        <v>2.5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HYPERLINK("https://klasma.github.io/Logging_0684/artfynd/A 7951-2019 artfynd.xlsx", "A 7951-2019")</f>
        <v/>
      </c>
      <c r="T149">
        <f>HYPERLINK("https://klasma.github.io/Logging_0684/kartor/A 7951-2019 karta.png", "A 7951-2019")</f>
        <v/>
      </c>
      <c r="V149">
        <f>HYPERLINK("https://klasma.github.io/Logging_0684/klagomål/A 7951-2019 FSC-klagomål.docx", "A 7951-2019")</f>
        <v/>
      </c>
      <c r="W149">
        <f>HYPERLINK("https://klasma.github.io/Logging_0684/klagomålsmail/A 7951-2019 FSC-klagomål mail.docx", "A 7951-2019")</f>
        <v/>
      </c>
      <c r="X149">
        <f>HYPERLINK("https://klasma.github.io/Logging_0684/tillsyn/A 7951-2019 tillsynsbegäran.docx", "A 7951-2019")</f>
        <v/>
      </c>
      <c r="Y149">
        <f>HYPERLINK("https://klasma.github.io/Logging_0684/tillsynsmail/A 7951-2019 tillsynsbegäran mail.docx", "A 7951-2019")</f>
        <v/>
      </c>
    </row>
    <row r="150" ht="15" customHeight="1">
      <c r="A150" t="inlineStr">
        <is>
          <t>A 11386-2019</t>
        </is>
      </c>
      <c r="B150" s="1" t="n">
        <v>43517</v>
      </c>
      <c r="C150" s="1" t="n">
        <v>45225</v>
      </c>
      <c r="D150" t="inlineStr">
        <is>
          <t>JÖNKÖPINGS LÄN</t>
        </is>
      </c>
      <c r="E150" t="inlineStr">
        <is>
          <t>EKSJÖ</t>
        </is>
      </c>
      <c r="F150" t="inlineStr">
        <is>
          <t>Kommuner</t>
        </is>
      </c>
      <c r="G150" t="n">
        <v>9.4</v>
      </c>
      <c r="H150" t="n">
        <v>1</v>
      </c>
      <c r="I150" t="n">
        <v>0</v>
      </c>
      <c r="J150" t="n">
        <v>0</v>
      </c>
      <c r="K150" t="n">
        <v>0</v>
      </c>
      <c r="L150" t="n">
        <v>1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Mosippa</t>
        </is>
      </c>
      <c r="S150">
        <f>HYPERLINK("https://klasma.github.io/Logging_0686/artfynd/A 11386-2019 artfynd.xlsx", "A 11386-2019")</f>
        <v/>
      </c>
      <c r="T150">
        <f>HYPERLINK("https://klasma.github.io/Logging_0686/kartor/A 11386-2019 karta.png", "A 11386-2019")</f>
        <v/>
      </c>
      <c r="V150">
        <f>HYPERLINK("https://klasma.github.io/Logging_0686/klagomål/A 11386-2019 FSC-klagomål.docx", "A 11386-2019")</f>
        <v/>
      </c>
      <c r="W150">
        <f>HYPERLINK("https://klasma.github.io/Logging_0686/klagomålsmail/A 11386-2019 FSC-klagomål mail.docx", "A 11386-2019")</f>
        <v/>
      </c>
      <c r="X150">
        <f>HYPERLINK("https://klasma.github.io/Logging_0686/tillsyn/A 11386-2019 tillsynsbegäran.docx", "A 11386-2019")</f>
        <v/>
      </c>
      <c r="Y150">
        <f>HYPERLINK("https://klasma.github.io/Logging_0686/tillsynsmail/A 11386-2019 tillsynsbegäran mail.docx", "A 11386-2019")</f>
        <v/>
      </c>
    </row>
    <row r="151" ht="15" customHeight="1">
      <c r="A151" t="inlineStr">
        <is>
          <t>A 11495-2019</t>
        </is>
      </c>
      <c r="B151" s="1" t="n">
        <v>43517</v>
      </c>
      <c r="C151" s="1" t="n">
        <v>45225</v>
      </c>
      <c r="D151" t="inlineStr">
        <is>
          <t>JÖNKÖPINGS LÄN</t>
        </is>
      </c>
      <c r="E151" t="inlineStr">
        <is>
          <t>VETLANDA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Slåttergubbe</t>
        </is>
      </c>
      <c r="S151">
        <f>HYPERLINK("https://klasma.github.io/Logging_0685/artfynd/A 11495-2019 artfynd.xlsx", "A 11495-2019")</f>
        <v/>
      </c>
      <c r="T151">
        <f>HYPERLINK("https://klasma.github.io/Logging_0685/kartor/A 11495-2019 karta.png", "A 11495-2019")</f>
        <v/>
      </c>
      <c r="V151">
        <f>HYPERLINK("https://klasma.github.io/Logging_0685/klagomål/A 11495-2019 FSC-klagomål.docx", "A 11495-2019")</f>
        <v/>
      </c>
      <c r="W151">
        <f>HYPERLINK("https://klasma.github.io/Logging_0685/klagomålsmail/A 11495-2019 FSC-klagomål mail.docx", "A 11495-2019")</f>
        <v/>
      </c>
      <c r="X151">
        <f>HYPERLINK("https://klasma.github.io/Logging_0685/tillsyn/A 11495-2019 tillsynsbegäran.docx", "A 11495-2019")</f>
        <v/>
      </c>
      <c r="Y151">
        <f>HYPERLINK("https://klasma.github.io/Logging_0685/tillsynsmail/A 11495-2019 tillsynsbegäran mail.docx", "A 11495-2019")</f>
        <v/>
      </c>
    </row>
    <row r="152" ht="15" customHeight="1">
      <c r="A152" t="inlineStr">
        <is>
          <t>A 12981-2019</t>
        </is>
      </c>
      <c r="B152" s="1" t="n">
        <v>43527</v>
      </c>
      <c r="C152" s="1" t="n">
        <v>45225</v>
      </c>
      <c r="D152" t="inlineStr">
        <is>
          <t>JÖNKÖPINGS LÄN</t>
        </is>
      </c>
      <c r="E152" t="inlineStr">
        <is>
          <t>VETLANDA</t>
        </is>
      </c>
      <c r="G152" t="n">
        <v>13.9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Västlig hakmossa</t>
        </is>
      </c>
      <c r="S152">
        <f>HYPERLINK("https://klasma.github.io/Logging_0685/artfynd/A 12981-2019 artfynd.xlsx", "A 12981-2019")</f>
        <v/>
      </c>
      <c r="T152">
        <f>HYPERLINK("https://klasma.github.io/Logging_0685/kartor/A 12981-2019 karta.png", "A 12981-2019")</f>
        <v/>
      </c>
      <c r="V152">
        <f>HYPERLINK("https://klasma.github.io/Logging_0685/klagomål/A 12981-2019 FSC-klagomål.docx", "A 12981-2019")</f>
        <v/>
      </c>
      <c r="W152">
        <f>HYPERLINK("https://klasma.github.io/Logging_0685/klagomålsmail/A 12981-2019 FSC-klagomål mail.docx", "A 12981-2019")</f>
        <v/>
      </c>
      <c r="X152">
        <f>HYPERLINK("https://klasma.github.io/Logging_0685/tillsyn/A 12981-2019 tillsynsbegäran.docx", "A 12981-2019")</f>
        <v/>
      </c>
      <c r="Y152">
        <f>HYPERLINK("https://klasma.github.io/Logging_0685/tillsynsmail/A 12981-2019 tillsynsbegäran mail.docx", "A 12981-2019")</f>
        <v/>
      </c>
    </row>
    <row r="153" ht="15" customHeight="1">
      <c r="A153" t="inlineStr">
        <is>
          <t>A 20003-2019</t>
        </is>
      </c>
      <c r="B153" s="1" t="n">
        <v>43570</v>
      </c>
      <c r="C153" s="1" t="n">
        <v>45225</v>
      </c>
      <c r="D153" t="inlineStr">
        <is>
          <t>JÖNKÖPINGS LÄN</t>
        </is>
      </c>
      <c r="E153" t="inlineStr">
        <is>
          <t>VÄRNAMO</t>
        </is>
      </c>
      <c r="G153" t="n">
        <v>4.7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Skogsödla</t>
        </is>
      </c>
      <c r="S153">
        <f>HYPERLINK("https://klasma.github.io/Logging_0683/artfynd/A 20003-2019 artfynd.xlsx", "A 20003-2019")</f>
        <v/>
      </c>
      <c r="T153">
        <f>HYPERLINK("https://klasma.github.io/Logging_0683/kartor/A 20003-2019 karta.png", "A 20003-2019")</f>
        <v/>
      </c>
      <c r="V153">
        <f>HYPERLINK("https://klasma.github.io/Logging_0683/klagomål/A 20003-2019 FSC-klagomål.docx", "A 20003-2019")</f>
        <v/>
      </c>
      <c r="W153">
        <f>HYPERLINK("https://klasma.github.io/Logging_0683/klagomålsmail/A 20003-2019 FSC-klagomål mail.docx", "A 20003-2019")</f>
        <v/>
      </c>
      <c r="X153">
        <f>HYPERLINK("https://klasma.github.io/Logging_0683/tillsyn/A 20003-2019 tillsynsbegäran.docx", "A 20003-2019")</f>
        <v/>
      </c>
      <c r="Y153">
        <f>HYPERLINK("https://klasma.github.io/Logging_0683/tillsynsmail/A 20003-2019 tillsynsbegäran mail.docx", "A 20003-2019")</f>
        <v/>
      </c>
    </row>
    <row r="154" ht="15" customHeight="1">
      <c r="A154" t="inlineStr">
        <is>
          <t>A 20306-2019</t>
        </is>
      </c>
      <c r="B154" s="1" t="n">
        <v>43571</v>
      </c>
      <c r="C154" s="1" t="n">
        <v>45225</v>
      </c>
      <c r="D154" t="inlineStr">
        <is>
          <t>JÖNKÖPINGS LÄN</t>
        </is>
      </c>
      <c r="E154" t="inlineStr">
        <is>
          <t>VETLANDA</t>
        </is>
      </c>
      <c r="G154" t="n">
        <v>8.800000000000001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Orange taggsvamp</t>
        </is>
      </c>
      <c r="S154">
        <f>HYPERLINK("https://klasma.github.io/Logging_0685/artfynd/A 20306-2019 artfynd.xlsx", "A 20306-2019")</f>
        <v/>
      </c>
      <c r="T154">
        <f>HYPERLINK("https://klasma.github.io/Logging_0685/kartor/A 20306-2019 karta.png", "A 20306-2019")</f>
        <v/>
      </c>
      <c r="V154">
        <f>HYPERLINK("https://klasma.github.io/Logging_0685/klagomål/A 20306-2019 FSC-klagomål.docx", "A 20306-2019")</f>
        <v/>
      </c>
      <c r="W154">
        <f>HYPERLINK("https://klasma.github.io/Logging_0685/klagomålsmail/A 20306-2019 FSC-klagomål mail.docx", "A 20306-2019")</f>
        <v/>
      </c>
      <c r="X154">
        <f>HYPERLINK("https://klasma.github.io/Logging_0685/tillsyn/A 20306-2019 tillsynsbegäran.docx", "A 20306-2019")</f>
        <v/>
      </c>
      <c r="Y154">
        <f>HYPERLINK("https://klasma.github.io/Logging_0685/tillsynsmail/A 20306-2019 tillsynsbegäran mail.docx", "A 20306-2019")</f>
        <v/>
      </c>
    </row>
    <row r="155" ht="15" customHeight="1">
      <c r="A155" t="inlineStr">
        <is>
          <t>A 20308-2019</t>
        </is>
      </c>
      <c r="B155" s="1" t="n">
        <v>43571</v>
      </c>
      <c r="C155" s="1" t="n">
        <v>45225</v>
      </c>
      <c r="D155" t="inlineStr">
        <is>
          <t>JÖNKÖPINGS LÄN</t>
        </is>
      </c>
      <c r="E155" t="inlineStr">
        <is>
          <t>VETLANDA</t>
        </is>
      </c>
      <c r="G155" t="n">
        <v>7.1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HYPERLINK("https://klasma.github.io/Logging_0685/artfynd/A 20308-2019 artfynd.xlsx", "A 20308-2019")</f>
        <v/>
      </c>
      <c r="T155">
        <f>HYPERLINK("https://klasma.github.io/Logging_0685/kartor/A 20308-2019 karta.png", "A 20308-2019")</f>
        <v/>
      </c>
      <c r="U155">
        <f>HYPERLINK("https://klasma.github.io/Logging_0685/knärot/A 20308-2019 karta knärot.png", "A 20308-2019")</f>
        <v/>
      </c>
      <c r="V155">
        <f>HYPERLINK("https://klasma.github.io/Logging_0685/klagomål/A 20308-2019 FSC-klagomål.docx", "A 20308-2019")</f>
        <v/>
      </c>
      <c r="W155">
        <f>HYPERLINK("https://klasma.github.io/Logging_0685/klagomålsmail/A 20308-2019 FSC-klagomål mail.docx", "A 20308-2019")</f>
        <v/>
      </c>
      <c r="X155">
        <f>HYPERLINK("https://klasma.github.io/Logging_0685/tillsyn/A 20308-2019 tillsynsbegäran.docx", "A 20308-2019")</f>
        <v/>
      </c>
      <c r="Y155">
        <f>HYPERLINK("https://klasma.github.io/Logging_0685/tillsynsmail/A 20308-2019 tillsynsbegäran mail.docx", "A 20308-2019")</f>
        <v/>
      </c>
    </row>
    <row r="156" ht="15" customHeight="1">
      <c r="A156" t="inlineStr">
        <is>
          <t>A 22477-2019</t>
        </is>
      </c>
      <c r="B156" s="1" t="n">
        <v>43587</v>
      </c>
      <c r="C156" s="1" t="n">
        <v>45225</v>
      </c>
      <c r="D156" t="inlineStr">
        <is>
          <t>JÖNKÖPINGS LÄN</t>
        </is>
      </c>
      <c r="E156" t="inlineStr">
        <is>
          <t>TRANÅS</t>
        </is>
      </c>
      <c r="F156" t="inlineStr">
        <is>
          <t>Kyrkan</t>
        </is>
      </c>
      <c r="G156" t="n">
        <v>5.5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HYPERLINK("https://klasma.github.io/Logging_0687/artfynd/A 22477-2019 artfynd.xlsx", "A 22477-2019")</f>
        <v/>
      </c>
      <c r="T156">
        <f>HYPERLINK("https://klasma.github.io/Logging_0687/kartor/A 22477-2019 karta.png", "A 22477-2019")</f>
        <v/>
      </c>
      <c r="V156">
        <f>HYPERLINK("https://klasma.github.io/Logging_0687/klagomål/A 22477-2019 FSC-klagomål.docx", "A 22477-2019")</f>
        <v/>
      </c>
      <c r="W156">
        <f>HYPERLINK("https://klasma.github.io/Logging_0687/klagomålsmail/A 22477-2019 FSC-klagomål mail.docx", "A 22477-2019")</f>
        <v/>
      </c>
      <c r="X156">
        <f>HYPERLINK("https://klasma.github.io/Logging_0687/tillsyn/A 22477-2019 tillsynsbegäran.docx", "A 22477-2019")</f>
        <v/>
      </c>
      <c r="Y156">
        <f>HYPERLINK("https://klasma.github.io/Logging_0687/tillsynsmail/A 22477-2019 tillsynsbegäran mail.docx", "A 22477-2019")</f>
        <v/>
      </c>
    </row>
    <row r="157" ht="15" customHeight="1">
      <c r="A157" t="inlineStr">
        <is>
          <t>A 23988-2019</t>
        </is>
      </c>
      <c r="B157" s="1" t="n">
        <v>43595</v>
      </c>
      <c r="C157" s="1" t="n">
        <v>45225</v>
      </c>
      <c r="D157" t="inlineStr">
        <is>
          <t>JÖNKÖPINGS LÄN</t>
        </is>
      </c>
      <c r="E157" t="inlineStr">
        <is>
          <t>VETLANDA</t>
        </is>
      </c>
      <c r="G157" t="n">
        <v>1.9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Strutbräken</t>
        </is>
      </c>
      <c r="S157">
        <f>HYPERLINK("https://klasma.github.io/Logging_0685/artfynd/A 23988-2019 artfynd.xlsx", "A 23988-2019")</f>
        <v/>
      </c>
      <c r="T157">
        <f>HYPERLINK("https://klasma.github.io/Logging_0685/kartor/A 23988-2019 karta.png", "A 23988-2019")</f>
        <v/>
      </c>
      <c r="V157">
        <f>HYPERLINK("https://klasma.github.io/Logging_0685/klagomål/A 23988-2019 FSC-klagomål.docx", "A 23988-2019")</f>
        <v/>
      </c>
      <c r="W157">
        <f>HYPERLINK("https://klasma.github.io/Logging_0685/klagomålsmail/A 23988-2019 FSC-klagomål mail.docx", "A 23988-2019")</f>
        <v/>
      </c>
      <c r="X157">
        <f>HYPERLINK("https://klasma.github.io/Logging_0685/tillsyn/A 23988-2019 tillsynsbegäran.docx", "A 23988-2019")</f>
        <v/>
      </c>
      <c r="Y157">
        <f>HYPERLINK("https://klasma.github.io/Logging_0685/tillsynsmail/A 23988-2019 tillsynsbegäran mail.docx", "A 23988-2019")</f>
        <v/>
      </c>
    </row>
    <row r="158" ht="15" customHeight="1">
      <c r="A158" t="inlineStr">
        <is>
          <t>A 25880-2019</t>
        </is>
      </c>
      <c r="B158" s="1" t="n">
        <v>43605</v>
      </c>
      <c r="C158" s="1" t="n">
        <v>45225</v>
      </c>
      <c r="D158" t="inlineStr">
        <is>
          <t>JÖNKÖPINGS LÄN</t>
        </is>
      </c>
      <c r="E158" t="inlineStr">
        <is>
          <t>VETLANDA</t>
        </is>
      </c>
      <c r="F158" t="inlineStr">
        <is>
          <t>Kommuner</t>
        </is>
      </c>
      <c r="G158" t="n">
        <v>4.8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HYPERLINK("https://klasma.github.io/Logging_0685/artfynd/A 25880-2019 artfynd.xlsx", "A 25880-2019")</f>
        <v/>
      </c>
      <c r="T158">
        <f>HYPERLINK("https://klasma.github.io/Logging_0685/kartor/A 25880-2019 karta.png", "A 25880-2019")</f>
        <v/>
      </c>
      <c r="U158">
        <f>HYPERLINK("https://klasma.github.io/Logging_0685/knärot/A 25880-2019 karta knärot.png", "A 25880-2019")</f>
        <v/>
      </c>
      <c r="V158">
        <f>HYPERLINK("https://klasma.github.io/Logging_0685/klagomål/A 25880-2019 FSC-klagomål.docx", "A 25880-2019")</f>
        <v/>
      </c>
      <c r="W158">
        <f>HYPERLINK("https://klasma.github.io/Logging_0685/klagomålsmail/A 25880-2019 FSC-klagomål mail.docx", "A 25880-2019")</f>
        <v/>
      </c>
      <c r="X158">
        <f>HYPERLINK("https://klasma.github.io/Logging_0685/tillsyn/A 25880-2019 tillsynsbegäran.docx", "A 25880-2019")</f>
        <v/>
      </c>
      <c r="Y158">
        <f>HYPERLINK("https://klasma.github.io/Logging_0685/tillsynsmail/A 25880-2019 tillsynsbegäran mail.docx", "A 25880-2019")</f>
        <v/>
      </c>
    </row>
    <row r="159" ht="15" customHeight="1">
      <c r="A159" t="inlineStr">
        <is>
          <t>A 25827-2019</t>
        </is>
      </c>
      <c r="B159" s="1" t="n">
        <v>43608</v>
      </c>
      <c r="C159" s="1" t="n">
        <v>45225</v>
      </c>
      <c r="D159" t="inlineStr">
        <is>
          <t>JÖNKÖPINGS LÄN</t>
        </is>
      </c>
      <c r="E159" t="inlineStr">
        <is>
          <t>NÄSSJÖ</t>
        </is>
      </c>
      <c r="G159" t="n">
        <v>10.2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Åkerrättika</t>
        </is>
      </c>
      <c r="S159">
        <f>HYPERLINK("https://klasma.github.io/Logging_0682/artfynd/A 25827-2019 artfynd.xlsx", "A 25827-2019")</f>
        <v/>
      </c>
      <c r="T159">
        <f>HYPERLINK("https://klasma.github.io/Logging_0682/kartor/A 25827-2019 karta.png", "A 25827-2019")</f>
        <v/>
      </c>
      <c r="V159">
        <f>HYPERLINK("https://klasma.github.io/Logging_0682/klagomål/A 25827-2019 FSC-klagomål.docx", "A 25827-2019")</f>
        <v/>
      </c>
      <c r="W159">
        <f>HYPERLINK("https://klasma.github.io/Logging_0682/klagomålsmail/A 25827-2019 FSC-klagomål mail.docx", "A 25827-2019")</f>
        <v/>
      </c>
      <c r="X159">
        <f>HYPERLINK("https://klasma.github.io/Logging_0682/tillsyn/A 25827-2019 tillsynsbegäran.docx", "A 25827-2019")</f>
        <v/>
      </c>
      <c r="Y159">
        <f>HYPERLINK("https://klasma.github.io/Logging_0682/tillsynsmail/A 25827-2019 tillsynsbegäran mail.docx", "A 25827-2019")</f>
        <v/>
      </c>
    </row>
    <row r="160" ht="15" customHeight="1">
      <c r="A160" t="inlineStr">
        <is>
          <t>A 26905-2019</t>
        </is>
      </c>
      <c r="B160" s="1" t="n">
        <v>43609</v>
      </c>
      <c r="C160" s="1" t="n">
        <v>45225</v>
      </c>
      <c r="D160" t="inlineStr">
        <is>
          <t>JÖNKÖPINGS LÄN</t>
        </is>
      </c>
      <c r="E160" t="inlineStr">
        <is>
          <t>JÖNKÖPING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Kustdaggkåpa</t>
        </is>
      </c>
      <c r="S160">
        <f>HYPERLINK("https://klasma.github.io/Logging_0680/artfynd/A 26905-2019 artfynd.xlsx", "A 26905-2019")</f>
        <v/>
      </c>
      <c r="T160">
        <f>HYPERLINK("https://klasma.github.io/Logging_0680/kartor/A 26905-2019 karta.png", "A 26905-2019")</f>
        <v/>
      </c>
      <c r="V160">
        <f>HYPERLINK("https://klasma.github.io/Logging_0680/klagomål/A 26905-2019 FSC-klagomål.docx", "A 26905-2019")</f>
        <v/>
      </c>
      <c r="W160">
        <f>HYPERLINK("https://klasma.github.io/Logging_0680/klagomålsmail/A 26905-2019 FSC-klagomål mail.docx", "A 26905-2019")</f>
        <v/>
      </c>
      <c r="X160">
        <f>HYPERLINK("https://klasma.github.io/Logging_0680/tillsyn/A 26905-2019 tillsynsbegäran.docx", "A 26905-2019")</f>
        <v/>
      </c>
      <c r="Y160">
        <f>HYPERLINK("https://klasma.github.io/Logging_0680/tillsynsmail/A 26905-2019 tillsynsbegäran mail.docx", "A 26905-2019")</f>
        <v/>
      </c>
    </row>
    <row r="161" ht="15" customHeight="1">
      <c r="A161" t="inlineStr">
        <is>
          <t>A 26629-2019</t>
        </is>
      </c>
      <c r="B161" s="1" t="n">
        <v>43612</v>
      </c>
      <c r="C161" s="1" t="n">
        <v>45225</v>
      </c>
      <c r="D161" t="inlineStr">
        <is>
          <t>JÖNKÖPINGS LÄN</t>
        </is>
      </c>
      <c r="E161" t="inlineStr">
        <is>
          <t>TRANÅS</t>
        </is>
      </c>
      <c r="G161" t="n">
        <v>11.2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Tallticka</t>
        </is>
      </c>
      <c r="S161">
        <f>HYPERLINK("https://klasma.github.io/Logging_0687/artfynd/A 26629-2019 artfynd.xlsx", "A 26629-2019")</f>
        <v/>
      </c>
      <c r="T161">
        <f>HYPERLINK("https://klasma.github.io/Logging_0687/kartor/A 26629-2019 karta.png", "A 26629-2019")</f>
        <v/>
      </c>
      <c r="V161">
        <f>HYPERLINK("https://klasma.github.io/Logging_0687/klagomål/A 26629-2019 FSC-klagomål.docx", "A 26629-2019")</f>
        <v/>
      </c>
      <c r="W161">
        <f>HYPERLINK("https://klasma.github.io/Logging_0687/klagomålsmail/A 26629-2019 FSC-klagomål mail.docx", "A 26629-2019")</f>
        <v/>
      </c>
      <c r="X161">
        <f>HYPERLINK("https://klasma.github.io/Logging_0687/tillsyn/A 26629-2019 tillsynsbegäran.docx", "A 26629-2019")</f>
        <v/>
      </c>
      <c r="Y161">
        <f>HYPERLINK("https://klasma.github.io/Logging_0687/tillsynsmail/A 26629-2019 tillsynsbegäran mail.docx", "A 26629-2019")</f>
        <v/>
      </c>
    </row>
    <row r="162" ht="15" customHeight="1">
      <c r="A162" t="inlineStr">
        <is>
          <t>A 26583-2019</t>
        </is>
      </c>
      <c r="B162" s="1" t="n">
        <v>43612</v>
      </c>
      <c r="C162" s="1" t="n">
        <v>45225</v>
      </c>
      <c r="D162" t="inlineStr">
        <is>
          <t>JÖNKÖPINGS LÄN</t>
        </is>
      </c>
      <c r="E162" t="inlineStr">
        <is>
          <t>ANEBY</t>
        </is>
      </c>
      <c r="G162" t="n">
        <v>5.8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Mattlummer</t>
        </is>
      </c>
      <c r="S162">
        <f>HYPERLINK("https://klasma.github.io/Logging_0604/artfynd/A 26583-2019 artfynd.xlsx", "A 26583-2019")</f>
        <v/>
      </c>
      <c r="T162">
        <f>HYPERLINK("https://klasma.github.io/Logging_0604/kartor/A 26583-2019 karta.png", "A 26583-2019")</f>
        <v/>
      </c>
      <c r="V162">
        <f>HYPERLINK("https://klasma.github.io/Logging_0604/klagomål/A 26583-2019 FSC-klagomål.docx", "A 26583-2019")</f>
        <v/>
      </c>
      <c r="W162">
        <f>HYPERLINK("https://klasma.github.io/Logging_0604/klagomålsmail/A 26583-2019 FSC-klagomål mail.docx", "A 26583-2019")</f>
        <v/>
      </c>
      <c r="X162">
        <f>HYPERLINK("https://klasma.github.io/Logging_0604/tillsyn/A 26583-2019 tillsynsbegäran.docx", "A 26583-2019")</f>
        <v/>
      </c>
      <c r="Y162">
        <f>HYPERLINK("https://klasma.github.io/Logging_0604/tillsynsmail/A 26583-2019 tillsynsbegäran mail.docx", "A 26583-2019")</f>
        <v/>
      </c>
    </row>
    <row r="163" ht="15" customHeight="1">
      <c r="A163" t="inlineStr">
        <is>
          <t>A 28694-2019</t>
        </is>
      </c>
      <c r="B163" s="1" t="n">
        <v>43614</v>
      </c>
      <c r="C163" s="1" t="n">
        <v>45225</v>
      </c>
      <c r="D163" t="inlineStr">
        <is>
          <t>JÖNKÖPINGS LÄN</t>
        </is>
      </c>
      <c r="E163" t="inlineStr">
        <is>
          <t>JÖNKÖPING</t>
        </is>
      </c>
      <c r="G163" t="n">
        <v>1.4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HYPERLINK("https://klasma.github.io/Logging_0680/artfynd/A 28694-2019 artfynd.xlsx", "A 28694-2019")</f>
        <v/>
      </c>
      <c r="T163">
        <f>HYPERLINK("https://klasma.github.io/Logging_0680/kartor/A 28694-2019 karta.png", "A 28694-2019")</f>
        <v/>
      </c>
      <c r="U163">
        <f>HYPERLINK("https://klasma.github.io/Logging_0680/knärot/A 28694-2019 karta knärot.png", "A 28694-2019")</f>
        <v/>
      </c>
      <c r="V163">
        <f>HYPERLINK("https://klasma.github.io/Logging_0680/klagomål/A 28694-2019 FSC-klagomål.docx", "A 28694-2019")</f>
        <v/>
      </c>
      <c r="W163">
        <f>HYPERLINK("https://klasma.github.io/Logging_0680/klagomålsmail/A 28694-2019 FSC-klagomål mail.docx", "A 28694-2019")</f>
        <v/>
      </c>
      <c r="X163">
        <f>HYPERLINK("https://klasma.github.io/Logging_0680/tillsyn/A 28694-2019 tillsynsbegäran.docx", "A 28694-2019")</f>
        <v/>
      </c>
      <c r="Y163">
        <f>HYPERLINK("https://klasma.github.io/Logging_0680/tillsynsmail/A 28694-2019 tillsynsbegäran mail.docx", "A 28694-2019")</f>
        <v/>
      </c>
    </row>
    <row r="164" ht="15" customHeight="1">
      <c r="A164" t="inlineStr">
        <is>
          <t>A 28682-2019</t>
        </is>
      </c>
      <c r="B164" s="1" t="n">
        <v>43627</v>
      </c>
      <c r="C164" s="1" t="n">
        <v>45225</v>
      </c>
      <c r="D164" t="inlineStr">
        <is>
          <t>JÖNKÖPINGS LÄN</t>
        </is>
      </c>
      <c r="E164" t="inlineStr">
        <is>
          <t>JÖNKÖPING</t>
        </is>
      </c>
      <c r="G164" t="n">
        <v>8.9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Grönvit nattviol</t>
        </is>
      </c>
      <c r="S164">
        <f>HYPERLINK("https://klasma.github.io/Logging_0680/artfynd/A 28682-2019 artfynd.xlsx", "A 28682-2019")</f>
        <v/>
      </c>
      <c r="T164">
        <f>HYPERLINK("https://klasma.github.io/Logging_0680/kartor/A 28682-2019 karta.png", "A 28682-2019")</f>
        <v/>
      </c>
      <c r="V164">
        <f>HYPERLINK("https://klasma.github.io/Logging_0680/klagomål/A 28682-2019 FSC-klagomål.docx", "A 28682-2019")</f>
        <v/>
      </c>
      <c r="W164">
        <f>HYPERLINK("https://klasma.github.io/Logging_0680/klagomålsmail/A 28682-2019 FSC-klagomål mail.docx", "A 28682-2019")</f>
        <v/>
      </c>
      <c r="X164">
        <f>HYPERLINK("https://klasma.github.io/Logging_0680/tillsyn/A 28682-2019 tillsynsbegäran.docx", "A 28682-2019")</f>
        <v/>
      </c>
      <c r="Y164">
        <f>HYPERLINK("https://klasma.github.io/Logging_0680/tillsynsmail/A 28682-2019 tillsynsbegäran mail.docx", "A 28682-2019")</f>
        <v/>
      </c>
    </row>
    <row r="165" ht="15" customHeight="1">
      <c r="A165" t="inlineStr">
        <is>
          <t>A 29578-2019</t>
        </is>
      </c>
      <c r="B165" s="1" t="n">
        <v>43627</v>
      </c>
      <c r="C165" s="1" t="n">
        <v>45225</v>
      </c>
      <c r="D165" t="inlineStr">
        <is>
          <t>JÖNKÖPINGS LÄN</t>
        </is>
      </c>
      <c r="E165" t="inlineStr">
        <is>
          <t>VETLANDA</t>
        </is>
      </c>
      <c r="F165" t="inlineStr">
        <is>
          <t>Övriga Aktiebolag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Trollfibbla</t>
        </is>
      </c>
      <c r="S165">
        <f>HYPERLINK("https://klasma.github.io/Logging_0685/artfynd/A 29578-2019 artfynd.xlsx", "A 29578-2019")</f>
        <v/>
      </c>
      <c r="T165">
        <f>HYPERLINK("https://klasma.github.io/Logging_0685/kartor/A 29578-2019 karta.png", "A 29578-2019")</f>
        <v/>
      </c>
      <c r="U165">
        <f>HYPERLINK("https://klasma.github.io/Logging_0685/knärot/A 29578-2019 karta knärot.png", "A 29578-2019")</f>
        <v/>
      </c>
      <c r="V165">
        <f>HYPERLINK("https://klasma.github.io/Logging_0685/klagomål/A 29578-2019 FSC-klagomål.docx", "A 29578-2019")</f>
        <v/>
      </c>
      <c r="W165">
        <f>HYPERLINK("https://klasma.github.io/Logging_0685/klagomålsmail/A 29578-2019 FSC-klagomål mail.docx", "A 29578-2019")</f>
        <v/>
      </c>
      <c r="X165">
        <f>HYPERLINK("https://klasma.github.io/Logging_0685/tillsyn/A 29578-2019 tillsynsbegäran.docx", "A 29578-2019")</f>
        <v/>
      </c>
      <c r="Y165">
        <f>HYPERLINK("https://klasma.github.io/Logging_0685/tillsynsmail/A 29578-2019 tillsynsbegäran mail.docx", "A 29578-2019")</f>
        <v/>
      </c>
    </row>
    <row r="166" ht="15" customHeight="1">
      <c r="A166" t="inlineStr">
        <is>
          <t>A 29990-2019</t>
        </is>
      </c>
      <c r="B166" s="1" t="n">
        <v>43633</v>
      </c>
      <c r="C166" s="1" t="n">
        <v>45225</v>
      </c>
      <c r="D166" t="inlineStr">
        <is>
          <t>JÖNKÖPINGS LÄN</t>
        </is>
      </c>
      <c r="E166" t="inlineStr">
        <is>
          <t>TRANÅS</t>
        </is>
      </c>
      <c r="G166" t="n">
        <v>0.5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Lopplummer</t>
        </is>
      </c>
      <c r="S166">
        <f>HYPERLINK("https://klasma.github.io/Logging_0687/artfynd/A 29990-2019 artfynd.xlsx", "A 29990-2019")</f>
        <v/>
      </c>
      <c r="T166">
        <f>HYPERLINK("https://klasma.github.io/Logging_0687/kartor/A 29990-2019 karta.png", "A 29990-2019")</f>
        <v/>
      </c>
      <c r="V166">
        <f>HYPERLINK("https://klasma.github.io/Logging_0687/klagomål/A 29990-2019 FSC-klagomål.docx", "A 29990-2019")</f>
        <v/>
      </c>
      <c r="W166">
        <f>HYPERLINK("https://klasma.github.io/Logging_0687/klagomålsmail/A 29990-2019 FSC-klagomål mail.docx", "A 29990-2019")</f>
        <v/>
      </c>
      <c r="X166">
        <f>HYPERLINK("https://klasma.github.io/Logging_0687/tillsyn/A 29990-2019 tillsynsbegäran.docx", "A 29990-2019")</f>
        <v/>
      </c>
      <c r="Y166">
        <f>HYPERLINK("https://klasma.github.io/Logging_0687/tillsynsmail/A 29990-2019 tillsynsbegäran mail.docx", "A 29990-2019")</f>
        <v/>
      </c>
    </row>
    <row r="167" ht="15" customHeight="1">
      <c r="A167" t="inlineStr">
        <is>
          <t>A 30971-2019</t>
        </is>
      </c>
      <c r="B167" s="1" t="n">
        <v>43639</v>
      </c>
      <c r="C167" s="1" t="n">
        <v>45225</v>
      </c>
      <c r="D167" t="inlineStr">
        <is>
          <t>JÖNKÖPINGS LÄN</t>
        </is>
      </c>
      <c r="E167" t="inlineStr">
        <is>
          <t>VETLANDA</t>
        </is>
      </c>
      <c r="G167" t="n">
        <v>10.7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Vanlig padda</t>
        </is>
      </c>
      <c r="S167">
        <f>HYPERLINK("https://klasma.github.io/Logging_0685/artfynd/A 30971-2019 artfynd.xlsx", "A 30971-2019")</f>
        <v/>
      </c>
      <c r="T167">
        <f>HYPERLINK("https://klasma.github.io/Logging_0685/kartor/A 30971-2019 karta.png", "A 30971-2019")</f>
        <v/>
      </c>
      <c r="V167">
        <f>HYPERLINK("https://klasma.github.io/Logging_0685/klagomål/A 30971-2019 FSC-klagomål.docx", "A 30971-2019")</f>
        <v/>
      </c>
      <c r="W167">
        <f>HYPERLINK("https://klasma.github.io/Logging_0685/klagomålsmail/A 30971-2019 FSC-klagomål mail.docx", "A 30971-2019")</f>
        <v/>
      </c>
      <c r="X167">
        <f>HYPERLINK("https://klasma.github.io/Logging_0685/tillsyn/A 30971-2019 tillsynsbegäran.docx", "A 30971-2019")</f>
        <v/>
      </c>
      <c r="Y167">
        <f>HYPERLINK("https://klasma.github.io/Logging_0685/tillsynsmail/A 30971-2019 tillsynsbegäran mail.docx", "A 30971-2019")</f>
        <v/>
      </c>
    </row>
    <row r="168" ht="15" customHeight="1">
      <c r="A168" t="inlineStr">
        <is>
          <t>A 34059-2019</t>
        </is>
      </c>
      <c r="B168" s="1" t="n">
        <v>43654</v>
      </c>
      <c r="C168" s="1" t="n">
        <v>45225</v>
      </c>
      <c r="D168" t="inlineStr">
        <is>
          <t>JÖNKÖPINGS LÄN</t>
        </is>
      </c>
      <c r="E168" t="inlineStr">
        <is>
          <t>MULLSJÖ</t>
        </is>
      </c>
      <c r="G168" t="n">
        <v>4.6</v>
      </c>
      <c r="H168" t="n">
        <v>1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Spillkråka</t>
        </is>
      </c>
      <c r="S168">
        <f>HYPERLINK("https://klasma.github.io/Logging_0642/artfynd/A 34059-2019 artfynd.xlsx", "A 34059-2019")</f>
        <v/>
      </c>
      <c r="T168">
        <f>HYPERLINK("https://klasma.github.io/Logging_0642/kartor/A 34059-2019 karta.png", "A 34059-2019")</f>
        <v/>
      </c>
      <c r="V168">
        <f>HYPERLINK("https://klasma.github.io/Logging_0642/klagomål/A 34059-2019 FSC-klagomål.docx", "A 34059-2019")</f>
        <v/>
      </c>
      <c r="W168">
        <f>HYPERLINK("https://klasma.github.io/Logging_0642/klagomålsmail/A 34059-2019 FSC-klagomål mail.docx", "A 34059-2019")</f>
        <v/>
      </c>
      <c r="X168">
        <f>HYPERLINK("https://klasma.github.io/Logging_0642/tillsyn/A 34059-2019 tillsynsbegäran.docx", "A 34059-2019")</f>
        <v/>
      </c>
      <c r="Y168">
        <f>HYPERLINK("https://klasma.github.io/Logging_0642/tillsynsmail/A 34059-2019 tillsynsbegäran mail.docx", "A 34059-2019")</f>
        <v/>
      </c>
    </row>
    <row r="169" ht="15" customHeight="1">
      <c r="A169" t="inlineStr">
        <is>
          <t>A 35825-2019</t>
        </is>
      </c>
      <c r="B169" s="1" t="n">
        <v>43665</v>
      </c>
      <c r="C169" s="1" t="n">
        <v>45225</v>
      </c>
      <c r="D169" t="inlineStr">
        <is>
          <t>JÖNKÖPINGS LÄN</t>
        </is>
      </c>
      <c r="E169" t="inlineStr">
        <is>
          <t>JÖNKÖPING</t>
        </is>
      </c>
      <c r="G169" t="n">
        <v>3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HYPERLINK("https://klasma.github.io/Logging_0680/artfynd/A 35825-2019 artfynd.xlsx", "A 35825-2019")</f>
        <v/>
      </c>
      <c r="T169">
        <f>HYPERLINK("https://klasma.github.io/Logging_0680/kartor/A 35825-2019 karta.png", "A 35825-2019")</f>
        <v/>
      </c>
      <c r="U169">
        <f>HYPERLINK("https://klasma.github.io/Logging_0680/knärot/A 35825-2019 karta knärot.png", "A 35825-2019")</f>
        <v/>
      </c>
      <c r="V169">
        <f>HYPERLINK("https://klasma.github.io/Logging_0680/klagomål/A 35825-2019 FSC-klagomål.docx", "A 35825-2019")</f>
        <v/>
      </c>
      <c r="W169">
        <f>HYPERLINK("https://klasma.github.io/Logging_0680/klagomålsmail/A 35825-2019 FSC-klagomål mail.docx", "A 35825-2019")</f>
        <v/>
      </c>
      <c r="X169">
        <f>HYPERLINK("https://klasma.github.io/Logging_0680/tillsyn/A 35825-2019 tillsynsbegäran.docx", "A 35825-2019")</f>
        <v/>
      </c>
      <c r="Y169">
        <f>HYPERLINK("https://klasma.github.io/Logging_0680/tillsynsmail/A 35825-2019 tillsynsbegäran mail.docx", "A 35825-2019")</f>
        <v/>
      </c>
    </row>
    <row r="170" ht="15" customHeight="1">
      <c r="A170" t="inlineStr">
        <is>
          <t>A 36920-2019</t>
        </is>
      </c>
      <c r="B170" s="1" t="n">
        <v>43675</v>
      </c>
      <c r="C170" s="1" t="n">
        <v>45225</v>
      </c>
      <c r="D170" t="inlineStr">
        <is>
          <t>JÖNKÖPINGS LÄN</t>
        </is>
      </c>
      <c r="E170" t="inlineStr">
        <is>
          <t>SÄVSJÖ</t>
        </is>
      </c>
      <c r="F170" t="inlineStr">
        <is>
          <t>Kyrkan</t>
        </is>
      </c>
      <c r="G170" t="n">
        <v>6.2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Vanlig padda</t>
        </is>
      </c>
      <c r="S170">
        <f>HYPERLINK("https://klasma.github.io/Logging_0684/artfynd/A 36920-2019 artfynd.xlsx", "A 36920-2019")</f>
        <v/>
      </c>
      <c r="T170">
        <f>HYPERLINK("https://klasma.github.io/Logging_0684/kartor/A 36920-2019 karta.png", "A 36920-2019")</f>
        <v/>
      </c>
      <c r="V170">
        <f>HYPERLINK("https://klasma.github.io/Logging_0684/klagomål/A 36920-2019 FSC-klagomål.docx", "A 36920-2019")</f>
        <v/>
      </c>
      <c r="W170">
        <f>HYPERLINK("https://klasma.github.io/Logging_0684/klagomålsmail/A 36920-2019 FSC-klagomål mail.docx", "A 36920-2019")</f>
        <v/>
      </c>
      <c r="X170">
        <f>HYPERLINK("https://klasma.github.io/Logging_0684/tillsyn/A 36920-2019 tillsynsbegäran.docx", "A 36920-2019")</f>
        <v/>
      </c>
      <c r="Y170">
        <f>HYPERLINK("https://klasma.github.io/Logging_0684/tillsynsmail/A 36920-2019 tillsynsbegäran mail.docx", "A 36920-2019")</f>
        <v/>
      </c>
    </row>
    <row r="171" ht="15" customHeight="1">
      <c r="A171" t="inlineStr">
        <is>
          <t>A 38365-2019</t>
        </is>
      </c>
      <c r="B171" s="1" t="n">
        <v>43685</v>
      </c>
      <c r="C171" s="1" t="n">
        <v>45225</v>
      </c>
      <c r="D171" t="inlineStr">
        <is>
          <t>JÖNKÖPINGS LÄN</t>
        </is>
      </c>
      <c r="E171" t="inlineStr">
        <is>
          <t>EKSJÖ</t>
        </is>
      </c>
      <c r="G171" t="n">
        <v>1.8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HYPERLINK("https://klasma.github.io/Logging_0686/artfynd/A 38365-2019 artfynd.xlsx", "A 38365-2019")</f>
        <v/>
      </c>
      <c r="T171">
        <f>HYPERLINK("https://klasma.github.io/Logging_0686/kartor/A 38365-2019 karta.png", "A 38365-2019")</f>
        <v/>
      </c>
      <c r="U171">
        <f>HYPERLINK("https://klasma.github.io/Logging_0686/knärot/A 38365-2019 karta knärot.png", "A 38365-2019")</f>
        <v/>
      </c>
      <c r="V171">
        <f>HYPERLINK("https://klasma.github.io/Logging_0686/klagomål/A 38365-2019 FSC-klagomål.docx", "A 38365-2019")</f>
        <v/>
      </c>
      <c r="W171">
        <f>HYPERLINK("https://klasma.github.io/Logging_0686/klagomålsmail/A 38365-2019 FSC-klagomål mail.docx", "A 38365-2019")</f>
        <v/>
      </c>
      <c r="X171">
        <f>HYPERLINK("https://klasma.github.io/Logging_0686/tillsyn/A 38365-2019 tillsynsbegäran.docx", "A 38365-2019")</f>
        <v/>
      </c>
      <c r="Y171">
        <f>HYPERLINK("https://klasma.github.io/Logging_0686/tillsynsmail/A 38365-2019 tillsynsbegäran mail.docx", "A 38365-2019")</f>
        <v/>
      </c>
    </row>
    <row r="172" ht="15" customHeight="1">
      <c r="A172" t="inlineStr">
        <is>
          <t>A 40949-2019</t>
        </is>
      </c>
      <c r="B172" s="1" t="n">
        <v>43697</v>
      </c>
      <c r="C172" s="1" t="n">
        <v>45225</v>
      </c>
      <c r="D172" t="inlineStr">
        <is>
          <t>JÖNKÖPINGS LÄN</t>
        </is>
      </c>
      <c r="E172" t="inlineStr">
        <is>
          <t>TRANÅS</t>
        </is>
      </c>
      <c r="G172" t="n">
        <v>5.7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HYPERLINK("https://klasma.github.io/Logging_0687/artfynd/A 40949-2019 artfynd.xlsx", "A 40949-2019")</f>
        <v/>
      </c>
      <c r="T172">
        <f>HYPERLINK("https://klasma.github.io/Logging_0687/kartor/A 40949-2019 karta.png", "A 40949-2019")</f>
        <v/>
      </c>
      <c r="U172">
        <f>HYPERLINK("https://klasma.github.io/Logging_0687/knärot/A 40949-2019 karta knärot.png", "A 40949-2019")</f>
        <v/>
      </c>
      <c r="V172">
        <f>HYPERLINK("https://klasma.github.io/Logging_0687/klagomål/A 40949-2019 FSC-klagomål.docx", "A 40949-2019")</f>
        <v/>
      </c>
      <c r="W172">
        <f>HYPERLINK("https://klasma.github.io/Logging_0687/klagomålsmail/A 40949-2019 FSC-klagomål mail.docx", "A 40949-2019")</f>
        <v/>
      </c>
      <c r="X172">
        <f>HYPERLINK("https://klasma.github.io/Logging_0687/tillsyn/A 40949-2019 tillsynsbegäran.docx", "A 40949-2019")</f>
        <v/>
      </c>
      <c r="Y172">
        <f>HYPERLINK("https://klasma.github.io/Logging_0687/tillsynsmail/A 40949-2019 tillsynsbegäran mail.docx", "A 40949-2019")</f>
        <v/>
      </c>
    </row>
    <row r="173" ht="15" customHeight="1">
      <c r="A173" t="inlineStr">
        <is>
          <t>A 41226-2019</t>
        </is>
      </c>
      <c r="B173" s="1" t="n">
        <v>43698</v>
      </c>
      <c r="C173" s="1" t="n">
        <v>45225</v>
      </c>
      <c r="D173" t="inlineStr">
        <is>
          <t>JÖNKÖPINGS LÄN</t>
        </is>
      </c>
      <c r="E173" t="inlineStr">
        <is>
          <t>VAGGERYD</t>
        </is>
      </c>
      <c r="G173" t="n">
        <v>2.2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Gullviva</t>
        </is>
      </c>
      <c r="S173">
        <f>HYPERLINK("https://klasma.github.io/Logging_0665/artfynd/A 41226-2019 artfynd.xlsx", "A 41226-2019")</f>
        <v/>
      </c>
      <c r="T173">
        <f>HYPERLINK("https://klasma.github.io/Logging_0665/kartor/A 41226-2019 karta.png", "A 41226-2019")</f>
        <v/>
      </c>
      <c r="V173">
        <f>HYPERLINK("https://klasma.github.io/Logging_0665/klagomål/A 41226-2019 FSC-klagomål.docx", "A 41226-2019")</f>
        <v/>
      </c>
      <c r="W173">
        <f>HYPERLINK("https://klasma.github.io/Logging_0665/klagomålsmail/A 41226-2019 FSC-klagomål mail.docx", "A 41226-2019")</f>
        <v/>
      </c>
      <c r="X173">
        <f>HYPERLINK("https://klasma.github.io/Logging_0665/tillsyn/A 41226-2019 tillsynsbegäran.docx", "A 41226-2019")</f>
        <v/>
      </c>
      <c r="Y173">
        <f>HYPERLINK("https://klasma.github.io/Logging_0665/tillsynsmail/A 41226-2019 tillsynsbegäran mail.docx", "A 41226-2019")</f>
        <v/>
      </c>
    </row>
    <row r="174" ht="15" customHeight="1">
      <c r="A174" t="inlineStr">
        <is>
          <t>A 42132-2019</t>
        </is>
      </c>
      <c r="B174" s="1" t="n">
        <v>43703</v>
      </c>
      <c r="C174" s="1" t="n">
        <v>45225</v>
      </c>
      <c r="D174" t="inlineStr">
        <is>
          <t>JÖNKÖPINGS LÄN</t>
        </is>
      </c>
      <c r="E174" t="inlineStr">
        <is>
          <t>VAGGERYD</t>
        </is>
      </c>
      <c r="G174" t="n">
        <v>5.9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Fläcknycklar</t>
        </is>
      </c>
      <c r="S174">
        <f>HYPERLINK("https://klasma.github.io/Logging_0665/artfynd/A 42132-2019 artfynd.xlsx", "A 42132-2019")</f>
        <v/>
      </c>
      <c r="T174">
        <f>HYPERLINK("https://klasma.github.io/Logging_0665/kartor/A 42132-2019 karta.png", "A 42132-2019")</f>
        <v/>
      </c>
      <c r="V174">
        <f>HYPERLINK("https://klasma.github.io/Logging_0665/klagomål/A 42132-2019 FSC-klagomål.docx", "A 42132-2019")</f>
        <v/>
      </c>
      <c r="W174">
        <f>HYPERLINK("https://klasma.github.io/Logging_0665/klagomålsmail/A 42132-2019 FSC-klagomål mail.docx", "A 42132-2019")</f>
        <v/>
      </c>
      <c r="X174">
        <f>HYPERLINK("https://klasma.github.io/Logging_0665/tillsyn/A 42132-2019 tillsynsbegäran.docx", "A 42132-2019")</f>
        <v/>
      </c>
      <c r="Y174">
        <f>HYPERLINK("https://klasma.github.io/Logging_0665/tillsynsmail/A 42132-2019 tillsynsbegäran mail.docx", "A 42132-2019")</f>
        <v/>
      </c>
    </row>
    <row r="175" ht="15" customHeight="1">
      <c r="A175" t="inlineStr">
        <is>
          <t>A 45093-2019</t>
        </is>
      </c>
      <c r="B175" s="1" t="n">
        <v>43713</v>
      </c>
      <c r="C175" s="1" t="n">
        <v>45225</v>
      </c>
      <c r="D175" t="inlineStr">
        <is>
          <t>JÖNKÖPINGS LÄN</t>
        </is>
      </c>
      <c r="E175" t="inlineStr">
        <is>
          <t>VETLANDA</t>
        </is>
      </c>
      <c r="G175" t="n">
        <v>1.3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Dvärghäxört</t>
        </is>
      </c>
      <c r="S175">
        <f>HYPERLINK("https://klasma.github.io/Logging_0685/artfynd/A 45093-2019 artfynd.xlsx", "A 45093-2019")</f>
        <v/>
      </c>
      <c r="T175">
        <f>HYPERLINK("https://klasma.github.io/Logging_0685/kartor/A 45093-2019 karta.png", "A 45093-2019")</f>
        <v/>
      </c>
      <c r="V175">
        <f>HYPERLINK("https://klasma.github.io/Logging_0685/klagomål/A 45093-2019 FSC-klagomål.docx", "A 45093-2019")</f>
        <v/>
      </c>
      <c r="W175">
        <f>HYPERLINK("https://klasma.github.io/Logging_0685/klagomålsmail/A 45093-2019 FSC-klagomål mail.docx", "A 45093-2019")</f>
        <v/>
      </c>
      <c r="X175">
        <f>HYPERLINK("https://klasma.github.io/Logging_0685/tillsyn/A 45093-2019 tillsynsbegäran.docx", "A 45093-2019")</f>
        <v/>
      </c>
      <c r="Y175">
        <f>HYPERLINK("https://klasma.github.io/Logging_0685/tillsynsmail/A 45093-2019 tillsynsbegäran mail.docx", "A 45093-2019")</f>
        <v/>
      </c>
    </row>
    <row r="176" ht="15" customHeight="1">
      <c r="A176" t="inlineStr">
        <is>
          <t>A 46208-2019</t>
        </is>
      </c>
      <c r="B176" s="1" t="n">
        <v>43718</v>
      </c>
      <c r="C176" s="1" t="n">
        <v>45225</v>
      </c>
      <c r="D176" t="inlineStr">
        <is>
          <t>JÖNKÖPINGS LÄN</t>
        </is>
      </c>
      <c r="E176" t="inlineStr">
        <is>
          <t>VETLANDA</t>
        </is>
      </c>
      <c r="G176" t="n">
        <v>2.7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HYPERLINK("https://klasma.github.io/Logging_0685/artfynd/A 46208-2019 artfynd.xlsx", "A 46208-2019")</f>
        <v/>
      </c>
      <c r="T176">
        <f>HYPERLINK("https://klasma.github.io/Logging_0685/kartor/A 46208-2019 karta.png", "A 46208-2019")</f>
        <v/>
      </c>
      <c r="V176">
        <f>HYPERLINK("https://klasma.github.io/Logging_0685/klagomål/A 46208-2019 FSC-klagomål.docx", "A 46208-2019")</f>
        <v/>
      </c>
      <c r="W176">
        <f>HYPERLINK("https://klasma.github.io/Logging_0685/klagomålsmail/A 46208-2019 FSC-klagomål mail.docx", "A 46208-2019")</f>
        <v/>
      </c>
      <c r="X176">
        <f>HYPERLINK("https://klasma.github.io/Logging_0685/tillsyn/A 46208-2019 tillsynsbegäran.docx", "A 46208-2019")</f>
        <v/>
      </c>
      <c r="Y176">
        <f>HYPERLINK("https://klasma.github.io/Logging_0685/tillsynsmail/A 46208-2019 tillsynsbegäran mail.docx", "A 46208-2019")</f>
        <v/>
      </c>
    </row>
    <row r="177" ht="15" customHeight="1">
      <c r="A177" t="inlineStr">
        <is>
          <t>A 47251-2019</t>
        </is>
      </c>
      <c r="B177" s="1" t="n">
        <v>43721</v>
      </c>
      <c r="C177" s="1" t="n">
        <v>45225</v>
      </c>
      <c r="D177" t="inlineStr">
        <is>
          <t>JÖNKÖPINGS LÄN</t>
        </is>
      </c>
      <c r="E177" t="inlineStr">
        <is>
          <t>VETLANDA</t>
        </is>
      </c>
      <c r="F177" t="inlineStr">
        <is>
          <t>Kommuner</t>
        </is>
      </c>
      <c r="G177" t="n">
        <v>1.4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HYPERLINK("https://klasma.github.io/Logging_0685/artfynd/A 47251-2019 artfynd.xlsx", "A 47251-2019")</f>
        <v/>
      </c>
      <c r="T177">
        <f>HYPERLINK("https://klasma.github.io/Logging_0685/kartor/A 47251-2019 karta.png", "A 47251-2019")</f>
        <v/>
      </c>
      <c r="U177">
        <f>HYPERLINK("https://klasma.github.io/Logging_0685/knärot/A 47251-2019 karta knärot.png", "A 47251-2019")</f>
        <v/>
      </c>
      <c r="V177">
        <f>HYPERLINK("https://klasma.github.io/Logging_0685/klagomål/A 47251-2019 FSC-klagomål.docx", "A 47251-2019")</f>
        <v/>
      </c>
      <c r="W177">
        <f>HYPERLINK("https://klasma.github.io/Logging_0685/klagomålsmail/A 47251-2019 FSC-klagomål mail.docx", "A 47251-2019")</f>
        <v/>
      </c>
      <c r="X177">
        <f>HYPERLINK("https://klasma.github.io/Logging_0685/tillsyn/A 47251-2019 tillsynsbegäran.docx", "A 47251-2019")</f>
        <v/>
      </c>
      <c r="Y177">
        <f>HYPERLINK("https://klasma.github.io/Logging_0685/tillsynsmail/A 47251-2019 tillsynsbegäran mail.docx", "A 47251-2019")</f>
        <v/>
      </c>
    </row>
    <row r="178" ht="15" customHeight="1">
      <c r="A178" t="inlineStr">
        <is>
          <t>A 48689-2019</t>
        </is>
      </c>
      <c r="B178" s="1" t="n">
        <v>43727</v>
      </c>
      <c r="C178" s="1" t="n">
        <v>45225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5.3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Större vattensalamander</t>
        </is>
      </c>
      <c r="S178">
        <f>HYPERLINK("https://klasma.github.io/Logging_0680/artfynd/A 48689-2019 artfynd.xlsx", "A 48689-2019")</f>
        <v/>
      </c>
      <c r="T178">
        <f>HYPERLINK("https://klasma.github.io/Logging_0680/kartor/A 48689-2019 karta.png", "A 48689-2019")</f>
        <v/>
      </c>
      <c r="V178">
        <f>HYPERLINK("https://klasma.github.io/Logging_0680/klagomål/A 48689-2019 FSC-klagomål.docx", "A 48689-2019")</f>
        <v/>
      </c>
      <c r="W178">
        <f>HYPERLINK("https://klasma.github.io/Logging_0680/klagomålsmail/A 48689-2019 FSC-klagomål mail.docx", "A 48689-2019")</f>
        <v/>
      </c>
      <c r="X178">
        <f>HYPERLINK("https://klasma.github.io/Logging_0680/tillsyn/A 48689-2019 tillsynsbegäran.docx", "A 48689-2019")</f>
        <v/>
      </c>
      <c r="Y178">
        <f>HYPERLINK("https://klasma.github.io/Logging_0680/tillsynsmail/A 48689-2019 tillsynsbegäran mail.docx", "A 48689-2019")</f>
        <v/>
      </c>
    </row>
    <row r="179" ht="15" customHeight="1">
      <c r="A179" t="inlineStr">
        <is>
          <t>A 53433-2019</t>
        </is>
      </c>
      <c r="B179" s="1" t="n">
        <v>43748</v>
      </c>
      <c r="C179" s="1" t="n">
        <v>45225</v>
      </c>
      <c r="D179" t="inlineStr">
        <is>
          <t>JÖNKÖPINGS LÄN</t>
        </is>
      </c>
      <c r="E179" t="inlineStr">
        <is>
          <t>VETLANDA</t>
        </is>
      </c>
      <c r="G179" t="n">
        <v>3.3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Slåtterfibbla</t>
        </is>
      </c>
      <c r="S179">
        <f>HYPERLINK("https://klasma.github.io/Logging_0685/artfynd/A 53433-2019 artfynd.xlsx", "A 53433-2019")</f>
        <v/>
      </c>
      <c r="T179">
        <f>HYPERLINK("https://klasma.github.io/Logging_0685/kartor/A 53433-2019 karta.png", "A 53433-2019")</f>
        <v/>
      </c>
      <c r="V179">
        <f>HYPERLINK("https://klasma.github.io/Logging_0685/klagomål/A 53433-2019 FSC-klagomål.docx", "A 53433-2019")</f>
        <v/>
      </c>
      <c r="W179">
        <f>HYPERLINK("https://klasma.github.io/Logging_0685/klagomålsmail/A 53433-2019 FSC-klagomål mail.docx", "A 53433-2019")</f>
        <v/>
      </c>
      <c r="X179">
        <f>HYPERLINK("https://klasma.github.io/Logging_0685/tillsyn/A 53433-2019 tillsynsbegäran.docx", "A 53433-2019")</f>
        <v/>
      </c>
      <c r="Y179">
        <f>HYPERLINK("https://klasma.github.io/Logging_0685/tillsynsmail/A 53433-2019 tillsynsbegäran mail.docx", "A 53433-2019")</f>
        <v/>
      </c>
    </row>
    <row r="180" ht="15" customHeight="1">
      <c r="A180" t="inlineStr">
        <is>
          <t>A 54655-2019</t>
        </is>
      </c>
      <c r="B180" s="1" t="n">
        <v>43754</v>
      </c>
      <c r="C180" s="1" t="n">
        <v>45225</v>
      </c>
      <c r="D180" t="inlineStr">
        <is>
          <t>JÖNKÖPINGS LÄN</t>
        </is>
      </c>
      <c r="E180" t="inlineStr">
        <is>
          <t>TRANÅS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1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Ask</t>
        </is>
      </c>
      <c r="S180">
        <f>HYPERLINK("https://klasma.github.io/Logging_0687/artfynd/A 54655-2019 artfynd.xlsx", "A 54655-2019")</f>
        <v/>
      </c>
      <c r="T180">
        <f>HYPERLINK("https://klasma.github.io/Logging_0687/kartor/A 54655-2019 karta.png", "A 54655-2019")</f>
        <v/>
      </c>
      <c r="V180">
        <f>HYPERLINK("https://klasma.github.io/Logging_0687/klagomål/A 54655-2019 FSC-klagomål.docx", "A 54655-2019")</f>
        <v/>
      </c>
      <c r="W180">
        <f>HYPERLINK("https://klasma.github.io/Logging_0687/klagomålsmail/A 54655-2019 FSC-klagomål mail.docx", "A 54655-2019")</f>
        <v/>
      </c>
      <c r="X180">
        <f>HYPERLINK("https://klasma.github.io/Logging_0687/tillsyn/A 54655-2019 tillsynsbegäran.docx", "A 54655-2019")</f>
        <v/>
      </c>
      <c r="Y180">
        <f>HYPERLINK("https://klasma.github.io/Logging_0687/tillsynsmail/A 54655-2019 tillsynsbegäran mail.docx", "A 54655-2019")</f>
        <v/>
      </c>
    </row>
    <row r="181" ht="15" customHeight="1">
      <c r="A181" t="inlineStr">
        <is>
          <t>A 56126-2019</t>
        </is>
      </c>
      <c r="B181" s="1" t="n">
        <v>43761</v>
      </c>
      <c r="C181" s="1" t="n">
        <v>45225</v>
      </c>
      <c r="D181" t="inlineStr">
        <is>
          <t>JÖNKÖPINGS LÄN</t>
        </is>
      </c>
      <c r="E181" t="inlineStr">
        <is>
          <t>VAGGERYD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HYPERLINK("https://klasma.github.io/Logging_0665/artfynd/A 56126-2019 artfynd.xlsx", "A 56126-2019")</f>
        <v/>
      </c>
      <c r="T181">
        <f>HYPERLINK("https://klasma.github.io/Logging_0665/kartor/A 56126-2019 karta.png", "A 56126-2019")</f>
        <v/>
      </c>
      <c r="U181">
        <f>HYPERLINK("https://klasma.github.io/Logging_0665/knärot/A 56126-2019 karta knärot.png", "A 56126-2019")</f>
        <v/>
      </c>
      <c r="V181">
        <f>HYPERLINK("https://klasma.github.io/Logging_0665/klagomål/A 56126-2019 FSC-klagomål.docx", "A 56126-2019")</f>
        <v/>
      </c>
      <c r="W181">
        <f>HYPERLINK("https://klasma.github.io/Logging_0665/klagomålsmail/A 56126-2019 FSC-klagomål mail.docx", "A 56126-2019")</f>
        <v/>
      </c>
      <c r="X181">
        <f>HYPERLINK("https://klasma.github.io/Logging_0665/tillsyn/A 56126-2019 tillsynsbegäran.docx", "A 56126-2019")</f>
        <v/>
      </c>
      <c r="Y181">
        <f>HYPERLINK("https://klasma.github.io/Logging_0665/tillsynsmail/A 56126-2019 tillsynsbegäran mail.docx", "A 56126-2019")</f>
        <v/>
      </c>
    </row>
    <row r="182" ht="15" customHeight="1">
      <c r="A182" t="inlineStr">
        <is>
          <t>A 62740-2019</t>
        </is>
      </c>
      <c r="B182" s="1" t="n">
        <v>43790</v>
      </c>
      <c r="C182" s="1" t="n">
        <v>45225</v>
      </c>
      <c r="D182" t="inlineStr">
        <is>
          <t>JÖNKÖPINGS LÄN</t>
        </is>
      </c>
      <c r="E182" t="inlineStr">
        <is>
          <t>TRANÅS</t>
        </is>
      </c>
      <c r="G182" t="n">
        <v>1.5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Kandelabersvamp</t>
        </is>
      </c>
      <c r="S182">
        <f>HYPERLINK("https://klasma.github.io/Logging_0687/artfynd/A 62740-2019 artfynd.xlsx", "A 62740-2019")</f>
        <v/>
      </c>
      <c r="T182">
        <f>HYPERLINK("https://klasma.github.io/Logging_0687/kartor/A 62740-2019 karta.png", "A 62740-2019")</f>
        <v/>
      </c>
      <c r="V182">
        <f>HYPERLINK("https://klasma.github.io/Logging_0687/klagomål/A 62740-2019 FSC-klagomål.docx", "A 62740-2019")</f>
        <v/>
      </c>
      <c r="W182">
        <f>HYPERLINK("https://klasma.github.io/Logging_0687/klagomålsmail/A 62740-2019 FSC-klagomål mail.docx", "A 62740-2019")</f>
        <v/>
      </c>
      <c r="X182">
        <f>HYPERLINK("https://klasma.github.io/Logging_0687/tillsyn/A 62740-2019 tillsynsbegäran.docx", "A 62740-2019")</f>
        <v/>
      </c>
      <c r="Y182">
        <f>HYPERLINK("https://klasma.github.io/Logging_0687/tillsynsmail/A 62740-2019 tillsynsbegäran mail.docx", "A 62740-2019")</f>
        <v/>
      </c>
    </row>
    <row r="183" ht="15" customHeight="1">
      <c r="A183" t="inlineStr">
        <is>
          <t>A 67740-2019</t>
        </is>
      </c>
      <c r="B183" s="1" t="n">
        <v>43809</v>
      </c>
      <c r="C183" s="1" t="n">
        <v>45225</v>
      </c>
      <c r="D183" t="inlineStr">
        <is>
          <t>JÖNKÖPINGS LÄN</t>
        </is>
      </c>
      <c r="E183" t="inlineStr">
        <is>
          <t>TRANÅS</t>
        </is>
      </c>
      <c r="G183" t="n">
        <v>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Blåsippa</t>
        </is>
      </c>
      <c r="S183">
        <f>HYPERLINK("https://klasma.github.io/Logging_0687/artfynd/A 67740-2019 artfynd.xlsx", "A 67740-2019")</f>
        <v/>
      </c>
      <c r="T183">
        <f>HYPERLINK("https://klasma.github.io/Logging_0687/kartor/A 67740-2019 karta.png", "A 67740-2019")</f>
        <v/>
      </c>
      <c r="V183">
        <f>HYPERLINK("https://klasma.github.io/Logging_0687/klagomål/A 67740-2019 FSC-klagomål.docx", "A 67740-2019")</f>
        <v/>
      </c>
      <c r="W183">
        <f>HYPERLINK("https://klasma.github.io/Logging_0687/klagomålsmail/A 67740-2019 FSC-klagomål mail.docx", "A 67740-2019")</f>
        <v/>
      </c>
      <c r="X183">
        <f>HYPERLINK("https://klasma.github.io/Logging_0687/tillsyn/A 67740-2019 tillsynsbegäran.docx", "A 67740-2019")</f>
        <v/>
      </c>
      <c r="Y183">
        <f>HYPERLINK("https://klasma.github.io/Logging_0687/tillsynsmail/A 67740-2019 tillsynsbegäran mail.docx", "A 67740-2019")</f>
        <v/>
      </c>
    </row>
    <row r="184" ht="15" customHeight="1">
      <c r="A184" t="inlineStr">
        <is>
          <t>A 67742-2019</t>
        </is>
      </c>
      <c r="B184" s="1" t="n">
        <v>43809</v>
      </c>
      <c r="C184" s="1" t="n">
        <v>45225</v>
      </c>
      <c r="D184" t="inlineStr">
        <is>
          <t>JÖNKÖPINGS LÄN</t>
        </is>
      </c>
      <c r="E184" t="inlineStr">
        <is>
          <t>TRANÅS</t>
        </is>
      </c>
      <c r="G184" t="n">
        <v>1.9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Tibast</t>
        </is>
      </c>
      <c r="S184">
        <f>HYPERLINK("https://klasma.github.io/Logging_0687/artfynd/A 67742-2019 artfynd.xlsx", "A 67742-2019")</f>
        <v/>
      </c>
      <c r="T184">
        <f>HYPERLINK("https://klasma.github.io/Logging_0687/kartor/A 67742-2019 karta.png", "A 67742-2019")</f>
        <v/>
      </c>
      <c r="V184">
        <f>HYPERLINK("https://klasma.github.io/Logging_0687/klagomål/A 67742-2019 FSC-klagomål.docx", "A 67742-2019")</f>
        <v/>
      </c>
      <c r="W184">
        <f>HYPERLINK("https://klasma.github.io/Logging_0687/klagomålsmail/A 67742-2019 FSC-klagomål mail.docx", "A 67742-2019")</f>
        <v/>
      </c>
      <c r="X184">
        <f>HYPERLINK("https://klasma.github.io/Logging_0687/tillsyn/A 67742-2019 tillsynsbegäran.docx", "A 67742-2019")</f>
        <v/>
      </c>
      <c r="Y184">
        <f>HYPERLINK("https://klasma.github.io/Logging_0687/tillsynsmail/A 67742-2019 tillsynsbegäran mail.docx", "A 67742-2019")</f>
        <v/>
      </c>
    </row>
    <row r="185" ht="15" customHeight="1">
      <c r="A185" t="inlineStr">
        <is>
          <t>A 67950-2019</t>
        </is>
      </c>
      <c r="B185" s="1" t="n">
        <v>43811</v>
      </c>
      <c r="C185" s="1" t="n">
        <v>45225</v>
      </c>
      <c r="D185" t="inlineStr">
        <is>
          <t>JÖNKÖPINGS LÄN</t>
        </is>
      </c>
      <c r="E185" t="inlineStr">
        <is>
          <t>VETLANDA</t>
        </is>
      </c>
      <c r="G185" t="n">
        <v>10.9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Knärot</t>
        </is>
      </c>
      <c r="S185">
        <f>HYPERLINK("https://klasma.github.io/Logging_0685/artfynd/A 67950-2019 artfynd.xlsx", "A 67950-2019")</f>
        <v/>
      </c>
      <c r="T185">
        <f>HYPERLINK("https://klasma.github.io/Logging_0685/kartor/A 67950-2019 karta.png", "A 67950-2019")</f>
        <v/>
      </c>
      <c r="U185">
        <f>HYPERLINK("https://klasma.github.io/Logging_0685/knärot/A 67950-2019 karta knärot.png", "A 67950-2019")</f>
        <v/>
      </c>
      <c r="V185">
        <f>HYPERLINK("https://klasma.github.io/Logging_0685/klagomål/A 67950-2019 FSC-klagomål.docx", "A 67950-2019")</f>
        <v/>
      </c>
      <c r="W185">
        <f>HYPERLINK("https://klasma.github.io/Logging_0685/klagomålsmail/A 67950-2019 FSC-klagomål mail.docx", "A 67950-2019")</f>
        <v/>
      </c>
      <c r="X185">
        <f>HYPERLINK("https://klasma.github.io/Logging_0685/tillsyn/A 67950-2019 tillsynsbegäran.docx", "A 67950-2019")</f>
        <v/>
      </c>
      <c r="Y185">
        <f>HYPERLINK("https://klasma.github.io/Logging_0685/tillsynsmail/A 67950-2019 tillsynsbegäran mail.docx", "A 67950-2019")</f>
        <v/>
      </c>
    </row>
    <row r="186" ht="15" customHeight="1">
      <c r="A186" t="inlineStr">
        <is>
          <t>A 6334-2020</t>
        </is>
      </c>
      <c r="B186" s="1" t="n">
        <v>43866</v>
      </c>
      <c r="C186" s="1" t="n">
        <v>45225</v>
      </c>
      <c r="D186" t="inlineStr">
        <is>
          <t>JÖNKÖPINGS LÄN</t>
        </is>
      </c>
      <c r="E186" t="inlineStr">
        <is>
          <t>TRANÅS</t>
        </is>
      </c>
      <c r="G186" t="n">
        <v>0.6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Klasefibbla</t>
        </is>
      </c>
      <c r="S186">
        <f>HYPERLINK("https://klasma.github.io/Logging_0687/artfynd/A 6334-2020 artfynd.xlsx", "A 6334-2020")</f>
        <v/>
      </c>
      <c r="T186">
        <f>HYPERLINK("https://klasma.github.io/Logging_0687/kartor/A 6334-2020 karta.png", "A 6334-2020")</f>
        <v/>
      </c>
      <c r="V186">
        <f>HYPERLINK("https://klasma.github.io/Logging_0687/klagomål/A 6334-2020 FSC-klagomål.docx", "A 6334-2020")</f>
        <v/>
      </c>
      <c r="W186">
        <f>HYPERLINK("https://klasma.github.io/Logging_0687/klagomålsmail/A 6334-2020 FSC-klagomål mail.docx", "A 6334-2020")</f>
        <v/>
      </c>
      <c r="X186">
        <f>HYPERLINK("https://klasma.github.io/Logging_0687/tillsyn/A 6334-2020 tillsynsbegäran.docx", "A 6334-2020")</f>
        <v/>
      </c>
      <c r="Y186">
        <f>HYPERLINK("https://klasma.github.io/Logging_0687/tillsynsmail/A 6334-2020 tillsynsbegäran mail.docx", "A 6334-2020")</f>
        <v/>
      </c>
    </row>
    <row r="187" ht="15" customHeight="1">
      <c r="A187" t="inlineStr">
        <is>
          <t>A 7860-2020</t>
        </is>
      </c>
      <c r="B187" s="1" t="n">
        <v>43873</v>
      </c>
      <c r="C187" s="1" t="n">
        <v>45225</v>
      </c>
      <c r="D187" t="inlineStr">
        <is>
          <t>JÖNKÖPINGS LÄN</t>
        </is>
      </c>
      <c r="E187" t="inlineStr">
        <is>
          <t>VÄRNAMO</t>
        </is>
      </c>
      <c r="G187" t="n">
        <v>3.8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Plattlummer</t>
        </is>
      </c>
      <c r="S187">
        <f>HYPERLINK("https://klasma.github.io/Logging_0683/artfynd/A 7860-2020 artfynd.xlsx", "A 7860-2020")</f>
        <v/>
      </c>
      <c r="T187">
        <f>HYPERLINK("https://klasma.github.io/Logging_0683/kartor/A 7860-2020 karta.png", "A 7860-2020")</f>
        <v/>
      </c>
      <c r="V187">
        <f>HYPERLINK("https://klasma.github.io/Logging_0683/klagomål/A 7860-2020 FSC-klagomål.docx", "A 7860-2020")</f>
        <v/>
      </c>
      <c r="W187">
        <f>HYPERLINK("https://klasma.github.io/Logging_0683/klagomålsmail/A 7860-2020 FSC-klagomål mail.docx", "A 7860-2020")</f>
        <v/>
      </c>
      <c r="X187">
        <f>HYPERLINK("https://klasma.github.io/Logging_0683/tillsyn/A 7860-2020 tillsynsbegäran.docx", "A 7860-2020")</f>
        <v/>
      </c>
      <c r="Y187">
        <f>HYPERLINK("https://klasma.github.io/Logging_0683/tillsynsmail/A 7860-2020 tillsynsbegäran mail.docx", "A 7860-2020")</f>
        <v/>
      </c>
    </row>
    <row r="188" ht="15" customHeight="1">
      <c r="A188" t="inlineStr">
        <is>
          <t>A 12704-2020</t>
        </is>
      </c>
      <c r="B188" s="1" t="n">
        <v>43899</v>
      </c>
      <c r="C188" s="1" t="n">
        <v>45225</v>
      </c>
      <c r="D188" t="inlineStr">
        <is>
          <t>JÖNKÖPINGS LÄN</t>
        </is>
      </c>
      <c r="E188" t="inlineStr">
        <is>
          <t>JÖNKÖPING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HYPERLINK("https://klasma.github.io/Logging_0680/artfynd/A 12704-2020 artfynd.xlsx", "A 12704-2020")</f>
        <v/>
      </c>
      <c r="T188">
        <f>HYPERLINK("https://klasma.github.io/Logging_0680/kartor/A 12704-2020 karta.png", "A 12704-2020")</f>
        <v/>
      </c>
      <c r="V188">
        <f>HYPERLINK("https://klasma.github.io/Logging_0680/klagomål/A 12704-2020 FSC-klagomål.docx", "A 12704-2020")</f>
        <v/>
      </c>
      <c r="W188">
        <f>HYPERLINK("https://klasma.github.io/Logging_0680/klagomålsmail/A 12704-2020 FSC-klagomål mail.docx", "A 12704-2020")</f>
        <v/>
      </c>
      <c r="X188">
        <f>HYPERLINK("https://klasma.github.io/Logging_0680/tillsyn/A 12704-2020 tillsynsbegäran.docx", "A 12704-2020")</f>
        <v/>
      </c>
      <c r="Y188">
        <f>HYPERLINK("https://klasma.github.io/Logging_0680/tillsynsmail/A 12704-2020 tillsynsbegäran mail.docx", "A 12704-2020")</f>
        <v/>
      </c>
    </row>
    <row r="189" ht="15" customHeight="1">
      <c r="A189" t="inlineStr">
        <is>
          <t>A 13949-2020</t>
        </is>
      </c>
      <c r="B189" s="1" t="n">
        <v>43906</v>
      </c>
      <c r="C189" s="1" t="n">
        <v>45225</v>
      </c>
      <c r="D189" t="inlineStr">
        <is>
          <t>JÖNKÖPINGS LÄN</t>
        </is>
      </c>
      <c r="E189" t="inlineStr">
        <is>
          <t>MULLSJÖ</t>
        </is>
      </c>
      <c r="G189" t="n">
        <v>4.8</v>
      </c>
      <c r="H189" t="n">
        <v>1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Backsippa</t>
        </is>
      </c>
      <c r="S189">
        <f>HYPERLINK("https://klasma.github.io/Logging_0642/artfynd/A 13949-2020 artfynd.xlsx", "A 13949-2020")</f>
        <v/>
      </c>
      <c r="T189">
        <f>HYPERLINK("https://klasma.github.io/Logging_0642/kartor/A 13949-2020 karta.png", "A 13949-2020")</f>
        <v/>
      </c>
      <c r="V189">
        <f>HYPERLINK("https://klasma.github.io/Logging_0642/klagomål/A 13949-2020 FSC-klagomål.docx", "A 13949-2020")</f>
        <v/>
      </c>
      <c r="W189">
        <f>HYPERLINK("https://klasma.github.io/Logging_0642/klagomålsmail/A 13949-2020 FSC-klagomål mail.docx", "A 13949-2020")</f>
        <v/>
      </c>
      <c r="X189">
        <f>HYPERLINK("https://klasma.github.io/Logging_0642/tillsyn/A 13949-2020 tillsynsbegäran.docx", "A 13949-2020")</f>
        <v/>
      </c>
      <c r="Y189">
        <f>HYPERLINK("https://klasma.github.io/Logging_0642/tillsynsmail/A 13949-2020 tillsynsbegäran mail.docx", "A 13949-2020")</f>
        <v/>
      </c>
    </row>
    <row r="190" ht="15" customHeight="1">
      <c r="A190" t="inlineStr">
        <is>
          <t>A 15058-2020</t>
        </is>
      </c>
      <c r="B190" s="1" t="n">
        <v>43910</v>
      </c>
      <c r="C190" s="1" t="n">
        <v>45225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4.3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Gränsticka</t>
        </is>
      </c>
      <c r="S190">
        <f>HYPERLINK("https://klasma.github.io/Logging_0686/artfynd/A 15058-2020 artfynd.xlsx", "A 15058-2020")</f>
        <v/>
      </c>
      <c r="T190">
        <f>HYPERLINK("https://klasma.github.io/Logging_0686/kartor/A 15058-2020 karta.png", "A 15058-2020")</f>
        <v/>
      </c>
      <c r="V190">
        <f>HYPERLINK("https://klasma.github.io/Logging_0686/klagomål/A 15058-2020 FSC-klagomål.docx", "A 15058-2020")</f>
        <v/>
      </c>
      <c r="W190">
        <f>HYPERLINK("https://klasma.github.io/Logging_0686/klagomålsmail/A 15058-2020 FSC-klagomål mail.docx", "A 15058-2020")</f>
        <v/>
      </c>
      <c r="X190">
        <f>HYPERLINK("https://klasma.github.io/Logging_0686/tillsyn/A 15058-2020 tillsynsbegäran.docx", "A 15058-2020")</f>
        <v/>
      </c>
      <c r="Y190">
        <f>HYPERLINK("https://klasma.github.io/Logging_0686/tillsynsmail/A 15058-2020 tillsynsbegäran mail.docx", "A 15058-2020")</f>
        <v/>
      </c>
    </row>
    <row r="191" ht="15" customHeight="1">
      <c r="A191" t="inlineStr">
        <is>
          <t>A 17322-2020</t>
        </is>
      </c>
      <c r="B191" s="1" t="n">
        <v>43922</v>
      </c>
      <c r="C191" s="1" t="n">
        <v>45225</v>
      </c>
      <c r="D191" t="inlineStr">
        <is>
          <t>JÖNKÖPINGS LÄN</t>
        </is>
      </c>
      <c r="E191" t="inlineStr">
        <is>
          <t>GNOSJÖ</t>
        </is>
      </c>
      <c r="G191" t="n">
        <v>1.4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Fläcknycklar</t>
        </is>
      </c>
      <c r="S191">
        <f>HYPERLINK("https://klasma.github.io/Logging_0617/artfynd/A 17322-2020 artfynd.xlsx", "A 17322-2020")</f>
        <v/>
      </c>
      <c r="T191">
        <f>HYPERLINK("https://klasma.github.io/Logging_0617/kartor/A 17322-2020 karta.png", "A 17322-2020")</f>
        <v/>
      </c>
      <c r="V191">
        <f>HYPERLINK("https://klasma.github.io/Logging_0617/klagomål/A 17322-2020 FSC-klagomål.docx", "A 17322-2020")</f>
        <v/>
      </c>
      <c r="W191">
        <f>HYPERLINK("https://klasma.github.io/Logging_0617/klagomålsmail/A 17322-2020 FSC-klagomål mail.docx", "A 17322-2020")</f>
        <v/>
      </c>
      <c r="X191">
        <f>HYPERLINK("https://klasma.github.io/Logging_0617/tillsyn/A 17322-2020 tillsynsbegäran.docx", "A 17322-2020")</f>
        <v/>
      </c>
      <c r="Y191">
        <f>HYPERLINK("https://klasma.github.io/Logging_0617/tillsynsmail/A 17322-2020 tillsynsbegäran mail.docx", "A 17322-2020")</f>
        <v/>
      </c>
    </row>
    <row r="192" ht="15" customHeight="1">
      <c r="A192" t="inlineStr">
        <is>
          <t>A 26543-2020</t>
        </is>
      </c>
      <c r="B192" s="1" t="n">
        <v>43987</v>
      </c>
      <c r="C192" s="1" t="n">
        <v>45225</v>
      </c>
      <c r="D192" t="inlineStr">
        <is>
          <t>JÖNKÖPINGS LÄN</t>
        </is>
      </c>
      <c r="E192" t="inlineStr">
        <is>
          <t>NÄSSJÖ</t>
        </is>
      </c>
      <c r="G192" t="n">
        <v>5.4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Tibast</t>
        </is>
      </c>
      <c r="S192">
        <f>HYPERLINK("https://klasma.github.io/Logging_0682/artfynd/A 26543-2020 artfynd.xlsx", "A 26543-2020")</f>
        <v/>
      </c>
      <c r="T192">
        <f>HYPERLINK("https://klasma.github.io/Logging_0682/kartor/A 26543-2020 karta.png", "A 26543-2020")</f>
        <v/>
      </c>
      <c r="V192">
        <f>HYPERLINK("https://klasma.github.io/Logging_0682/klagomål/A 26543-2020 FSC-klagomål.docx", "A 26543-2020")</f>
        <v/>
      </c>
      <c r="W192">
        <f>HYPERLINK("https://klasma.github.io/Logging_0682/klagomålsmail/A 26543-2020 FSC-klagomål mail.docx", "A 26543-2020")</f>
        <v/>
      </c>
      <c r="X192">
        <f>HYPERLINK("https://klasma.github.io/Logging_0682/tillsyn/A 26543-2020 tillsynsbegäran.docx", "A 26543-2020")</f>
        <v/>
      </c>
      <c r="Y192">
        <f>HYPERLINK("https://klasma.github.io/Logging_0682/tillsynsmail/A 26543-2020 tillsynsbegäran mail.docx", "A 26543-2020")</f>
        <v/>
      </c>
    </row>
    <row r="193" ht="15" customHeight="1">
      <c r="A193" t="inlineStr">
        <is>
          <t>A 27698-2020</t>
        </is>
      </c>
      <c r="B193" s="1" t="n">
        <v>43994</v>
      </c>
      <c r="C193" s="1" t="n">
        <v>45225</v>
      </c>
      <c r="D193" t="inlineStr">
        <is>
          <t>JÖNKÖPINGS LÄN</t>
        </is>
      </c>
      <c r="E193" t="inlineStr">
        <is>
          <t>EKSJÖ</t>
        </is>
      </c>
      <c r="G193" t="n">
        <v>2.6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Gullklöver</t>
        </is>
      </c>
      <c r="S193">
        <f>HYPERLINK("https://klasma.github.io/Logging_0686/artfynd/A 27698-2020 artfynd.xlsx", "A 27698-2020")</f>
        <v/>
      </c>
      <c r="T193">
        <f>HYPERLINK("https://klasma.github.io/Logging_0686/kartor/A 27698-2020 karta.png", "A 27698-2020")</f>
        <v/>
      </c>
      <c r="V193">
        <f>HYPERLINK("https://klasma.github.io/Logging_0686/klagomål/A 27698-2020 FSC-klagomål.docx", "A 27698-2020")</f>
        <v/>
      </c>
      <c r="W193">
        <f>HYPERLINK("https://klasma.github.io/Logging_0686/klagomålsmail/A 27698-2020 FSC-klagomål mail.docx", "A 27698-2020")</f>
        <v/>
      </c>
      <c r="X193">
        <f>HYPERLINK("https://klasma.github.io/Logging_0686/tillsyn/A 27698-2020 tillsynsbegäran.docx", "A 27698-2020")</f>
        <v/>
      </c>
      <c r="Y193">
        <f>HYPERLINK("https://klasma.github.io/Logging_0686/tillsynsmail/A 27698-2020 tillsynsbegäran mail.docx", "A 27698-2020")</f>
        <v/>
      </c>
    </row>
    <row r="194" ht="15" customHeight="1">
      <c r="A194" t="inlineStr">
        <is>
          <t>A 36238-2020</t>
        </is>
      </c>
      <c r="B194" s="1" t="n">
        <v>44018</v>
      </c>
      <c r="C194" s="1" t="n">
        <v>45225</v>
      </c>
      <c r="D194" t="inlineStr">
        <is>
          <t>JÖNKÖPINGS LÄN</t>
        </is>
      </c>
      <c r="E194" t="inlineStr">
        <is>
          <t>JÖNKÖPING</t>
        </is>
      </c>
      <c r="G194" t="n">
        <v>15.6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Revlummer</t>
        </is>
      </c>
      <c r="S194">
        <f>HYPERLINK("https://klasma.github.io/Logging_0680/artfynd/A 36238-2020 artfynd.xlsx", "A 36238-2020")</f>
        <v/>
      </c>
      <c r="T194">
        <f>HYPERLINK("https://klasma.github.io/Logging_0680/kartor/A 36238-2020 karta.png", "A 36238-2020")</f>
        <v/>
      </c>
      <c r="V194">
        <f>HYPERLINK("https://klasma.github.io/Logging_0680/klagomål/A 36238-2020 FSC-klagomål.docx", "A 36238-2020")</f>
        <v/>
      </c>
      <c r="W194">
        <f>HYPERLINK("https://klasma.github.io/Logging_0680/klagomålsmail/A 36238-2020 FSC-klagomål mail.docx", "A 36238-2020")</f>
        <v/>
      </c>
      <c r="X194">
        <f>HYPERLINK("https://klasma.github.io/Logging_0680/tillsyn/A 36238-2020 tillsynsbegäran.docx", "A 36238-2020")</f>
        <v/>
      </c>
      <c r="Y194">
        <f>HYPERLINK("https://klasma.github.io/Logging_0680/tillsynsmail/A 36238-2020 tillsynsbegäran mail.docx", "A 36238-2020")</f>
        <v/>
      </c>
    </row>
    <row r="195" ht="15" customHeight="1">
      <c r="A195" t="inlineStr">
        <is>
          <t>A 36801-2020</t>
        </is>
      </c>
      <c r="B195" s="1" t="n">
        <v>44053</v>
      </c>
      <c r="C195" s="1" t="n">
        <v>45225</v>
      </c>
      <c r="D195" t="inlineStr">
        <is>
          <t>JÖNKÖPINGS LÄN</t>
        </is>
      </c>
      <c r="E195" t="inlineStr">
        <is>
          <t>VETLANDA</t>
        </is>
      </c>
      <c r="G195" t="n">
        <v>2.4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Blåsippa</t>
        </is>
      </c>
      <c r="S195">
        <f>HYPERLINK("https://klasma.github.io/Logging_0685/artfynd/A 36801-2020 artfynd.xlsx", "A 36801-2020")</f>
        <v/>
      </c>
      <c r="T195">
        <f>HYPERLINK("https://klasma.github.io/Logging_0685/kartor/A 36801-2020 karta.png", "A 36801-2020")</f>
        <v/>
      </c>
      <c r="V195">
        <f>HYPERLINK("https://klasma.github.io/Logging_0685/klagomål/A 36801-2020 FSC-klagomål.docx", "A 36801-2020")</f>
        <v/>
      </c>
      <c r="W195">
        <f>HYPERLINK("https://klasma.github.io/Logging_0685/klagomålsmail/A 36801-2020 FSC-klagomål mail.docx", "A 36801-2020")</f>
        <v/>
      </c>
      <c r="X195">
        <f>HYPERLINK("https://klasma.github.io/Logging_0685/tillsyn/A 36801-2020 tillsynsbegäran.docx", "A 36801-2020")</f>
        <v/>
      </c>
      <c r="Y195">
        <f>HYPERLINK("https://klasma.github.io/Logging_0685/tillsynsmail/A 36801-2020 tillsynsbegäran mail.docx", "A 36801-2020")</f>
        <v/>
      </c>
    </row>
    <row r="196" ht="15" customHeight="1">
      <c r="A196" t="inlineStr">
        <is>
          <t>A 39588-2020</t>
        </is>
      </c>
      <c r="B196" s="1" t="n">
        <v>44064</v>
      </c>
      <c r="C196" s="1" t="n">
        <v>45225</v>
      </c>
      <c r="D196" t="inlineStr">
        <is>
          <t>JÖNKÖPINGS LÄN</t>
        </is>
      </c>
      <c r="E196" t="inlineStr">
        <is>
          <t>VETLANDA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Ask</t>
        </is>
      </c>
      <c r="S196">
        <f>HYPERLINK("https://klasma.github.io/Logging_0685/artfynd/A 39588-2020 artfynd.xlsx", "A 39588-2020")</f>
        <v/>
      </c>
      <c r="T196">
        <f>HYPERLINK("https://klasma.github.io/Logging_0685/kartor/A 39588-2020 karta.png", "A 39588-2020")</f>
        <v/>
      </c>
      <c r="V196">
        <f>HYPERLINK("https://klasma.github.io/Logging_0685/klagomål/A 39588-2020 FSC-klagomål.docx", "A 39588-2020")</f>
        <v/>
      </c>
      <c r="W196">
        <f>HYPERLINK("https://klasma.github.io/Logging_0685/klagomålsmail/A 39588-2020 FSC-klagomål mail.docx", "A 39588-2020")</f>
        <v/>
      </c>
      <c r="X196">
        <f>HYPERLINK("https://klasma.github.io/Logging_0685/tillsyn/A 39588-2020 tillsynsbegäran.docx", "A 39588-2020")</f>
        <v/>
      </c>
      <c r="Y196">
        <f>HYPERLINK("https://klasma.github.io/Logging_0685/tillsynsmail/A 39588-2020 tillsynsbegäran mail.docx", "A 39588-2020")</f>
        <v/>
      </c>
    </row>
    <row r="197" ht="15" customHeight="1">
      <c r="A197" t="inlineStr">
        <is>
          <t>A 44144-2020</t>
        </is>
      </c>
      <c r="B197" s="1" t="n">
        <v>44083</v>
      </c>
      <c r="C197" s="1" t="n">
        <v>45225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Kommuner</t>
        </is>
      </c>
      <c r="G197" t="n">
        <v>4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HYPERLINK("https://klasma.github.io/Logging_0680/artfynd/A 44144-2020 artfynd.xlsx", "A 44144-2020")</f>
        <v/>
      </c>
      <c r="T197">
        <f>HYPERLINK("https://klasma.github.io/Logging_0680/kartor/A 44144-2020 karta.png", "A 44144-2020")</f>
        <v/>
      </c>
      <c r="V197">
        <f>HYPERLINK("https://klasma.github.io/Logging_0680/klagomål/A 44144-2020 FSC-klagomål.docx", "A 44144-2020")</f>
        <v/>
      </c>
      <c r="W197">
        <f>HYPERLINK("https://klasma.github.io/Logging_0680/klagomålsmail/A 44144-2020 FSC-klagomål mail.docx", "A 44144-2020")</f>
        <v/>
      </c>
      <c r="X197">
        <f>HYPERLINK("https://klasma.github.io/Logging_0680/tillsyn/A 44144-2020 tillsynsbegäran.docx", "A 44144-2020")</f>
        <v/>
      </c>
      <c r="Y197">
        <f>HYPERLINK("https://klasma.github.io/Logging_0680/tillsynsmail/A 44144-2020 tillsynsbegäran mail.docx", "A 44144-2020")</f>
        <v/>
      </c>
    </row>
    <row r="198" ht="15" customHeight="1">
      <c r="A198" t="inlineStr">
        <is>
          <t>A 46552-2020</t>
        </is>
      </c>
      <c r="B198" s="1" t="n">
        <v>44095</v>
      </c>
      <c r="C198" s="1" t="n">
        <v>45225</v>
      </c>
      <c r="D198" t="inlineStr">
        <is>
          <t>JÖNKÖPINGS LÄN</t>
        </is>
      </c>
      <c r="E198" t="inlineStr">
        <is>
          <t>JÖNKÖPING</t>
        </is>
      </c>
      <c r="G198" t="n">
        <v>1.8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Granspira</t>
        </is>
      </c>
      <c r="S198">
        <f>HYPERLINK("https://klasma.github.io/Logging_0680/artfynd/A 46552-2020 artfynd.xlsx", "A 46552-2020")</f>
        <v/>
      </c>
      <c r="T198">
        <f>HYPERLINK("https://klasma.github.io/Logging_0680/kartor/A 46552-2020 karta.png", "A 46552-2020")</f>
        <v/>
      </c>
      <c r="V198">
        <f>HYPERLINK("https://klasma.github.io/Logging_0680/klagomål/A 46552-2020 FSC-klagomål.docx", "A 46552-2020")</f>
        <v/>
      </c>
      <c r="W198">
        <f>HYPERLINK("https://klasma.github.io/Logging_0680/klagomålsmail/A 46552-2020 FSC-klagomål mail.docx", "A 46552-2020")</f>
        <v/>
      </c>
      <c r="X198">
        <f>HYPERLINK("https://klasma.github.io/Logging_0680/tillsyn/A 46552-2020 tillsynsbegäran.docx", "A 46552-2020")</f>
        <v/>
      </c>
      <c r="Y198">
        <f>HYPERLINK("https://klasma.github.io/Logging_0680/tillsynsmail/A 46552-2020 tillsynsbegäran mail.docx", "A 46552-2020")</f>
        <v/>
      </c>
    </row>
    <row r="199" ht="15" customHeight="1">
      <c r="A199" t="inlineStr">
        <is>
          <t>A 51106-2020</t>
        </is>
      </c>
      <c r="B199" s="1" t="n">
        <v>44112</v>
      </c>
      <c r="C199" s="1" t="n">
        <v>45225</v>
      </c>
      <c r="D199" t="inlineStr">
        <is>
          <t>JÖNKÖPINGS LÄN</t>
        </is>
      </c>
      <c r="E199" t="inlineStr">
        <is>
          <t>ANEBY</t>
        </is>
      </c>
      <c r="G199" t="n">
        <v>2.6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Ögonpyrola</t>
        </is>
      </c>
      <c r="S199">
        <f>HYPERLINK("https://klasma.github.io/Logging_0604/artfynd/A 51106-2020 artfynd.xlsx", "A 51106-2020")</f>
        <v/>
      </c>
      <c r="T199">
        <f>HYPERLINK("https://klasma.github.io/Logging_0604/kartor/A 51106-2020 karta.png", "A 51106-2020")</f>
        <v/>
      </c>
      <c r="V199">
        <f>HYPERLINK("https://klasma.github.io/Logging_0604/klagomål/A 51106-2020 FSC-klagomål.docx", "A 51106-2020")</f>
        <v/>
      </c>
      <c r="W199">
        <f>HYPERLINK("https://klasma.github.io/Logging_0604/klagomålsmail/A 51106-2020 FSC-klagomål mail.docx", "A 51106-2020")</f>
        <v/>
      </c>
      <c r="X199">
        <f>HYPERLINK("https://klasma.github.io/Logging_0604/tillsyn/A 51106-2020 tillsynsbegäran.docx", "A 51106-2020")</f>
        <v/>
      </c>
      <c r="Y199">
        <f>HYPERLINK("https://klasma.github.io/Logging_0604/tillsynsmail/A 51106-2020 tillsynsbegäran mail.docx", "A 51106-2020")</f>
        <v/>
      </c>
    </row>
    <row r="200" ht="15" customHeight="1">
      <c r="A200" t="inlineStr">
        <is>
          <t>A 56911-2020</t>
        </is>
      </c>
      <c r="B200" s="1" t="n">
        <v>44138</v>
      </c>
      <c r="C200" s="1" t="n">
        <v>45225</v>
      </c>
      <c r="D200" t="inlineStr">
        <is>
          <t>JÖNKÖPINGS LÄN</t>
        </is>
      </c>
      <c r="E200" t="inlineStr">
        <is>
          <t>VAGGERYD</t>
        </is>
      </c>
      <c r="F200" t="inlineStr">
        <is>
          <t>Övriga statliga verk och myndigheter</t>
        </is>
      </c>
      <c r="G200" t="n">
        <v>11.4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Kopparödla</t>
        </is>
      </c>
      <c r="S200">
        <f>HYPERLINK("https://klasma.github.io/Logging_0665/artfynd/A 56911-2020 artfynd.xlsx", "A 56911-2020")</f>
        <v/>
      </c>
      <c r="T200">
        <f>HYPERLINK("https://klasma.github.io/Logging_0665/kartor/A 56911-2020 karta.png", "A 56911-2020")</f>
        <v/>
      </c>
      <c r="V200">
        <f>HYPERLINK("https://klasma.github.io/Logging_0665/klagomål/A 56911-2020 FSC-klagomål.docx", "A 56911-2020")</f>
        <v/>
      </c>
      <c r="W200">
        <f>HYPERLINK("https://klasma.github.io/Logging_0665/klagomålsmail/A 56911-2020 FSC-klagomål mail.docx", "A 56911-2020")</f>
        <v/>
      </c>
      <c r="X200">
        <f>HYPERLINK("https://klasma.github.io/Logging_0665/tillsyn/A 56911-2020 tillsynsbegäran.docx", "A 56911-2020")</f>
        <v/>
      </c>
      <c r="Y200">
        <f>HYPERLINK("https://klasma.github.io/Logging_0665/tillsynsmail/A 56911-2020 tillsynsbegäran mail.docx", "A 56911-2020")</f>
        <v/>
      </c>
    </row>
    <row r="201" ht="15" customHeight="1">
      <c r="A201" t="inlineStr">
        <is>
          <t>A 60658-2020</t>
        </is>
      </c>
      <c r="B201" s="1" t="n">
        <v>44153</v>
      </c>
      <c r="C201" s="1" t="n">
        <v>45225</v>
      </c>
      <c r="D201" t="inlineStr">
        <is>
          <t>JÖNKÖPINGS LÄN</t>
        </is>
      </c>
      <c r="E201" t="inlineStr">
        <is>
          <t>TRANÅS</t>
        </is>
      </c>
      <c r="G201" t="n">
        <v>2.1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Tibast</t>
        </is>
      </c>
      <c r="S201">
        <f>HYPERLINK("https://klasma.github.io/Logging_0687/artfynd/A 60658-2020 artfynd.xlsx", "A 60658-2020")</f>
        <v/>
      </c>
      <c r="T201">
        <f>HYPERLINK("https://klasma.github.io/Logging_0687/kartor/A 60658-2020 karta.png", "A 60658-2020")</f>
        <v/>
      </c>
      <c r="V201">
        <f>HYPERLINK("https://klasma.github.io/Logging_0687/klagomål/A 60658-2020 FSC-klagomål.docx", "A 60658-2020")</f>
        <v/>
      </c>
      <c r="W201">
        <f>HYPERLINK("https://klasma.github.io/Logging_0687/klagomålsmail/A 60658-2020 FSC-klagomål mail.docx", "A 60658-2020")</f>
        <v/>
      </c>
      <c r="X201">
        <f>HYPERLINK("https://klasma.github.io/Logging_0687/tillsyn/A 60658-2020 tillsynsbegäran.docx", "A 60658-2020")</f>
        <v/>
      </c>
      <c r="Y201">
        <f>HYPERLINK("https://klasma.github.io/Logging_0687/tillsynsmail/A 60658-2020 tillsynsbegäran mail.docx", "A 60658-2020")</f>
        <v/>
      </c>
    </row>
    <row r="202" ht="15" customHeight="1">
      <c r="A202" t="inlineStr">
        <is>
          <t>A 66211-2020</t>
        </is>
      </c>
      <c r="B202" s="1" t="n">
        <v>44175</v>
      </c>
      <c r="C202" s="1" t="n">
        <v>45225</v>
      </c>
      <c r="D202" t="inlineStr">
        <is>
          <t>JÖNKÖPINGS LÄN</t>
        </is>
      </c>
      <c r="E202" t="inlineStr">
        <is>
          <t>GNOSJÖ</t>
        </is>
      </c>
      <c r="G202" t="n">
        <v>2.2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Lopplummer</t>
        </is>
      </c>
      <c r="S202">
        <f>HYPERLINK("https://klasma.github.io/Logging_0617/artfynd/A 66211-2020 artfynd.xlsx", "A 66211-2020")</f>
        <v/>
      </c>
      <c r="T202">
        <f>HYPERLINK("https://klasma.github.io/Logging_0617/kartor/A 66211-2020 karta.png", "A 66211-2020")</f>
        <v/>
      </c>
      <c r="V202">
        <f>HYPERLINK("https://klasma.github.io/Logging_0617/klagomål/A 66211-2020 FSC-klagomål.docx", "A 66211-2020")</f>
        <v/>
      </c>
      <c r="W202">
        <f>HYPERLINK("https://klasma.github.io/Logging_0617/klagomålsmail/A 66211-2020 FSC-klagomål mail.docx", "A 66211-2020")</f>
        <v/>
      </c>
      <c r="X202">
        <f>HYPERLINK("https://klasma.github.io/Logging_0617/tillsyn/A 66211-2020 tillsynsbegäran.docx", "A 66211-2020")</f>
        <v/>
      </c>
      <c r="Y202">
        <f>HYPERLINK("https://klasma.github.io/Logging_0617/tillsynsmail/A 66211-2020 tillsynsbegäran mail.docx", "A 66211-2020")</f>
        <v/>
      </c>
    </row>
    <row r="203" ht="15" customHeight="1">
      <c r="A203" t="inlineStr">
        <is>
          <t>A 69070-2020</t>
        </is>
      </c>
      <c r="B203" s="1" t="n">
        <v>44187</v>
      </c>
      <c r="C203" s="1" t="n">
        <v>45225</v>
      </c>
      <c r="D203" t="inlineStr">
        <is>
          <t>JÖNKÖPINGS LÄN</t>
        </is>
      </c>
      <c r="E203" t="inlineStr">
        <is>
          <t>VETLANDA</t>
        </is>
      </c>
      <c r="G203" t="n">
        <v>4.2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Gropticka</t>
        </is>
      </c>
      <c r="S203">
        <f>HYPERLINK("https://klasma.github.io/Logging_0685/artfynd/A 69070-2020 artfynd.xlsx", "A 69070-2020")</f>
        <v/>
      </c>
      <c r="T203">
        <f>HYPERLINK("https://klasma.github.io/Logging_0685/kartor/A 69070-2020 karta.png", "A 69070-2020")</f>
        <v/>
      </c>
      <c r="V203">
        <f>HYPERLINK("https://klasma.github.io/Logging_0685/klagomål/A 69070-2020 FSC-klagomål.docx", "A 69070-2020")</f>
        <v/>
      </c>
      <c r="W203">
        <f>HYPERLINK("https://klasma.github.io/Logging_0685/klagomålsmail/A 69070-2020 FSC-klagomål mail.docx", "A 69070-2020")</f>
        <v/>
      </c>
      <c r="X203">
        <f>HYPERLINK("https://klasma.github.io/Logging_0685/tillsyn/A 69070-2020 tillsynsbegäran.docx", "A 69070-2020")</f>
        <v/>
      </c>
      <c r="Y203">
        <f>HYPERLINK("https://klasma.github.io/Logging_0685/tillsynsmail/A 69070-2020 tillsynsbegäran mail.docx", "A 69070-2020")</f>
        <v/>
      </c>
    </row>
    <row r="204" ht="15" customHeight="1">
      <c r="A204" t="inlineStr">
        <is>
          <t>A 1319-2021</t>
        </is>
      </c>
      <c r="B204" s="1" t="n">
        <v>44208</v>
      </c>
      <c r="C204" s="1" t="n">
        <v>45225</v>
      </c>
      <c r="D204" t="inlineStr">
        <is>
          <t>JÖNKÖPINGS LÄN</t>
        </is>
      </c>
      <c r="E204" t="inlineStr">
        <is>
          <t>GISLAVED</t>
        </is>
      </c>
      <c r="G204" t="n">
        <v>0.9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Backtimjan</t>
        </is>
      </c>
      <c r="S204">
        <f>HYPERLINK("https://klasma.github.io/Logging_0662/artfynd/A 1319-2021 artfynd.xlsx", "A 1319-2021")</f>
        <v/>
      </c>
      <c r="T204">
        <f>HYPERLINK("https://klasma.github.io/Logging_0662/kartor/A 1319-2021 karta.png", "A 1319-2021")</f>
        <v/>
      </c>
      <c r="V204">
        <f>HYPERLINK("https://klasma.github.io/Logging_0662/klagomål/A 1319-2021 FSC-klagomål.docx", "A 1319-2021")</f>
        <v/>
      </c>
      <c r="W204">
        <f>HYPERLINK("https://klasma.github.io/Logging_0662/klagomålsmail/A 1319-2021 FSC-klagomål mail.docx", "A 1319-2021")</f>
        <v/>
      </c>
      <c r="X204">
        <f>HYPERLINK("https://klasma.github.io/Logging_0662/tillsyn/A 1319-2021 tillsynsbegäran.docx", "A 1319-2021")</f>
        <v/>
      </c>
      <c r="Y204">
        <f>HYPERLINK("https://klasma.github.io/Logging_0662/tillsynsmail/A 1319-2021 tillsynsbegäran mail.docx", "A 1319-2021")</f>
        <v/>
      </c>
    </row>
    <row r="205" ht="15" customHeight="1">
      <c r="A205" t="inlineStr">
        <is>
          <t>A 1512-2021</t>
        </is>
      </c>
      <c r="B205" s="1" t="n">
        <v>44209</v>
      </c>
      <c r="C205" s="1" t="n">
        <v>45225</v>
      </c>
      <c r="D205" t="inlineStr">
        <is>
          <t>JÖNKÖPINGS LÄN</t>
        </is>
      </c>
      <c r="E205" t="inlineStr">
        <is>
          <t>NÄSSJÖ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Månlåsbräken</t>
        </is>
      </c>
      <c r="S205">
        <f>HYPERLINK("https://klasma.github.io/Logging_0682/artfynd/A 1512-2021 artfynd.xlsx", "A 1512-2021")</f>
        <v/>
      </c>
      <c r="T205">
        <f>HYPERLINK("https://klasma.github.io/Logging_0682/kartor/A 1512-2021 karta.png", "A 1512-2021")</f>
        <v/>
      </c>
      <c r="V205">
        <f>HYPERLINK("https://klasma.github.io/Logging_0682/klagomål/A 1512-2021 FSC-klagomål.docx", "A 1512-2021")</f>
        <v/>
      </c>
      <c r="W205">
        <f>HYPERLINK("https://klasma.github.io/Logging_0682/klagomålsmail/A 1512-2021 FSC-klagomål mail.docx", "A 1512-2021")</f>
        <v/>
      </c>
      <c r="X205">
        <f>HYPERLINK("https://klasma.github.io/Logging_0682/tillsyn/A 1512-2021 tillsynsbegäran.docx", "A 1512-2021")</f>
        <v/>
      </c>
      <c r="Y205">
        <f>HYPERLINK("https://klasma.github.io/Logging_0682/tillsynsmail/A 1512-2021 tillsynsbegäran mail.docx", "A 1512-2021")</f>
        <v/>
      </c>
    </row>
    <row r="206" ht="15" customHeight="1">
      <c r="A206" t="inlineStr">
        <is>
          <t>A 7365-2021</t>
        </is>
      </c>
      <c r="B206" s="1" t="n">
        <v>44239</v>
      </c>
      <c r="C206" s="1" t="n">
        <v>45225</v>
      </c>
      <c r="D206" t="inlineStr">
        <is>
          <t>JÖNKÖPINGS LÄN</t>
        </is>
      </c>
      <c r="E206" t="inlineStr">
        <is>
          <t>TRANÅS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Dvärghäxört</t>
        </is>
      </c>
      <c r="S206">
        <f>HYPERLINK("https://klasma.github.io/Logging_0687/artfynd/A 7365-2021 artfynd.xlsx", "A 7365-2021")</f>
        <v/>
      </c>
      <c r="T206">
        <f>HYPERLINK("https://klasma.github.io/Logging_0687/kartor/A 7365-2021 karta.png", "A 7365-2021")</f>
        <v/>
      </c>
      <c r="V206">
        <f>HYPERLINK("https://klasma.github.io/Logging_0687/klagomål/A 7365-2021 FSC-klagomål.docx", "A 7365-2021")</f>
        <v/>
      </c>
      <c r="W206">
        <f>HYPERLINK("https://klasma.github.io/Logging_0687/klagomålsmail/A 7365-2021 FSC-klagomål mail.docx", "A 7365-2021")</f>
        <v/>
      </c>
      <c r="X206">
        <f>HYPERLINK("https://klasma.github.io/Logging_0687/tillsyn/A 7365-2021 tillsynsbegäran.docx", "A 7365-2021")</f>
        <v/>
      </c>
      <c r="Y206">
        <f>HYPERLINK("https://klasma.github.io/Logging_0687/tillsynsmail/A 7365-2021 tillsynsbegäran mail.docx", "A 7365-2021")</f>
        <v/>
      </c>
    </row>
    <row r="207" ht="15" customHeight="1">
      <c r="A207" t="inlineStr">
        <is>
          <t>A 11278-2021</t>
        </is>
      </c>
      <c r="B207" s="1" t="n">
        <v>44262</v>
      </c>
      <c r="C207" s="1" t="n">
        <v>45225</v>
      </c>
      <c r="D207" t="inlineStr">
        <is>
          <t>JÖNKÖPINGS LÄN</t>
        </is>
      </c>
      <c r="E207" t="inlineStr">
        <is>
          <t>TRANÅS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1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Skogsalm</t>
        </is>
      </c>
      <c r="S207">
        <f>HYPERLINK("https://klasma.github.io/Logging_0687/artfynd/A 11278-2021 artfynd.xlsx", "A 11278-2021")</f>
        <v/>
      </c>
      <c r="T207">
        <f>HYPERLINK("https://klasma.github.io/Logging_0687/kartor/A 11278-2021 karta.png", "A 11278-2021")</f>
        <v/>
      </c>
      <c r="V207">
        <f>HYPERLINK("https://klasma.github.io/Logging_0687/klagomål/A 11278-2021 FSC-klagomål.docx", "A 11278-2021")</f>
        <v/>
      </c>
      <c r="W207">
        <f>HYPERLINK("https://klasma.github.io/Logging_0687/klagomålsmail/A 11278-2021 FSC-klagomål mail.docx", "A 11278-2021")</f>
        <v/>
      </c>
      <c r="X207">
        <f>HYPERLINK("https://klasma.github.io/Logging_0687/tillsyn/A 11278-2021 tillsynsbegäran.docx", "A 11278-2021")</f>
        <v/>
      </c>
      <c r="Y207">
        <f>HYPERLINK("https://klasma.github.io/Logging_0687/tillsynsmail/A 11278-2021 tillsynsbegäran mail.docx", "A 11278-2021")</f>
        <v/>
      </c>
    </row>
    <row r="208" ht="15" customHeight="1">
      <c r="A208" t="inlineStr">
        <is>
          <t>A 14138-2021</t>
        </is>
      </c>
      <c r="B208" s="1" t="n">
        <v>44278</v>
      </c>
      <c r="C208" s="1" t="n">
        <v>45225</v>
      </c>
      <c r="D208" t="inlineStr">
        <is>
          <t>JÖNKÖPINGS LÄN</t>
        </is>
      </c>
      <c r="E208" t="inlineStr">
        <is>
          <t>JÖNKÖPING</t>
        </is>
      </c>
      <c r="G208" t="n">
        <v>1.2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HYPERLINK("https://klasma.github.io/Logging_0680/artfynd/A 14138-2021 artfynd.xlsx", "A 14138-2021")</f>
        <v/>
      </c>
      <c r="T208">
        <f>HYPERLINK("https://klasma.github.io/Logging_0680/kartor/A 14138-2021 karta.png", "A 14138-2021")</f>
        <v/>
      </c>
      <c r="V208">
        <f>HYPERLINK("https://klasma.github.io/Logging_0680/klagomål/A 14138-2021 FSC-klagomål.docx", "A 14138-2021")</f>
        <v/>
      </c>
      <c r="W208">
        <f>HYPERLINK("https://klasma.github.io/Logging_0680/klagomålsmail/A 14138-2021 FSC-klagomål mail.docx", "A 14138-2021")</f>
        <v/>
      </c>
      <c r="X208">
        <f>HYPERLINK("https://klasma.github.io/Logging_0680/tillsyn/A 14138-2021 tillsynsbegäran.docx", "A 14138-2021")</f>
        <v/>
      </c>
      <c r="Y208">
        <f>HYPERLINK("https://klasma.github.io/Logging_0680/tillsynsmail/A 14138-2021 tillsynsbegäran mail.docx", "A 14138-2021")</f>
        <v/>
      </c>
    </row>
    <row r="209" ht="15" customHeight="1">
      <c r="A209" t="inlineStr">
        <is>
          <t>A 14385-2021</t>
        </is>
      </c>
      <c r="B209" s="1" t="n">
        <v>44279</v>
      </c>
      <c r="C209" s="1" t="n">
        <v>45225</v>
      </c>
      <c r="D209" t="inlineStr">
        <is>
          <t>JÖNKÖPINGS LÄN</t>
        </is>
      </c>
      <c r="E209" t="inlineStr">
        <is>
          <t>VETLANDA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HYPERLINK("https://klasma.github.io/Logging_0685/artfynd/A 14385-2021 artfynd.xlsx", "A 14385-2021")</f>
        <v/>
      </c>
      <c r="T209">
        <f>HYPERLINK("https://klasma.github.io/Logging_0685/kartor/A 14385-2021 karta.png", "A 14385-2021")</f>
        <v/>
      </c>
      <c r="V209">
        <f>HYPERLINK("https://klasma.github.io/Logging_0685/klagomål/A 14385-2021 FSC-klagomål.docx", "A 14385-2021")</f>
        <v/>
      </c>
      <c r="W209">
        <f>HYPERLINK("https://klasma.github.io/Logging_0685/klagomålsmail/A 14385-2021 FSC-klagomål mail.docx", "A 14385-2021")</f>
        <v/>
      </c>
      <c r="X209">
        <f>HYPERLINK("https://klasma.github.io/Logging_0685/tillsyn/A 14385-2021 tillsynsbegäran.docx", "A 14385-2021")</f>
        <v/>
      </c>
      <c r="Y209">
        <f>HYPERLINK("https://klasma.github.io/Logging_0685/tillsynsmail/A 14385-2021 tillsynsbegäran mail.docx", "A 14385-2021")</f>
        <v/>
      </c>
    </row>
    <row r="210" ht="15" customHeight="1">
      <c r="A210" t="inlineStr">
        <is>
          <t>A 18270-2021</t>
        </is>
      </c>
      <c r="B210" s="1" t="n">
        <v>44305</v>
      </c>
      <c r="C210" s="1" t="n">
        <v>45225</v>
      </c>
      <c r="D210" t="inlineStr">
        <is>
          <t>JÖNKÖPINGS LÄN</t>
        </is>
      </c>
      <c r="E210" t="inlineStr">
        <is>
          <t>VETLANDA</t>
        </is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Ögonpyrola</t>
        </is>
      </c>
      <c r="S210">
        <f>HYPERLINK("https://klasma.github.io/Logging_0685/artfynd/A 18270-2021 artfynd.xlsx", "A 18270-2021")</f>
        <v/>
      </c>
      <c r="T210">
        <f>HYPERLINK("https://klasma.github.io/Logging_0685/kartor/A 18270-2021 karta.png", "A 18270-2021")</f>
        <v/>
      </c>
      <c r="V210">
        <f>HYPERLINK("https://klasma.github.io/Logging_0685/klagomål/A 18270-2021 FSC-klagomål.docx", "A 18270-2021")</f>
        <v/>
      </c>
      <c r="W210">
        <f>HYPERLINK("https://klasma.github.io/Logging_0685/klagomålsmail/A 18270-2021 FSC-klagomål mail.docx", "A 18270-2021")</f>
        <v/>
      </c>
      <c r="X210">
        <f>HYPERLINK("https://klasma.github.io/Logging_0685/tillsyn/A 18270-2021 tillsynsbegäran.docx", "A 18270-2021")</f>
        <v/>
      </c>
      <c r="Y210">
        <f>HYPERLINK("https://klasma.github.io/Logging_0685/tillsynsmail/A 18270-2021 tillsynsbegäran mail.docx", "A 18270-2021")</f>
        <v/>
      </c>
    </row>
    <row r="211" ht="15" customHeight="1">
      <c r="A211" t="inlineStr">
        <is>
          <t>A 26049-2021</t>
        </is>
      </c>
      <c r="B211" s="1" t="n">
        <v>44344</v>
      </c>
      <c r="C211" s="1" t="n">
        <v>45225</v>
      </c>
      <c r="D211" t="inlineStr">
        <is>
          <t>JÖNKÖPINGS LÄN</t>
        </is>
      </c>
      <c r="E211" t="inlineStr">
        <is>
          <t>VAGGERYD</t>
        </is>
      </c>
      <c r="G211" t="n">
        <v>7.1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Kungsörn</t>
        </is>
      </c>
      <c r="S211">
        <f>HYPERLINK("https://klasma.github.io/Logging_0665/artfynd/A 26049-2021 artfynd.xlsx", "A 26049-2021")</f>
        <v/>
      </c>
      <c r="T211">
        <f>HYPERLINK("https://klasma.github.io/Logging_0665/kartor/A 26049-2021 karta.png", "A 26049-2021")</f>
        <v/>
      </c>
      <c r="V211">
        <f>HYPERLINK("https://klasma.github.io/Logging_0665/klagomål/A 26049-2021 FSC-klagomål.docx", "A 26049-2021")</f>
        <v/>
      </c>
      <c r="W211">
        <f>HYPERLINK("https://klasma.github.io/Logging_0665/klagomålsmail/A 26049-2021 FSC-klagomål mail.docx", "A 26049-2021")</f>
        <v/>
      </c>
      <c r="X211">
        <f>HYPERLINK("https://klasma.github.io/Logging_0665/tillsyn/A 26049-2021 tillsynsbegäran.docx", "A 26049-2021")</f>
        <v/>
      </c>
      <c r="Y211">
        <f>HYPERLINK("https://klasma.github.io/Logging_0665/tillsynsmail/A 26049-2021 tillsynsbegäran mail.docx", "A 26049-2021")</f>
        <v/>
      </c>
    </row>
    <row r="212" ht="15" customHeight="1">
      <c r="A212" t="inlineStr">
        <is>
          <t>A 32245-2021</t>
        </is>
      </c>
      <c r="B212" s="1" t="n">
        <v>44371</v>
      </c>
      <c r="C212" s="1" t="n">
        <v>45225</v>
      </c>
      <c r="D212" t="inlineStr">
        <is>
          <t>JÖNKÖPINGS LÄN</t>
        </is>
      </c>
      <c r="E212" t="inlineStr">
        <is>
          <t>NÄSSJÖ</t>
        </is>
      </c>
      <c r="F212" t="inlineStr">
        <is>
          <t>Kommuner</t>
        </is>
      </c>
      <c r="G212" t="n">
        <v>5.2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Svart trolldruva</t>
        </is>
      </c>
      <c r="S212">
        <f>HYPERLINK("https://klasma.github.io/Logging_0682/artfynd/A 32245-2021 artfynd.xlsx", "A 32245-2021")</f>
        <v/>
      </c>
      <c r="T212">
        <f>HYPERLINK("https://klasma.github.io/Logging_0682/kartor/A 32245-2021 karta.png", "A 32245-2021")</f>
        <v/>
      </c>
      <c r="V212">
        <f>HYPERLINK("https://klasma.github.io/Logging_0682/klagomål/A 32245-2021 FSC-klagomål.docx", "A 32245-2021")</f>
        <v/>
      </c>
      <c r="W212">
        <f>HYPERLINK("https://klasma.github.io/Logging_0682/klagomålsmail/A 32245-2021 FSC-klagomål mail.docx", "A 32245-2021")</f>
        <v/>
      </c>
      <c r="X212">
        <f>HYPERLINK("https://klasma.github.io/Logging_0682/tillsyn/A 32245-2021 tillsynsbegäran.docx", "A 32245-2021")</f>
        <v/>
      </c>
      <c r="Y212">
        <f>HYPERLINK("https://klasma.github.io/Logging_0682/tillsynsmail/A 32245-2021 tillsynsbegäran mail.docx", "A 32245-2021")</f>
        <v/>
      </c>
    </row>
    <row r="213" ht="15" customHeight="1">
      <c r="A213" t="inlineStr">
        <is>
          <t>A 40268-2021</t>
        </is>
      </c>
      <c r="B213" s="1" t="n">
        <v>44419</v>
      </c>
      <c r="C213" s="1" t="n">
        <v>45225</v>
      </c>
      <c r="D213" t="inlineStr">
        <is>
          <t>JÖNKÖPINGS LÄN</t>
        </is>
      </c>
      <c r="E213" t="inlineStr">
        <is>
          <t>JÖNKÖPING</t>
        </is>
      </c>
      <c r="G213" t="n">
        <v>4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Strutbräken</t>
        </is>
      </c>
      <c r="S213">
        <f>HYPERLINK("https://klasma.github.io/Logging_0680/artfynd/A 40268-2021 artfynd.xlsx", "A 40268-2021")</f>
        <v/>
      </c>
      <c r="T213">
        <f>HYPERLINK("https://klasma.github.io/Logging_0680/kartor/A 40268-2021 karta.png", "A 40268-2021")</f>
        <v/>
      </c>
      <c r="V213">
        <f>HYPERLINK("https://klasma.github.io/Logging_0680/klagomål/A 40268-2021 FSC-klagomål.docx", "A 40268-2021")</f>
        <v/>
      </c>
      <c r="W213">
        <f>HYPERLINK("https://klasma.github.io/Logging_0680/klagomålsmail/A 40268-2021 FSC-klagomål mail.docx", "A 40268-2021")</f>
        <v/>
      </c>
      <c r="X213">
        <f>HYPERLINK("https://klasma.github.io/Logging_0680/tillsyn/A 40268-2021 tillsynsbegäran.docx", "A 40268-2021")</f>
        <v/>
      </c>
      <c r="Y213">
        <f>HYPERLINK("https://klasma.github.io/Logging_0680/tillsynsmail/A 40268-2021 tillsynsbegäran mail.docx", "A 40268-2021")</f>
        <v/>
      </c>
    </row>
    <row r="214" ht="15" customHeight="1">
      <c r="A214" t="inlineStr">
        <is>
          <t>A 44177-2021</t>
        </is>
      </c>
      <c r="B214" s="1" t="n">
        <v>44434</v>
      </c>
      <c r="C214" s="1" t="n">
        <v>45225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Solvända</t>
        </is>
      </c>
      <c r="S214">
        <f>HYPERLINK("https://klasma.github.io/Logging_0685/artfynd/A 44177-2021 artfynd.xlsx", "A 44177-2021")</f>
        <v/>
      </c>
      <c r="T214">
        <f>HYPERLINK("https://klasma.github.io/Logging_0685/kartor/A 44177-2021 karta.png", "A 44177-2021")</f>
        <v/>
      </c>
      <c r="V214">
        <f>HYPERLINK("https://klasma.github.io/Logging_0685/klagomål/A 44177-2021 FSC-klagomål.docx", "A 44177-2021")</f>
        <v/>
      </c>
      <c r="W214">
        <f>HYPERLINK("https://klasma.github.io/Logging_0685/klagomålsmail/A 44177-2021 FSC-klagomål mail.docx", "A 44177-2021")</f>
        <v/>
      </c>
      <c r="X214">
        <f>HYPERLINK("https://klasma.github.io/Logging_0685/tillsyn/A 44177-2021 tillsynsbegäran.docx", "A 44177-2021")</f>
        <v/>
      </c>
      <c r="Y214">
        <f>HYPERLINK("https://klasma.github.io/Logging_0685/tillsynsmail/A 44177-2021 tillsynsbegäran mail.docx", "A 44177-2021")</f>
        <v/>
      </c>
    </row>
    <row r="215" ht="15" customHeight="1">
      <c r="A215" t="inlineStr">
        <is>
          <t>A 46862-2021</t>
        </is>
      </c>
      <c r="B215" s="1" t="n">
        <v>44446</v>
      </c>
      <c r="C215" s="1" t="n">
        <v>45225</v>
      </c>
      <c r="D215" t="inlineStr">
        <is>
          <t>JÖNKÖPINGS LÄN</t>
        </is>
      </c>
      <c r="E215" t="inlineStr">
        <is>
          <t>VETLANDA</t>
        </is>
      </c>
      <c r="G215" t="n">
        <v>4.1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Svart trolldruva</t>
        </is>
      </c>
      <c r="S215">
        <f>HYPERLINK("https://klasma.github.io/Logging_0685/artfynd/A 46862-2021 artfynd.xlsx", "A 46862-2021")</f>
        <v/>
      </c>
      <c r="T215">
        <f>HYPERLINK("https://klasma.github.io/Logging_0685/kartor/A 46862-2021 karta.png", "A 46862-2021")</f>
        <v/>
      </c>
      <c r="V215">
        <f>HYPERLINK("https://klasma.github.io/Logging_0685/klagomål/A 46862-2021 FSC-klagomål.docx", "A 46862-2021")</f>
        <v/>
      </c>
      <c r="W215">
        <f>HYPERLINK("https://klasma.github.io/Logging_0685/klagomålsmail/A 46862-2021 FSC-klagomål mail.docx", "A 46862-2021")</f>
        <v/>
      </c>
      <c r="X215">
        <f>HYPERLINK("https://klasma.github.io/Logging_0685/tillsyn/A 46862-2021 tillsynsbegäran.docx", "A 46862-2021")</f>
        <v/>
      </c>
      <c r="Y215">
        <f>HYPERLINK("https://klasma.github.io/Logging_0685/tillsynsmail/A 46862-2021 tillsynsbegäran mail.docx", "A 46862-2021")</f>
        <v/>
      </c>
    </row>
    <row r="216" ht="15" customHeight="1">
      <c r="A216" t="inlineStr">
        <is>
          <t>A 48001-2021</t>
        </is>
      </c>
      <c r="B216" s="1" t="n">
        <v>44449</v>
      </c>
      <c r="C216" s="1" t="n">
        <v>45225</v>
      </c>
      <c r="D216" t="inlineStr">
        <is>
          <t>JÖNKÖPINGS LÄN</t>
        </is>
      </c>
      <c r="E216" t="inlineStr">
        <is>
          <t>JÖNKÖPING</t>
        </is>
      </c>
      <c r="G216" t="n">
        <v>3.1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Sågtandad mycelbagge</t>
        </is>
      </c>
      <c r="S216">
        <f>HYPERLINK("https://klasma.github.io/Logging_0680/artfynd/A 48001-2021 artfynd.xlsx", "A 48001-2021")</f>
        <v/>
      </c>
      <c r="T216">
        <f>HYPERLINK("https://klasma.github.io/Logging_0680/kartor/A 48001-2021 karta.png", "A 48001-2021")</f>
        <v/>
      </c>
      <c r="V216">
        <f>HYPERLINK("https://klasma.github.io/Logging_0680/klagomål/A 48001-2021 FSC-klagomål.docx", "A 48001-2021")</f>
        <v/>
      </c>
      <c r="W216">
        <f>HYPERLINK("https://klasma.github.io/Logging_0680/klagomålsmail/A 48001-2021 FSC-klagomål mail.docx", "A 48001-2021")</f>
        <v/>
      </c>
      <c r="X216">
        <f>HYPERLINK("https://klasma.github.io/Logging_0680/tillsyn/A 48001-2021 tillsynsbegäran.docx", "A 48001-2021")</f>
        <v/>
      </c>
      <c r="Y216">
        <f>HYPERLINK("https://klasma.github.io/Logging_0680/tillsynsmail/A 48001-2021 tillsynsbegäran mail.docx", "A 48001-2021")</f>
        <v/>
      </c>
    </row>
    <row r="217" ht="15" customHeight="1">
      <c r="A217" t="inlineStr">
        <is>
          <t>A 49388-2021</t>
        </is>
      </c>
      <c r="B217" s="1" t="n">
        <v>44454</v>
      </c>
      <c r="C217" s="1" t="n">
        <v>45225</v>
      </c>
      <c r="D217" t="inlineStr">
        <is>
          <t>JÖNKÖPINGS LÄN</t>
        </is>
      </c>
      <c r="E217" t="inlineStr">
        <is>
          <t>VETLANDA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HYPERLINK("https://klasma.github.io/Logging_0685/artfynd/A 49388-2021 artfynd.xlsx", "A 49388-2021")</f>
        <v/>
      </c>
      <c r="T217">
        <f>HYPERLINK("https://klasma.github.io/Logging_0685/kartor/A 49388-2021 karta.png", "A 49388-2021")</f>
        <v/>
      </c>
      <c r="V217">
        <f>HYPERLINK("https://klasma.github.io/Logging_0685/klagomål/A 49388-2021 FSC-klagomål.docx", "A 49388-2021")</f>
        <v/>
      </c>
      <c r="W217">
        <f>HYPERLINK("https://klasma.github.io/Logging_0685/klagomålsmail/A 49388-2021 FSC-klagomål mail.docx", "A 49388-2021")</f>
        <v/>
      </c>
      <c r="X217">
        <f>HYPERLINK("https://klasma.github.io/Logging_0685/tillsyn/A 49388-2021 tillsynsbegäran.docx", "A 49388-2021")</f>
        <v/>
      </c>
      <c r="Y217">
        <f>HYPERLINK("https://klasma.github.io/Logging_0685/tillsynsmail/A 49388-2021 tillsynsbegäran mail.docx", "A 49388-2021")</f>
        <v/>
      </c>
    </row>
    <row r="218" ht="15" customHeight="1">
      <c r="A218" t="inlineStr">
        <is>
          <t>A 51852-2021</t>
        </is>
      </c>
      <c r="B218" s="1" t="n">
        <v>44462</v>
      </c>
      <c r="C218" s="1" t="n">
        <v>45225</v>
      </c>
      <c r="D218" t="inlineStr">
        <is>
          <t>JÖNKÖPINGS LÄN</t>
        </is>
      </c>
      <c r="E218" t="inlineStr">
        <is>
          <t>VETLANDA</t>
        </is>
      </c>
      <c r="G218" t="n">
        <v>3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HYPERLINK("https://klasma.github.io/Logging_0685/artfynd/A 51852-2021 artfynd.xlsx", "A 51852-2021")</f>
        <v/>
      </c>
      <c r="T218">
        <f>HYPERLINK("https://klasma.github.io/Logging_0685/kartor/A 51852-2021 karta.png", "A 51852-2021")</f>
        <v/>
      </c>
      <c r="V218">
        <f>HYPERLINK("https://klasma.github.io/Logging_0685/klagomål/A 51852-2021 FSC-klagomål.docx", "A 51852-2021")</f>
        <v/>
      </c>
      <c r="W218">
        <f>HYPERLINK("https://klasma.github.io/Logging_0685/klagomålsmail/A 51852-2021 FSC-klagomål mail.docx", "A 51852-2021")</f>
        <v/>
      </c>
      <c r="X218">
        <f>HYPERLINK("https://klasma.github.io/Logging_0685/tillsyn/A 51852-2021 tillsynsbegäran.docx", "A 51852-2021")</f>
        <v/>
      </c>
      <c r="Y218">
        <f>HYPERLINK("https://klasma.github.io/Logging_0685/tillsynsmail/A 51852-2021 tillsynsbegäran mail.docx", "A 51852-2021")</f>
        <v/>
      </c>
    </row>
    <row r="219" ht="15" customHeight="1">
      <c r="A219" t="inlineStr">
        <is>
          <t>A 52023-2021</t>
        </is>
      </c>
      <c r="B219" s="1" t="n">
        <v>44463</v>
      </c>
      <c r="C219" s="1" t="n">
        <v>45225</v>
      </c>
      <c r="D219" t="inlineStr">
        <is>
          <t>JÖNKÖPINGS LÄN</t>
        </is>
      </c>
      <c r="E219" t="inlineStr">
        <is>
          <t>JÖNKÖPING</t>
        </is>
      </c>
      <c r="G219" t="n">
        <v>2.9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Springkorn</t>
        </is>
      </c>
      <c r="S219">
        <f>HYPERLINK("https://klasma.github.io/Logging_0680/artfynd/A 52023-2021 artfynd.xlsx", "A 52023-2021")</f>
        <v/>
      </c>
      <c r="T219">
        <f>HYPERLINK("https://klasma.github.io/Logging_0680/kartor/A 52023-2021 karta.png", "A 52023-2021")</f>
        <v/>
      </c>
      <c r="V219">
        <f>HYPERLINK("https://klasma.github.io/Logging_0680/klagomål/A 52023-2021 FSC-klagomål.docx", "A 52023-2021")</f>
        <v/>
      </c>
      <c r="W219">
        <f>HYPERLINK("https://klasma.github.io/Logging_0680/klagomålsmail/A 52023-2021 FSC-klagomål mail.docx", "A 52023-2021")</f>
        <v/>
      </c>
      <c r="X219">
        <f>HYPERLINK("https://klasma.github.io/Logging_0680/tillsyn/A 52023-2021 tillsynsbegäran.docx", "A 52023-2021")</f>
        <v/>
      </c>
      <c r="Y219">
        <f>HYPERLINK("https://klasma.github.io/Logging_0680/tillsynsmail/A 52023-2021 tillsynsbegäran mail.docx", "A 52023-2021")</f>
        <v/>
      </c>
    </row>
    <row r="220" ht="15" customHeight="1">
      <c r="A220" t="inlineStr">
        <is>
          <t>A 53025-2021</t>
        </is>
      </c>
      <c r="B220" s="1" t="n">
        <v>44467</v>
      </c>
      <c r="C220" s="1" t="n">
        <v>45225</v>
      </c>
      <c r="D220" t="inlineStr">
        <is>
          <t>JÖNKÖPINGS LÄN</t>
        </is>
      </c>
      <c r="E220" t="inlineStr">
        <is>
          <t>JÖNKÖPING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Slåttergubbe</t>
        </is>
      </c>
      <c r="S220">
        <f>HYPERLINK("https://klasma.github.io/Logging_0680/artfynd/A 53025-2021 artfynd.xlsx", "A 53025-2021")</f>
        <v/>
      </c>
      <c r="T220">
        <f>HYPERLINK("https://klasma.github.io/Logging_0680/kartor/A 53025-2021 karta.png", "A 53025-2021")</f>
        <v/>
      </c>
      <c r="V220">
        <f>HYPERLINK("https://klasma.github.io/Logging_0680/klagomål/A 53025-2021 FSC-klagomål.docx", "A 53025-2021")</f>
        <v/>
      </c>
      <c r="W220">
        <f>HYPERLINK("https://klasma.github.io/Logging_0680/klagomålsmail/A 53025-2021 FSC-klagomål mail.docx", "A 53025-2021")</f>
        <v/>
      </c>
      <c r="X220">
        <f>HYPERLINK("https://klasma.github.io/Logging_0680/tillsyn/A 53025-2021 tillsynsbegäran.docx", "A 53025-2021")</f>
        <v/>
      </c>
      <c r="Y220">
        <f>HYPERLINK("https://klasma.github.io/Logging_0680/tillsynsmail/A 53025-2021 tillsynsbegäran mail.docx", "A 53025-2021")</f>
        <v/>
      </c>
    </row>
    <row r="221" ht="15" customHeight="1">
      <c r="A221" t="inlineStr">
        <is>
          <t>A 53670-2021</t>
        </is>
      </c>
      <c r="B221" s="1" t="n">
        <v>44469</v>
      </c>
      <c r="C221" s="1" t="n">
        <v>45225</v>
      </c>
      <c r="D221" t="inlineStr">
        <is>
          <t>JÖNKÖPINGS LÄN</t>
        </is>
      </c>
      <c r="E221" t="inlineStr">
        <is>
          <t>JÖNKÖPING</t>
        </is>
      </c>
      <c r="G221" t="n">
        <v>4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Knärot</t>
        </is>
      </c>
      <c r="S221">
        <f>HYPERLINK("https://klasma.github.io/Logging_0680/artfynd/A 53670-2021 artfynd.xlsx", "A 53670-2021")</f>
        <v/>
      </c>
      <c r="T221">
        <f>HYPERLINK("https://klasma.github.io/Logging_0680/kartor/A 53670-2021 karta.png", "A 53670-2021")</f>
        <v/>
      </c>
      <c r="U221">
        <f>HYPERLINK("https://klasma.github.io/Logging_0680/knärot/A 53670-2021 karta knärot.png", "A 53670-2021")</f>
        <v/>
      </c>
      <c r="V221">
        <f>HYPERLINK("https://klasma.github.io/Logging_0680/klagomål/A 53670-2021 FSC-klagomål.docx", "A 53670-2021")</f>
        <v/>
      </c>
      <c r="W221">
        <f>HYPERLINK("https://klasma.github.io/Logging_0680/klagomålsmail/A 53670-2021 FSC-klagomål mail.docx", "A 53670-2021")</f>
        <v/>
      </c>
      <c r="X221">
        <f>HYPERLINK("https://klasma.github.io/Logging_0680/tillsyn/A 53670-2021 tillsynsbegäran.docx", "A 53670-2021")</f>
        <v/>
      </c>
      <c r="Y221">
        <f>HYPERLINK("https://klasma.github.io/Logging_0680/tillsynsmail/A 53670-2021 tillsynsbegäran mail.docx", "A 53670-2021")</f>
        <v/>
      </c>
    </row>
    <row r="222" ht="15" customHeight="1">
      <c r="A222" t="inlineStr">
        <is>
          <t>A 61201-2021</t>
        </is>
      </c>
      <c r="B222" s="1" t="n">
        <v>44498</v>
      </c>
      <c r="C222" s="1" t="n">
        <v>45225</v>
      </c>
      <c r="D222" t="inlineStr">
        <is>
          <t>JÖNKÖPINGS LÄN</t>
        </is>
      </c>
      <c r="E222" t="inlineStr">
        <is>
          <t>NÄSSJÖ</t>
        </is>
      </c>
      <c r="G222" t="n">
        <v>10.9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HYPERLINK("https://klasma.github.io/Logging_0682/artfynd/A 61201-2021 artfynd.xlsx", "A 61201-2021")</f>
        <v/>
      </c>
      <c r="T222">
        <f>HYPERLINK("https://klasma.github.io/Logging_0682/kartor/A 61201-2021 karta.png", "A 61201-2021")</f>
        <v/>
      </c>
      <c r="V222">
        <f>HYPERLINK("https://klasma.github.io/Logging_0682/klagomål/A 61201-2021 FSC-klagomål.docx", "A 61201-2021")</f>
        <v/>
      </c>
      <c r="W222">
        <f>HYPERLINK("https://klasma.github.io/Logging_0682/klagomålsmail/A 61201-2021 FSC-klagomål mail.docx", "A 61201-2021")</f>
        <v/>
      </c>
      <c r="X222">
        <f>HYPERLINK("https://klasma.github.io/Logging_0682/tillsyn/A 61201-2021 tillsynsbegäran.docx", "A 61201-2021")</f>
        <v/>
      </c>
      <c r="Y222">
        <f>HYPERLINK("https://klasma.github.io/Logging_0682/tillsynsmail/A 61201-2021 tillsynsbegäran mail.docx", "A 61201-2021")</f>
        <v/>
      </c>
    </row>
    <row r="223" ht="15" customHeight="1">
      <c r="A223" t="inlineStr">
        <is>
          <t>A 63418-2021</t>
        </is>
      </c>
      <c r="B223" s="1" t="n">
        <v>44508</v>
      </c>
      <c r="C223" s="1" t="n">
        <v>45225</v>
      </c>
      <c r="D223" t="inlineStr">
        <is>
          <t>JÖNKÖPINGS LÄN</t>
        </is>
      </c>
      <c r="E223" t="inlineStr">
        <is>
          <t>VÄRNAMO</t>
        </is>
      </c>
      <c r="G223" t="n">
        <v>8.4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HYPERLINK("https://klasma.github.io/Logging_0683/artfynd/A 63418-2021 artfynd.xlsx", "A 63418-2021")</f>
        <v/>
      </c>
      <c r="T223">
        <f>HYPERLINK("https://klasma.github.io/Logging_0683/kartor/A 63418-2021 karta.png", "A 63418-2021")</f>
        <v/>
      </c>
      <c r="V223">
        <f>HYPERLINK("https://klasma.github.io/Logging_0683/klagomål/A 63418-2021 FSC-klagomål.docx", "A 63418-2021")</f>
        <v/>
      </c>
      <c r="W223">
        <f>HYPERLINK("https://klasma.github.io/Logging_0683/klagomålsmail/A 63418-2021 FSC-klagomål mail.docx", "A 63418-2021")</f>
        <v/>
      </c>
      <c r="X223">
        <f>HYPERLINK("https://klasma.github.io/Logging_0683/tillsyn/A 63418-2021 tillsynsbegäran.docx", "A 63418-2021")</f>
        <v/>
      </c>
      <c r="Y223">
        <f>HYPERLINK("https://klasma.github.io/Logging_0683/tillsynsmail/A 63418-2021 tillsynsbegäran mail.docx", "A 63418-2021")</f>
        <v/>
      </c>
    </row>
    <row r="224" ht="15" customHeight="1">
      <c r="A224" t="inlineStr">
        <is>
          <t>A 63467-2021</t>
        </is>
      </c>
      <c r="B224" s="1" t="n">
        <v>44508</v>
      </c>
      <c r="C224" s="1" t="n">
        <v>45225</v>
      </c>
      <c r="D224" t="inlineStr">
        <is>
          <t>JÖNKÖPINGS LÄN</t>
        </is>
      </c>
      <c r="E224" t="inlineStr">
        <is>
          <t>ANEBY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Åkerrättika</t>
        </is>
      </c>
      <c r="S224">
        <f>HYPERLINK("https://klasma.github.io/Logging_0604/artfynd/A 63467-2021 artfynd.xlsx", "A 63467-2021")</f>
        <v/>
      </c>
      <c r="T224">
        <f>HYPERLINK("https://klasma.github.io/Logging_0604/kartor/A 63467-2021 karta.png", "A 63467-2021")</f>
        <v/>
      </c>
      <c r="V224">
        <f>HYPERLINK("https://klasma.github.io/Logging_0604/klagomål/A 63467-2021 FSC-klagomål.docx", "A 63467-2021")</f>
        <v/>
      </c>
      <c r="W224">
        <f>HYPERLINK("https://klasma.github.io/Logging_0604/klagomålsmail/A 63467-2021 FSC-klagomål mail.docx", "A 63467-2021")</f>
        <v/>
      </c>
      <c r="X224">
        <f>HYPERLINK("https://klasma.github.io/Logging_0604/tillsyn/A 63467-2021 tillsynsbegäran.docx", "A 63467-2021")</f>
        <v/>
      </c>
      <c r="Y224">
        <f>HYPERLINK("https://klasma.github.io/Logging_0604/tillsynsmail/A 63467-2021 tillsynsbegäran mail.docx", "A 63467-2021")</f>
        <v/>
      </c>
    </row>
    <row r="225" ht="15" customHeight="1">
      <c r="A225" t="inlineStr">
        <is>
          <t>A 64995-2021</t>
        </is>
      </c>
      <c r="B225" s="1" t="n">
        <v>44514</v>
      </c>
      <c r="C225" s="1" t="n">
        <v>45225</v>
      </c>
      <c r="D225" t="inlineStr">
        <is>
          <t>JÖNKÖPINGS LÄN</t>
        </is>
      </c>
      <c r="E225" t="inlineStr">
        <is>
          <t>VETLANDA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Trollsmultron</t>
        </is>
      </c>
      <c r="S225">
        <f>HYPERLINK("https://klasma.github.io/Logging_0685/artfynd/A 64995-2021 artfynd.xlsx", "A 64995-2021")</f>
        <v/>
      </c>
      <c r="T225">
        <f>HYPERLINK("https://klasma.github.io/Logging_0685/kartor/A 64995-2021 karta.png", "A 64995-2021")</f>
        <v/>
      </c>
      <c r="V225">
        <f>HYPERLINK("https://klasma.github.io/Logging_0685/klagomål/A 64995-2021 FSC-klagomål.docx", "A 64995-2021")</f>
        <v/>
      </c>
      <c r="W225">
        <f>HYPERLINK("https://klasma.github.io/Logging_0685/klagomålsmail/A 64995-2021 FSC-klagomål mail.docx", "A 64995-2021")</f>
        <v/>
      </c>
      <c r="X225">
        <f>HYPERLINK("https://klasma.github.io/Logging_0685/tillsyn/A 64995-2021 tillsynsbegäran.docx", "A 64995-2021")</f>
        <v/>
      </c>
      <c r="Y225">
        <f>HYPERLINK("https://klasma.github.io/Logging_0685/tillsynsmail/A 64995-2021 tillsynsbegäran mail.docx", "A 64995-2021")</f>
        <v/>
      </c>
    </row>
    <row r="226" ht="15" customHeight="1">
      <c r="A226" t="inlineStr">
        <is>
          <t>A 68409-2021</t>
        </is>
      </c>
      <c r="B226" s="1" t="n">
        <v>44529</v>
      </c>
      <c r="C226" s="1" t="n">
        <v>45225</v>
      </c>
      <c r="D226" t="inlineStr">
        <is>
          <t>JÖNKÖPINGS LÄN</t>
        </is>
      </c>
      <c r="E226" t="inlineStr">
        <is>
          <t>NÄSSJÖ</t>
        </is>
      </c>
      <c r="G226" t="n">
        <v>3.8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Åkerkål</t>
        </is>
      </c>
      <c r="S226">
        <f>HYPERLINK("https://klasma.github.io/Logging_0682/artfynd/A 68409-2021 artfynd.xlsx", "A 68409-2021")</f>
        <v/>
      </c>
      <c r="T226">
        <f>HYPERLINK("https://klasma.github.io/Logging_0682/kartor/A 68409-2021 karta.png", "A 68409-2021")</f>
        <v/>
      </c>
      <c r="V226">
        <f>HYPERLINK("https://klasma.github.io/Logging_0682/klagomål/A 68409-2021 FSC-klagomål.docx", "A 68409-2021")</f>
        <v/>
      </c>
      <c r="W226">
        <f>HYPERLINK("https://klasma.github.io/Logging_0682/klagomålsmail/A 68409-2021 FSC-klagomål mail.docx", "A 68409-2021")</f>
        <v/>
      </c>
      <c r="X226">
        <f>HYPERLINK("https://klasma.github.io/Logging_0682/tillsyn/A 68409-2021 tillsynsbegäran.docx", "A 68409-2021")</f>
        <v/>
      </c>
      <c r="Y226">
        <f>HYPERLINK("https://klasma.github.io/Logging_0682/tillsynsmail/A 68409-2021 tillsynsbegäran mail.docx", "A 68409-2021")</f>
        <v/>
      </c>
    </row>
    <row r="227" ht="15" customHeight="1">
      <c r="A227" t="inlineStr">
        <is>
          <t>A 69075-2021</t>
        </is>
      </c>
      <c r="B227" s="1" t="n">
        <v>44530</v>
      </c>
      <c r="C227" s="1" t="n">
        <v>45225</v>
      </c>
      <c r="D227" t="inlineStr">
        <is>
          <t>JÖNKÖPINGS LÄN</t>
        </is>
      </c>
      <c r="E227" t="inlineStr">
        <is>
          <t>GISLAVED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Bredgentiana</t>
        </is>
      </c>
      <c r="S227">
        <f>HYPERLINK("https://klasma.github.io/Logging_0662/artfynd/A 69075-2021 artfynd.xlsx", "A 69075-2021")</f>
        <v/>
      </c>
      <c r="T227">
        <f>HYPERLINK("https://klasma.github.io/Logging_0662/kartor/A 69075-2021 karta.png", "A 69075-2021")</f>
        <v/>
      </c>
      <c r="V227">
        <f>HYPERLINK("https://klasma.github.io/Logging_0662/klagomål/A 69075-2021 FSC-klagomål.docx", "A 69075-2021")</f>
        <v/>
      </c>
      <c r="W227">
        <f>HYPERLINK("https://klasma.github.io/Logging_0662/klagomålsmail/A 69075-2021 FSC-klagomål mail.docx", "A 69075-2021")</f>
        <v/>
      </c>
      <c r="X227">
        <f>HYPERLINK("https://klasma.github.io/Logging_0662/tillsyn/A 69075-2021 tillsynsbegäran.docx", "A 69075-2021")</f>
        <v/>
      </c>
      <c r="Y227">
        <f>HYPERLINK("https://klasma.github.io/Logging_0662/tillsynsmail/A 69075-2021 tillsynsbegäran mail.docx", "A 69075-2021")</f>
        <v/>
      </c>
    </row>
    <row r="228" ht="15" customHeight="1">
      <c r="A228" t="inlineStr">
        <is>
          <t>A 70820-2021</t>
        </is>
      </c>
      <c r="B228" s="1" t="n">
        <v>44537</v>
      </c>
      <c r="C228" s="1" t="n">
        <v>45225</v>
      </c>
      <c r="D228" t="inlineStr">
        <is>
          <t>JÖNKÖPINGS LÄN</t>
        </is>
      </c>
      <c r="E228" t="inlineStr">
        <is>
          <t>NÄSSJÖ</t>
        </is>
      </c>
      <c r="G228" t="n">
        <v>5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Lappuggla</t>
        </is>
      </c>
      <c r="S228">
        <f>HYPERLINK("https://klasma.github.io/Logging_0682/artfynd/A 70820-2021 artfynd.xlsx", "A 70820-2021")</f>
        <v/>
      </c>
      <c r="T228">
        <f>HYPERLINK("https://klasma.github.io/Logging_0682/kartor/A 70820-2021 karta.png", "A 70820-2021")</f>
        <v/>
      </c>
      <c r="V228">
        <f>HYPERLINK("https://klasma.github.io/Logging_0682/klagomål/A 70820-2021 FSC-klagomål.docx", "A 70820-2021")</f>
        <v/>
      </c>
      <c r="W228">
        <f>HYPERLINK("https://klasma.github.io/Logging_0682/klagomålsmail/A 70820-2021 FSC-klagomål mail.docx", "A 70820-2021")</f>
        <v/>
      </c>
      <c r="X228">
        <f>HYPERLINK("https://klasma.github.io/Logging_0682/tillsyn/A 70820-2021 tillsynsbegäran.docx", "A 70820-2021")</f>
        <v/>
      </c>
      <c r="Y228">
        <f>HYPERLINK("https://klasma.github.io/Logging_0682/tillsynsmail/A 70820-2021 tillsynsbegäran mail.docx", "A 70820-2021")</f>
        <v/>
      </c>
    </row>
    <row r="229" ht="15" customHeight="1">
      <c r="A229" t="inlineStr">
        <is>
          <t>A 412-2022</t>
        </is>
      </c>
      <c r="B229" s="1" t="n">
        <v>44565</v>
      </c>
      <c r="C229" s="1" t="n">
        <v>45225</v>
      </c>
      <c r="D229" t="inlineStr">
        <is>
          <t>JÖNKÖPINGS LÄN</t>
        </is>
      </c>
      <c r="E229" t="inlineStr">
        <is>
          <t>ANEBY</t>
        </is>
      </c>
      <c r="G229" t="n">
        <v>6.7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Fläcknycklar</t>
        </is>
      </c>
      <c r="S229">
        <f>HYPERLINK("https://klasma.github.io/Logging_0604/artfynd/A 412-2022 artfynd.xlsx", "A 412-2022")</f>
        <v/>
      </c>
      <c r="T229">
        <f>HYPERLINK("https://klasma.github.io/Logging_0604/kartor/A 412-2022 karta.png", "A 412-2022")</f>
        <v/>
      </c>
      <c r="V229">
        <f>HYPERLINK("https://klasma.github.io/Logging_0604/klagomål/A 412-2022 FSC-klagomål.docx", "A 412-2022")</f>
        <v/>
      </c>
      <c r="W229">
        <f>HYPERLINK("https://klasma.github.io/Logging_0604/klagomålsmail/A 412-2022 FSC-klagomål mail.docx", "A 412-2022")</f>
        <v/>
      </c>
      <c r="X229">
        <f>HYPERLINK("https://klasma.github.io/Logging_0604/tillsyn/A 412-2022 tillsynsbegäran.docx", "A 412-2022")</f>
        <v/>
      </c>
      <c r="Y229">
        <f>HYPERLINK("https://klasma.github.io/Logging_0604/tillsynsmail/A 412-2022 tillsynsbegäran mail.docx", "A 412-2022")</f>
        <v/>
      </c>
    </row>
    <row r="230" ht="15" customHeight="1">
      <c r="A230" t="inlineStr">
        <is>
          <t>A 5498-2022</t>
        </is>
      </c>
      <c r="B230" s="1" t="n">
        <v>44595</v>
      </c>
      <c r="C230" s="1" t="n">
        <v>45225</v>
      </c>
      <c r="D230" t="inlineStr">
        <is>
          <t>JÖNKÖPINGS LÄN</t>
        </is>
      </c>
      <c r="E230" t="inlineStr">
        <is>
          <t>VETLANDA</t>
        </is>
      </c>
      <c r="G230" t="n">
        <v>3.5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Revlummer</t>
        </is>
      </c>
      <c r="S230">
        <f>HYPERLINK("https://klasma.github.io/Logging_0685/artfynd/A 5498-2022 artfynd.xlsx", "A 5498-2022")</f>
        <v/>
      </c>
      <c r="T230">
        <f>HYPERLINK("https://klasma.github.io/Logging_0685/kartor/A 5498-2022 karta.png", "A 5498-2022")</f>
        <v/>
      </c>
      <c r="V230">
        <f>HYPERLINK("https://klasma.github.io/Logging_0685/klagomål/A 5498-2022 FSC-klagomål.docx", "A 5498-2022")</f>
        <v/>
      </c>
      <c r="W230">
        <f>HYPERLINK("https://klasma.github.io/Logging_0685/klagomålsmail/A 5498-2022 FSC-klagomål mail.docx", "A 5498-2022")</f>
        <v/>
      </c>
      <c r="X230">
        <f>HYPERLINK("https://klasma.github.io/Logging_0685/tillsyn/A 5498-2022 tillsynsbegäran.docx", "A 5498-2022")</f>
        <v/>
      </c>
      <c r="Y230">
        <f>HYPERLINK("https://klasma.github.io/Logging_0685/tillsynsmail/A 5498-2022 tillsynsbegäran mail.docx", "A 5498-2022")</f>
        <v/>
      </c>
    </row>
    <row r="231" ht="15" customHeight="1">
      <c r="A231" t="inlineStr">
        <is>
          <t>A 13006-2022</t>
        </is>
      </c>
      <c r="B231" s="1" t="n">
        <v>44643</v>
      </c>
      <c r="C231" s="1" t="n">
        <v>45225</v>
      </c>
      <c r="D231" t="inlineStr">
        <is>
          <t>JÖNKÖPINGS LÄN</t>
        </is>
      </c>
      <c r="E231" t="inlineStr">
        <is>
          <t>VETLANDA</t>
        </is>
      </c>
      <c r="F231" t="inlineStr">
        <is>
          <t>Kommuner</t>
        </is>
      </c>
      <c r="G231" t="n">
        <v>12.5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HYPERLINK("https://klasma.github.io/Logging_0685/artfynd/A 13006-2022 artfynd.xlsx", "A 13006-2022")</f>
        <v/>
      </c>
      <c r="T231">
        <f>HYPERLINK("https://klasma.github.io/Logging_0685/kartor/A 13006-2022 karta.png", "A 13006-2022")</f>
        <v/>
      </c>
      <c r="U231">
        <f>HYPERLINK("https://klasma.github.io/Logging_0685/knärot/A 13006-2022 karta knärot.png", "A 13006-2022")</f>
        <v/>
      </c>
      <c r="V231">
        <f>HYPERLINK("https://klasma.github.io/Logging_0685/klagomål/A 13006-2022 FSC-klagomål.docx", "A 13006-2022")</f>
        <v/>
      </c>
      <c r="W231">
        <f>HYPERLINK("https://klasma.github.io/Logging_0685/klagomålsmail/A 13006-2022 FSC-klagomål mail.docx", "A 13006-2022")</f>
        <v/>
      </c>
      <c r="X231">
        <f>HYPERLINK("https://klasma.github.io/Logging_0685/tillsyn/A 13006-2022 tillsynsbegäran.docx", "A 13006-2022")</f>
        <v/>
      </c>
      <c r="Y231">
        <f>HYPERLINK("https://klasma.github.io/Logging_0685/tillsynsmail/A 13006-2022 tillsynsbegäran mail.docx", "A 13006-2022")</f>
        <v/>
      </c>
    </row>
    <row r="232" ht="15" customHeight="1">
      <c r="A232" t="inlineStr">
        <is>
          <t>A 26395-2022</t>
        </is>
      </c>
      <c r="B232" s="1" t="n">
        <v>44735</v>
      </c>
      <c r="C232" s="1" t="n">
        <v>45225</v>
      </c>
      <c r="D232" t="inlineStr">
        <is>
          <t>JÖNKÖPINGS LÄN</t>
        </is>
      </c>
      <c r="E232" t="inlineStr">
        <is>
          <t>TRANÅS</t>
        </is>
      </c>
      <c r="G232" t="n">
        <v>2.1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Ängsnycklar</t>
        </is>
      </c>
      <c r="S232">
        <f>HYPERLINK("https://klasma.github.io/Logging_0687/artfynd/A 26395-2022 artfynd.xlsx", "A 26395-2022")</f>
        <v/>
      </c>
      <c r="T232">
        <f>HYPERLINK("https://klasma.github.io/Logging_0687/kartor/A 26395-2022 karta.png", "A 26395-2022")</f>
        <v/>
      </c>
      <c r="V232">
        <f>HYPERLINK("https://klasma.github.io/Logging_0687/klagomål/A 26395-2022 FSC-klagomål.docx", "A 26395-2022")</f>
        <v/>
      </c>
      <c r="W232">
        <f>HYPERLINK("https://klasma.github.io/Logging_0687/klagomålsmail/A 26395-2022 FSC-klagomål mail.docx", "A 26395-2022")</f>
        <v/>
      </c>
      <c r="X232">
        <f>HYPERLINK("https://klasma.github.io/Logging_0687/tillsyn/A 26395-2022 tillsynsbegäran.docx", "A 26395-2022")</f>
        <v/>
      </c>
      <c r="Y232">
        <f>HYPERLINK("https://klasma.github.io/Logging_0687/tillsynsmail/A 26395-2022 tillsynsbegäran mail.docx", "A 26395-2022")</f>
        <v/>
      </c>
    </row>
    <row r="233" ht="15" customHeight="1">
      <c r="A233" t="inlineStr">
        <is>
          <t>A 26920-2022</t>
        </is>
      </c>
      <c r="B233" s="1" t="n">
        <v>44740</v>
      </c>
      <c r="C233" s="1" t="n">
        <v>45225</v>
      </c>
      <c r="D233" t="inlineStr">
        <is>
          <t>JÖNKÖPINGS LÄN</t>
        </is>
      </c>
      <c r="E233" t="inlineStr">
        <is>
          <t>VETLANDA</t>
        </is>
      </c>
      <c r="F233" t="inlineStr">
        <is>
          <t>Kyrkan</t>
        </is>
      </c>
      <c r="G233" t="n">
        <v>9.1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Adam och eva</t>
        </is>
      </c>
      <c r="S233">
        <f>HYPERLINK("https://klasma.github.io/Logging_0685/artfynd/A 26920-2022 artfynd.xlsx", "A 26920-2022")</f>
        <v/>
      </c>
      <c r="T233">
        <f>HYPERLINK("https://klasma.github.io/Logging_0685/kartor/A 26920-2022 karta.png", "A 26920-2022")</f>
        <v/>
      </c>
      <c r="V233">
        <f>HYPERLINK("https://klasma.github.io/Logging_0685/klagomål/A 26920-2022 FSC-klagomål.docx", "A 26920-2022")</f>
        <v/>
      </c>
      <c r="W233">
        <f>HYPERLINK("https://klasma.github.io/Logging_0685/klagomålsmail/A 26920-2022 FSC-klagomål mail.docx", "A 26920-2022")</f>
        <v/>
      </c>
      <c r="X233">
        <f>HYPERLINK("https://klasma.github.io/Logging_0685/tillsyn/A 26920-2022 tillsynsbegäran.docx", "A 26920-2022")</f>
        <v/>
      </c>
      <c r="Y233">
        <f>HYPERLINK("https://klasma.github.io/Logging_0685/tillsynsmail/A 26920-2022 tillsynsbegäran mail.docx", "A 26920-2022")</f>
        <v/>
      </c>
    </row>
    <row r="234" ht="15" customHeight="1">
      <c r="A234" t="inlineStr">
        <is>
          <t>A 28452-2022</t>
        </is>
      </c>
      <c r="B234" s="1" t="n">
        <v>44747</v>
      </c>
      <c r="C234" s="1" t="n">
        <v>45225</v>
      </c>
      <c r="D234" t="inlineStr">
        <is>
          <t>JÖNKÖPINGS LÄN</t>
        </is>
      </c>
      <c r="E234" t="inlineStr">
        <is>
          <t>ANEBY</t>
        </is>
      </c>
      <c r="G234" t="n">
        <v>1.2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Odontocerum albicorne</t>
        </is>
      </c>
      <c r="S234">
        <f>HYPERLINK("https://klasma.github.io/Logging_0604/artfynd/A 28452-2022 artfynd.xlsx", "A 28452-2022")</f>
        <v/>
      </c>
      <c r="T234">
        <f>HYPERLINK("https://klasma.github.io/Logging_0604/kartor/A 28452-2022 karta.png", "A 28452-2022")</f>
        <v/>
      </c>
      <c r="V234">
        <f>HYPERLINK("https://klasma.github.io/Logging_0604/klagomål/A 28452-2022 FSC-klagomål.docx", "A 28452-2022")</f>
        <v/>
      </c>
      <c r="W234">
        <f>HYPERLINK("https://klasma.github.io/Logging_0604/klagomålsmail/A 28452-2022 FSC-klagomål mail.docx", "A 28452-2022")</f>
        <v/>
      </c>
      <c r="X234">
        <f>HYPERLINK("https://klasma.github.io/Logging_0604/tillsyn/A 28452-2022 tillsynsbegäran.docx", "A 28452-2022")</f>
        <v/>
      </c>
      <c r="Y234">
        <f>HYPERLINK("https://klasma.github.io/Logging_0604/tillsynsmail/A 28452-2022 tillsynsbegäran mail.docx", "A 28452-2022")</f>
        <v/>
      </c>
    </row>
    <row r="235" ht="15" customHeight="1">
      <c r="A235" t="inlineStr">
        <is>
          <t>A 28349-2022</t>
        </is>
      </c>
      <c r="B235" s="1" t="n">
        <v>44747</v>
      </c>
      <c r="C235" s="1" t="n">
        <v>45225</v>
      </c>
      <c r="D235" t="inlineStr">
        <is>
          <t>JÖNKÖPINGS LÄN</t>
        </is>
      </c>
      <c r="E235" t="inlineStr">
        <is>
          <t>VETLANDA</t>
        </is>
      </c>
      <c r="G235" t="n">
        <v>0.9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Grönvit nattviol</t>
        </is>
      </c>
      <c r="S235">
        <f>HYPERLINK("https://klasma.github.io/Logging_0685/artfynd/A 28349-2022 artfynd.xlsx", "A 28349-2022")</f>
        <v/>
      </c>
      <c r="T235">
        <f>HYPERLINK("https://klasma.github.io/Logging_0685/kartor/A 28349-2022 karta.png", "A 28349-2022")</f>
        <v/>
      </c>
      <c r="V235">
        <f>HYPERLINK("https://klasma.github.io/Logging_0685/klagomål/A 28349-2022 FSC-klagomål.docx", "A 28349-2022")</f>
        <v/>
      </c>
      <c r="W235">
        <f>HYPERLINK("https://klasma.github.io/Logging_0685/klagomålsmail/A 28349-2022 FSC-klagomål mail.docx", "A 28349-2022")</f>
        <v/>
      </c>
      <c r="X235">
        <f>HYPERLINK("https://klasma.github.io/Logging_0685/tillsyn/A 28349-2022 tillsynsbegäran.docx", "A 28349-2022")</f>
        <v/>
      </c>
      <c r="Y235">
        <f>HYPERLINK("https://klasma.github.io/Logging_0685/tillsynsmail/A 28349-2022 tillsynsbegäran mail.docx", "A 28349-2022")</f>
        <v/>
      </c>
    </row>
    <row r="236" ht="15" customHeight="1">
      <c r="A236" t="inlineStr">
        <is>
          <t>A 29382-2022</t>
        </is>
      </c>
      <c r="B236" s="1" t="n">
        <v>44753</v>
      </c>
      <c r="C236" s="1" t="n">
        <v>45225</v>
      </c>
      <c r="D236" t="inlineStr">
        <is>
          <t>JÖNKÖPINGS LÄN</t>
        </is>
      </c>
      <c r="E236" t="inlineStr">
        <is>
          <t>TRANÅS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HYPERLINK("https://klasma.github.io/Logging_0687/artfynd/A 29382-2022 artfynd.xlsx", "A 29382-2022")</f>
        <v/>
      </c>
      <c r="T236">
        <f>HYPERLINK("https://klasma.github.io/Logging_0687/kartor/A 29382-2022 karta.png", "A 29382-2022")</f>
        <v/>
      </c>
      <c r="V236">
        <f>HYPERLINK("https://klasma.github.io/Logging_0687/klagomål/A 29382-2022 FSC-klagomål.docx", "A 29382-2022")</f>
        <v/>
      </c>
      <c r="W236">
        <f>HYPERLINK("https://klasma.github.io/Logging_0687/klagomålsmail/A 29382-2022 FSC-klagomål mail.docx", "A 29382-2022")</f>
        <v/>
      </c>
      <c r="X236">
        <f>HYPERLINK("https://klasma.github.io/Logging_0687/tillsyn/A 29382-2022 tillsynsbegäran.docx", "A 29382-2022")</f>
        <v/>
      </c>
      <c r="Y236">
        <f>HYPERLINK("https://klasma.github.io/Logging_0687/tillsynsmail/A 29382-2022 tillsynsbegäran mail.docx", "A 29382-2022")</f>
        <v/>
      </c>
    </row>
    <row r="237" ht="15" customHeight="1">
      <c r="A237" t="inlineStr">
        <is>
          <t>A 30362-2022</t>
        </is>
      </c>
      <c r="B237" s="1" t="n">
        <v>44760</v>
      </c>
      <c r="C237" s="1" t="n">
        <v>45225</v>
      </c>
      <c r="D237" t="inlineStr">
        <is>
          <t>JÖNKÖPINGS LÄN</t>
        </is>
      </c>
      <c r="E237" t="inlineStr">
        <is>
          <t>GISLAVED</t>
        </is>
      </c>
      <c r="G237" t="n">
        <v>3.1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HYPERLINK("https://klasma.github.io/Logging_0662/artfynd/A 30362-2022 artfynd.xlsx", "A 30362-2022")</f>
        <v/>
      </c>
      <c r="T237">
        <f>HYPERLINK("https://klasma.github.io/Logging_0662/kartor/A 30362-2022 karta.png", "A 30362-2022")</f>
        <v/>
      </c>
      <c r="U237">
        <f>HYPERLINK("https://klasma.github.io/Logging_0662/knärot/A 30362-2022 karta knärot.png", "A 30362-2022")</f>
        <v/>
      </c>
      <c r="V237">
        <f>HYPERLINK("https://klasma.github.io/Logging_0662/klagomål/A 30362-2022 FSC-klagomål.docx", "A 30362-2022")</f>
        <v/>
      </c>
      <c r="W237">
        <f>HYPERLINK("https://klasma.github.io/Logging_0662/klagomålsmail/A 30362-2022 FSC-klagomål mail.docx", "A 30362-2022")</f>
        <v/>
      </c>
      <c r="X237">
        <f>HYPERLINK("https://klasma.github.io/Logging_0662/tillsyn/A 30362-2022 tillsynsbegäran.docx", "A 30362-2022")</f>
        <v/>
      </c>
      <c r="Y237">
        <f>HYPERLINK("https://klasma.github.io/Logging_0662/tillsynsmail/A 30362-2022 tillsynsbegäran mail.docx", "A 30362-2022")</f>
        <v/>
      </c>
    </row>
    <row r="238" ht="15" customHeight="1">
      <c r="A238" t="inlineStr">
        <is>
          <t>A 35548-2022</t>
        </is>
      </c>
      <c r="B238" s="1" t="n">
        <v>44799</v>
      </c>
      <c r="C238" s="1" t="n">
        <v>45225</v>
      </c>
      <c r="D238" t="inlineStr">
        <is>
          <t>JÖNKÖPINGS LÄN</t>
        </is>
      </c>
      <c r="E238" t="inlineStr">
        <is>
          <t>EKSJÖ</t>
        </is>
      </c>
      <c r="G238" t="n">
        <v>6.2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Bandnate</t>
        </is>
      </c>
      <c r="S238">
        <f>HYPERLINK("https://klasma.github.io/Logging_0686/artfynd/A 35548-2022 artfynd.xlsx", "A 35548-2022")</f>
        <v/>
      </c>
      <c r="T238">
        <f>HYPERLINK("https://klasma.github.io/Logging_0686/kartor/A 35548-2022 karta.png", "A 35548-2022")</f>
        <v/>
      </c>
      <c r="V238">
        <f>HYPERLINK("https://klasma.github.io/Logging_0686/klagomål/A 35548-2022 FSC-klagomål.docx", "A 35548-2022")</f>
        <v/>
      </c>
      <c r="W238">
        <f>HYPERLINK("https://klasma.github.io/Logging_0686/klagomålsmail/A 35548-2022 FSC-klagomål mail.docx", "A 35548-2022")</f>
        <v/>
      </c>
      <c r="X238">
        <f>HYPERLINK("https://klasma.github.io/Logging_0686/tillsyn/A 35548-2022 tillsynsbegäran.docx", "A 35548-2022")</f>
        <v/>
      </c>
      <c r="Y238">
        <f>HYPERLINK("https://klasma.github.io/Logging_0686/tillsynsmail/A 35548-2022 tillsynsbegäran mail.docx", "A 35548-2022")</f>
        <v/>
      </c>
    </row>
    <row r="239" ht="15" customHeight="1">
      <c r="A239" t="inlineStr">
        <is>
          <t>A 39612-2022</t>
        </is>
      </c>
      <c r="B239" s="1" t="n">
        <v>44818</v>
      </c>
      <c r="C239" s="1" t="n">
        <v>45225</v>
      </c>
      <c r="D239" t="inlineStr">
        <is>
          <t>JÖNKÖPINGS LÄN</t>
        </is>
      </c>
      <c r="E239" t="inlineStr">
        <is>
          <t>VETLANDA</t>
        </is>
      </c>
      <c r="G239" t="n">
        <v>7.6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Revlummer</t>
        </is>
      </c>
      <c r="S239">
        <f>HYPERLINK("https://klasma.github.io/Logging_0685/artfynd/A 39612-2022 artfynd.xlsx", "A 39612-2022")</f>
        <v/>
      </c>
      <c r="T239">
        <f>HYPERLINK("https://klasma.github.io/Logging_0685/kartor/A 39612-2022 karta.png", "A 39612-2022")</f>
        <v/>
      </c>
      <c r="V239">
        <f>HYPERLINK("https://klasma.github.io/Logging_0685/klagomål/A 39612-2022 FSC-klagomål.docx", "A 39612-2022")</f>
        <v/>
      </c>
      <c r="W239">
        <f>HYPERLINK("https://klasma.github.io/Logging_0685/klagomålsmail/A 39612-2022 FSC-klagomål mail.docx", "A 39612-2022")</f>
        <v/>
      </c>
      <c r="X239">
        <f>HYPERLINK("https://klasma.github.io/Logging_0685/tillsyn/A 39612-2022 tillsynsbegäran.docx", "A 39612-2022")</f>
        <v/>
      </c>
      <c r="Y239">
        <f>HYPERLINK("https://klasma.github.io/Logging_0685/tillsynsmail/A 39612-2022 tillsynsbegäran mail.docx", "A 39612-2022")</f>
        <v/>
      </c>
    </row>
    <row r="240" ht="15" customHeight="1">
      <c r="A240" t="inlineStr">
        <is>
          <t>A 39857-2022</t>
        </is>
      </c>
      <c r="B240" s="1" t="n">
        <v>44819</v>
      </c>
      <c r="C240" s="1" t="n">
        <v>45225</v>
      </c>
      <c r="D240" t="inlineStr">
        <is>
          <t>JÖNKÖPINGS LÄN</t>
        </is>
      </c>
      <c r="E240" t="inlineStr">
        <is>
          <t>VETLANDA</t>
        </is>
      </c>
      <c r="G240" t="n">
        <v>11.8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Grönpyrola</t>
        </is>
      </c>
      <c r="S240">
        <f>HYPERLINK("https://klasma.github.io/Logging_0685/artfynd/A 39857-2022 artfynd.xlsx", "A 39857-2022")</f>
        <v/>
      </c>
      <c r="T240">
        <f>HYPERLINK("https://klasma.github.io/Logging_0685/kartor/A 39857-2022 karta.png", "A 39857-2022")</f>
        <v/>
      </c>
      <c r="V240">
        <f>HYPERLINK("https://klasma.github.io/Logging_0685/klagomål/A 39857-2022 FSC-klagomål.docx", "A 39857-2022")</f>
        <v/>
      </c>
      <c r="W240">
        <f>HYPERLINK("https://klasma.github.io/Logging_0685/klagomålsmail/A 39857-2022 FSC-klagomål mail.docx", "A 39857-2022")</f>
        <v/>
      </c>
      <c r="X240">
        <f>HYPERLINK("https://klasma.github.io/Logging_0685/tillsyn/A 39857-2022 tillsynsbegäran.docx", "A 39857-2022")</f>
        <v/>
      </c>
      <c r="Y240">
        <f>HYPERLINK("https://klasma.github.io/Logging_0685/tillsynsmail/A 39857-2022 tillsynsbegäran mail.docx", "A 39857-2022")</f>
        <v/>
      </c>
    </row>
    <row r="241" ht="15" customHeight="1">
      <c r="A241" t="inlineStr">
        <is>
          <t>A 40772-2022</t>
        </is>
      </c>
      <c r="B241" s="1" t="n">
        <v>44824</v>
      </c>
      <c r="C241" s="1" t="n">
        <v>45225</v>
      </c>
      <c r="D241" t="inlineStr">
        <is>
          <t>JÖNKÖPINGS LÄN</t>
        </is>
      </c>
      <c r="E241" t="inlineStr">
        <is>
          <t>JÖNKÖPING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Ask</t>
        </is>
      </c>
      <c r="S241">
        <f>HYPERLINK("https://klasma.github.io/Logging_0680/artfynd/A 40772-2022 artfynd.xlsx", "A 40772-2022")</f>
        <v/>
      </c>
      <c r="T241">
        <f>HYPERLINK("https://klasma.github.io/Logging_0680/kartor/A 40772-2022 karta.png", "A 40772-2022")</f>
        <v/>
      </c>
      <c r="V241">
        <f>HYPERLINK("https://klasma.github.io/Logging_0680/klagomål/A 40772-2022 FSC-klagomål.docx", "A 40772-2022")</f>
        <v/>
      </c>
      <c r="W241">
        <f>HYPERLINK("https://klasma.github.io/Logging_0680/klagomålsmail/A 40772-2022 FSC-klagomål mail.docx", "A 40772-2022")</f>
        <v/>
      </c>
      <c r="X241">
        <f>HYPERLINK("https://klasma.github.io/Logging_0680/tillsyn/A 40772-2022 tillsynsbegäran.docx", "A 40772-2022")</f>
        <v/>
      </c>
      <c r="Y241">
        <f>HYPERLINK("https://klasma.github.io/Logging_0680/tillsynsmail/A 40772-2022 tillsynsbegäran mail.docx", "A 40772-2022")</f>
        <v/>
      </c>
    </row>
    <row r="242" ht="15" customHeight="1">
      <c r="A242" t="inlineStr">
        <is>
          <t>A 42142-2022</t>
        </is>
      </c>
      <c r="B242" s="1" t="n">
        <v>44830</v>
      </c>
      <c r="C242" s="1" t="n">
        <v>45225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42142-2022 artfynd.xlsx", "A 42142-2022")</f>
        <v/>
      </c>
      <c r="T242">
        <f>HYPERLINK("https://klasma.github.io/Logging_0685/kartor/A 42142-2022 karta.png", "A 42142-2022")</f>
        <v/>
      </c>
      <c r="V242">
        <f>HYPERLINK("https://klasma.github.io/Logging_0685/klagomål/A 42142-2022 FSC-klagomål.docx", "A 42142-2022")</f>
        <v/>
      </c>
      <c r="W242">
        <f>HYPERLINK("https://klasma.github.io/Logging_0685/klagomålsmail/A 42142-2022 FSC-klagomål mail.docx", "A 42142-2022")</f>
        <v/>
      </c>
      <c r="X242">
        <f>HYPERLINK("https://klasma.github.io/Logging_0685/tillsyn/A 42142-2022 tillsynsbegäran.docx", "A 42142-2022")</f>
        <v/>
      </c>
      <c r="Y242">
        <f>HYPERLINK("https://klasma.github.io/Logging_0685/tillsynsmail/A 42142-2022 tillsynsbegäran mail.docx", "A 42142-2022")</f>
        <v/>
      </c>
    </row>
    <row r="243" ht="15" customHeight="1">
      <c r="A243" t="inlineStr">
        <is>
          <t>A 43385-2022</t>
        </is>
      </c>
      <c r="B243" s="1" t="n">
        <v>44834</v>
      </c>
      <c r="C243" s="1" t="n">
        <v>45225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43385-2022 artfynd.xlsx", "A 43385-2022")</f>
        <v/>
      </c>
      <c r="T243">
        <f>HYPERLINK("https://klasma.github.io/Logging_0685/kartor/A 43385-2022 karta.png", "A 43385-2022")</f>
        <v/>
      </c>
      <c r="V243">
        <f>HYPERLINK("https://klasma.github.io/Logging_0685/klagomål/A 43385-2022 FSC-klagomål.docx", "A 43385-2022")</f>
        <v/>
      </c>
      <c r="W243">
        <f>HYPERLINK("https://klasma.github.io/Logging_0685/klagomålsmail/A 43385-2022 FSC-klagomål mail.docx", "A 43385-2022")</f>
        <v/>
      </c>
      <c r="X243">
        <f>HYPERLINK("https://klasma.github.io/Logging_0685/tillsyn/A 43385-2022 tillsynsbegäran.docx", "A 43385-2022")</f>
        <v/>
      </c>
      <c r="Y243">
        <f>HYPERLINK("https://klasma.github.io/Logging_0685/tillsynsmail/A 43385-2022 tillsynsbegäran mail.docx", "A 43385-2022")</f>
        <v/>
      </c>
    </row>
    <row r="244" ht="15" customHeight="1">
      <c r="A244" t="inlineStr">
        <is>
          <t>A 44455-2022</t>
        </is>
      </c>
      <c r="B244" s="1" t="n">
        <v>44839</v>
      </c>
      <c r="C244" s="1" t="n">
        <v>45225</v>
      </c>
      <c r="D244" t="inlineStr">
        <is>
          <t>JÖNKÖPINGS LÄN</t>
        </is>
      </c>
      <c r="E244" t="inlineStr">
        <is>
          <t>NÄSSJÖ</t>
        </is>
      </c>
      <c r="G244" t="n">
        <v>5.3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44455-2022 artfynd.xlsx", "A 44455-2022")</f>
        <v/>
      </c>
      <c r="T244">
        <f>HYPERLINK("https://klasma.github.io/Logging_0682/kartor/A 44455-2022 karta.png", "A 44455-2022")</f>
        <v/>
      </c>
      <c r="U244">
        <f>HYPERLINK("https://klasma.github.io/Logging_0682/knärot/A 44455-2022 karta knärot.png", "A 44455-2022")</f>
        <v/>
      </c>
      <c r="V244">
        <f>HYPERLINK("https://klasma.github.io/Logging_0682/klagomål/A 44455-2022 FSC-klagomål.docx", "A 44455-2022")</f>
        <v/>
      </c>
      <c r="W244">
        <f>HYPERLINK("https://klasma.github.io/Logging_0682/klagomålsmail/A 44455-2022 FSC-klagomål mail.docx", "A 44455-2022")</f>
        <v/>
      </c>
      <c r="X244">
        <f>HYPERLINK("https://klasma.github.io/Logging_0682/tillsyn/A 44455-2022 tillsynsbegäran.docx", "A 44455-2022")</f>
        <v/>
      </c>
      <c r="Y244">
        <f>HYPERLINK("https://klasma.github.io/Logging_0682/tillsynsmail/A 44455-2022 tillsynsbegäran mail.docx", "A 44455-2022")</f>
        <v/>
      </c>
    </row>
    <row r="245" ht="15" customHeight="1">
      <c r="A245" t="inlineStr">
        <is>
          <t>A 44129-2022</t>
        </is>
      </c>
      <c r="B245" s="1" t="n">
        <v>44839</v>
      </c>
      <c r="C245" s="1" t="n">
        <v>45225</v>
      </c>
      <c r="D245" t="inlineStr">
        <is>
          <t>JÖNKÖPINGS LÄN</t>
        </is>
      </c>
      <c r="E245" t="inlineStr">
        <is>
          <t>NÄSSJÖ</t>
        </is>
      </c>
      <c r="G245" t="n">
        <v>2.2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44129-2022 artfynd.xlsx", "A 44129-2022")</f>
        <v/>
      </c>
      <c r="T245">
        <f>HYPERLINK("https://klasma.github.io/Logging_0682/kartor/A 44129-2022 karta.png", "A 44129-2022")</f>
        <v/>
      </c>
      <c r="U245">
        <f>HYPERLINK("https://klasma.github.io/Logging_0682/knärot/A 44129-2022 karta knärot.png", "A 44129-2022")</f>
        <v/>
      </c>
      <c r="V245">
        <f>HYPERLINK("https://klasma.github.io/Logging_0682/klagomål/A 44129-2022 FSC-klagomål.docx", "A 44129-2022")</f>
        <v/>
      </c>
      <c r="W245">
        <f>HYPERLINK("https://klasma.github.io/Logging_0682/klagomålsmail/A 44129-2022 FSC-klagomål mail.docx", "A 44129-2022")</f>
        <v/>
      </c>
      <c r="X245">
        <f>HYPERLINK("https://klasma.github.io/Logging_0682/tillsyn/A 44129-2022 tillsynsbegäran.docx", "A 44129-2022")</f>
        <v/>
      </c>
      <c r="Y245">
        <f>HYPERLINK("https://klasma.github.io/Logging_0682/tillsynsmail/A 44129-2022 tillsynsbegäran mail.docx", "A 44129-2022")</f>
        <v/>
      </c>
    </row>
    <row r="246" ht="15" customHeight="1">
      <c r="A246" t="inlineStr">
        <is>
          <t>A 45366-2022</t>
        </is>
      </c>
      <c r="B246" s="1" t="n">
        <v>44840</v>
      </c>
      <c r="C246" s="1" t="n">
        <v>45225</v>
      </c>
      <c r="D246" t="inlineStr">
        <is>
          <t>JÖNKÖPINGS LÄN</t>
        </is>
      </c>
      <c r="E246" t="inlineStr">
        <is>
          <t>JÖNKÖPING</t>
        </is>
      </c>
      <c r="G246" t="n">
        <v>3.2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Mörk husmossa</t>
        </is>
      </c>
      <c r="S246">
        <f>HYPERLINK("https://klasma.github.io/Logging_0680/artfynd/A 45366-2022 artfynd.xlsx", "A 45366-2022")</f>
        <v/>
      </c>
      <c r="T246">
        <f>HYPERLINK("https://klasma.github.io/Logging_0680/kartor/A 45366-2022 karta.png", "A 45366-2022")</f>
        <v/>
      </c>
      <c r="V246">
        <f>HYPERLINK("https://klasma.github.io/Logging_0680/klagomål/A 45366-2022 FSC-klagomål.docx", "A 45366-2022")</f>
        <v/>
      </c>
      <c r="W246">
        <f>HYPERLINK("https://klasma.github.io/Logging_0680/klagomålsmail/A 45366-2022 FSC-klagomål mail.docx", "A 45366-2022")</f>
        <v/>
      </c>
      <c r="X246">
        <f>HYPERLINK("https://klasma.github.io/Logging_0680/tillsyn/A 45366-2022 tillsynsbegäran.docx", "A 45366-2022")</f>
        <v/>
      </c>
      <c r="Y246">
        <f>HYPERLINK("https://klasma.github.io/Logging_0680/tillsynsmail/A 45366-2022 tillsynsbegäran mail.docx", "A 45366-2022")</f>
        <v/>
      </c>
    </row>
    <row r="247" ht="15" customHeight="1">
      <c r="A247" t="inlineStr">
        <is>
          <t>A 53298-2022</t>
        </is>
      </c>
      <c r="B247" s="1" t="n">
        <v>44877</v>
      </c>
      <c r="C247" s="1" t="n">
        <v>45225</v>
      </c>
      <c r="D247" t="inlineStr">
        <is>
          <t>JÖNKÖPINGS LÄN</t>
        </is>
      </c>
      <c r="E247" t="inlineStr">
        <is>
          <t>HABO</t>
        </is>
      </c>
      <c r="G247" t="n">
        <v>2.5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Skarp dropptaggsvamp</t>
        </is>
      </c>
      <c r="S247">
        <f>HYPERLINK("https://klasma.github.io/Logging_0643/artfynd/A 53298-2022 artfynd.xlsx", "A 53298-2022")</f>
        <v/>
      </c>
      <c r="T247">
        <f>HYPERLINK("https://klasma.github.io/Logging_0643/kartor/A 53298-2022 karta.png", "A 53298-2022")</f>
        <v/>
      </c>
      <c r="V247">
        <f>HYPERLINK("https://klasma.github.io/Logging_0643/klagomål/A 53298-2022 FSC-klagomål.docx", "A 53298-2022")</f>
        <v/>
      </c>
      <c r="W247">
        <f>HYPERLINK("https://klasma.github.io/Logging_0643/klagomålsmail/A 53298-2022 FSC-klagomål mail.docx", "A 53298-2022")</f>
        <v/>
      </c>
      <c r="X247">
        <f>HYPERLINK("https://klasma.github.io/Logging_0643/tillsyn/A 53298-2022 tillsynsbegäran.docx", "A 53298-2022")</f>
        <v/>
      </c>
      <c r="Y247">
        <f>HYPERLINK("https://klasma.github.io/Logging_0643/tillsynsmail/A 53298-2022 tillsynsbegäran mail.docx", "A 53298-2022")</f>
        <v/>
      </c>
    </row>
    <row r="248" ht="15" customHeight="1">
      <c r="A248" t="inlineStr">
        <is>
          <t>A 53601-2022</t>
        </is>
      </c>
      <c r="B248" s="1" t="n">
        <v>44879</v>
      </c>
      <c r="C248" s="1" t="n">
        <v>45225</v>
      </c>
      <c r="D248" t="inlineStr">
        <is>
          <t>JÖNKÖPINGS LÄN</t>
        </is>
      </c>
      <c r="E248" t="inlineStr">
        <is>
          <t>JÖNKÖPING</t>
        </is>
      </c>
      <c r="G248" t="n">
        <v>3.8</v>
      </c>
      <c r="H248" t="n">
        <v>1</v>
      </c>
      <c r="I248" t="n">
        <v>0</v>
      </c>
      <c r="J248" t="n">
        <v>0</v>
      </c>
      <c r="K248" t="n">
        <v>1</v>
      </c>
      <c r="L248" t="n">
        <v>0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Knärot</t>
        </is>
      </c>
      <c r="S248">
        <f>HYPERLINK("https://klasma.github.io/Logging_0680/artfynd/A 53601-2022 artfynd.xlsx", "A 53601-2022")</f>
        <v/>
      </c>
      <c r="T248">
        <f>HYPERLINK("https://klasma.github.io/Logging_0680/kartor/A 53601-2022 karta.png", "A 53601-2022")</f>
        <v/>
      </c>
      <c r="U248">
        <f>HYPERLINK("https://klasma.github.io/Logging_0680/knärot/A 53601-2022 karta knärot.png", "A 53601-2022")</f>
        <v/>
      </c>
      <c r="V248">
        <f>HYPERLINK("https://klasma.github.io/Logging_0680/klagomål/A 53601-2022 FSC-klagomål.docx", "A 53601-2022")</f>
        <v/>
      </c>
      <c r="W248">
        <f>HYPERLINK("https://klasma.github.io/Logging_0680/klagomålsmail/A 53601-2022 FSC-klagomål mail.docx", "A 53601-2022")</f>
        <v/>
      </c>
      <c r="X248">
        <f>HYPERLINK("https://klasma.github.io/Logging_0680/tillsyn/A 53601-2022 tillsynsbegäran.docx", "A 53601-2022")</f>
        <v/>
      </c>
      <c r="Y248">
        <f>HYPERLINK("https://klasma.github.io/Logging_0680/tillsynsmail/A 53601-2022 tillsynsbegäran mail.docx", "A 53601-2022")</f>
        <v/>
      </c>
    </row>
    <row r="249" ht="15" customHeight="1">
      <c r="A249" t="inlineStr">
        <is>
          <t>A 53585-2022</t>
        </is>
      </c>
      <c r="B249" s="1" t="n">
        <v>44879</v>
      </c>
      <c r="C249" s="1" t="n">
        <v>45225</v>
      </c>
      <c r="D249" t="inlineStr">
        <is>
          <t>JÖNKÖPINGS LÄN</t>
        </is>
      </c>
      <c r="E249" t="inlineStr">
        <is>
          <t>VÄRNAMO</t>
        </is>
      </c>
      <c r="G249" t="n">
        <v>0.8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Ängsstarr</t>
        </is>
      </c>
      <c r="S249">
        <f>HYPERLINK("https://klasma.github.io/Logging_0683/artfynd/A 53585-2022 artfynd.xlsx", "A 53585-2022")</f>
        <v/>
      </c>
      <c r="T249">
        <f>HYPERLINK("https://klasma.github.io/Logging_0683/kartor/A 53585-2022 karta.png", "A 53585-2022")</f>
        <v/>
      </c>
      <c r="V249">
        <f>HYPERLINK("https://klasma.github.io/Logging_0683/klagomål/A 53585-2022 FSC-klagomål.docx", "A 53585-2022")</f>
        <v/>
      </c>
      <c r="W249">
        <f>HYPERLINK("https://klasma.github.io/Logging_0683/klagomålsmail/A 53585-2022 FSC-klagomål mail.docx", "A 53585-2022")</f>
        <v/>
      </c>
      <c r="X249">
        <f>HYPERLINK("https://klasma.github.io/Logging_0683/tillsyn/A 53585-2022 tillsynsbegäran.docx", "A 53585-2022")</f>
        <v/>
      </c>
      <c r="Y249">
        <f>HYPERLINK("https://klasma.github.io/Logging_0683/tillsynsmail/A 53585-2022 tillsynsbegäran mail.docx", "A 53585-2022")</f>
        <v/>
      </c>
    </row>
    <row r="250" ht="15" customHeight="1">
      <c r="A250" t="inlineStr">
        <is>
          <t>A 53741-2022</t>
        </is>
      </c>
      <c r="B250" s="1" t="n">
        <v>44880</v>
      </c>
      <c r="C250" s="1" t="n">
        <v>45225</v>
      </c>
      <c r="D250" t="inlineStr">
        <is>
          <t>JÖNKÖPINGS LÄN</t>
        </is>
      </c>
      <c r="E250" t="inlineStr">
        <is>
          <t>VETLANDA</t>
        </is>
      </c>
      <c r="G250" t="n">
        <v>2.3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Sommarfibbla</t>
        </is>
      </c>
      <c r="S250">
        <f>HYPERLINK("https://klasma.github.io/Logging_0685/artfynd/A 53741-2022 artfynd.xlsx", "A 53741-2022")</f>
        <v/>
      </c>
      <c r="T250">
        <f>HYPERLINK("https://klasma.github.io/Logging_0685/kartor/A 53741-2022 karta.png", "A 53741-2022")</f>
        <v/>
      </c>
      <c r="V250">
        <f>HYPERLINK("https://klasma.github.io/Logging_0685/klagomål/A 53741-2022 FSC-klagomål.docx", "A 53741-2022")</f>
        <v/>
      </c>
      <c r="W250">
        <f>HYPERLINK("https://klasma.github.io/Logging_0685/klagomålsmail/A 53741-2022 FSC-klagomål mail.docx", "A 53741-2022")</f>
        <v/>
      </c>
      <c r="X250">
        <f>HYPERLINK("https://klasma.github.io/Logging_0685/tillsyn/A 53741-2022 tillsynsbegäran.docx", "A 53741-2022")</f>
        <v/>
      </c>
      <c r="Y250">
        <f>HYPERLINK("https://klasma.github.io/Logging_0685/tillsynsmail/A 53741-2022 tillsynsbegäran mail.docx", "A 53741-2022")</f>
        <v/>
      </c>
    </row>
    <row r="251" ht="15" customHeight="1">
      <c r="A251" t="inlineStr">
        <is>
          <t>A 55860-2022</t>
        </is>
      </c>
      <c r="B251" s="1" t="n">
        <v>44886</v>
      </c>
      <c r="C251" s="1" t="n">
        <v>45225</v>
      </c>
      <c r="D251" t="inlineStr">
        <is>
          <t>JÖNKÖPINGS LÄN</t>
        </is>
      </c>
      <c r="E251" t="inlineStr">
        <is>
          <t>NÄSSJÖ</t>
        </is>
      </c>
      <c r="G251" t="n">
        <v>2.6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Knärot</t>
        </is>
      </c>
      <c r="S251">
        <f>HYPERLINK("https://klasma.github.io/Logging_0682/artfynd/A 55860-2022 artfynd.xlsx", "A 55860-2022")</f>
        <v/>
      </c>
      <c r="T251">
        <f>HYPERLINK("https://klasma.github.io/Logging_0682/kartor/A 55860-2022 karta.png", "A 55860-2022")</f>
        <v/>
      </c>
      <c r="U251">
        <f>HYPERLINK("https://klasma.github.io/Logging_0682/knärot/A 55860-2022 karta knärot.png", "A 55860-2022")</f>
        <v/>
      </c>
      <c r="V251">
        <f>HYPERLINK("https://klasma.github.io/Logging_0682/klagomål/A 55860-2022 FSC-klagomål.docx", "A 55860-2022")</f>
        <v/>
      </c>
      <c r="W251">
        <f>HYPERLINK("https://klasma.github.io/Logging_0682/klagomålsmail/A 55860-2022 FSC-klagomål mail.docx", "A 55860-2022")</f>
        <v/>
      </c>
      <c r="X251">
        <f>HYPERLINK("https://klasma.github.io/Logging_0682/tillsyn/A 55860-2022 tillsynsbegäran.docx", "A 55860-2022")</f>
        <v/>
      </c>
      <c r="Y251">
        <f>HYPERLINK("https://klasma.github.io/Logging_0682/tillsynsmail/A 55860-2022 tillsynsbegäran mail.docx", "A 55860-2022")</f>
        <v/>
      </c>
    </row>
    <row r="252" ht="15" customHeight="1">
      <c r="A252" t="inlineStr">
        <is>
          <t>A 56262-2022</t>
        </is>
      </c>
      <c r="B252" s="1" t="n">
        <v>44890</v>
      </c>
      <c r="C252" s="1" t="n">
        <v>45225</v>
      </c>
      <c r="D252" t="inlineStr">
        <is>
          <t>JÖNKÖPINGS LÄN</t>
        </is>
      </c>
      <c r="E252" t="inlineStr">
        <is>
          <t>VETLANDA</t>
        </is>
      </c>
      <c r="G252" t="n">
        <v>15.9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Slåttergubbe</t>
        </is>
      </c>
      <c r="S252">
        <f>HYPERLINK("https://klasma.github.io/Logging_0685/artfynd/A 56262-2022 artfynd.xlsx", "A 56262-2022")</f>
        <v/>
      </c>
      <c r="T252">
        <f>HYPERLINK("https://klasma.github.io/Logging_0685/kartor/A 56262-2022 karta.png", "A 56262-2022")</f>
        <v/>
      </c>
      <c r="V252">
        <f>HYPERLINK("https://klasma.github.io/Logging_0685/klagomål/A 56262-2022 FSC-klagomål.docx", "A 56262-2022")</f>
        <v/>
      </c>
      <c r="W252">
        <f>HYPERLINK("https://klasma.github.io/Logging_0685/klagomålsmail/A 56262-2022 FSC-klagomål mail.docx", "A 56262-2022")</f>
        <v/>
      </c>
      <c r="X252">
        <f>HYPERLINK("https://klasma.github.io/Logging_0685/tillsyn/A 56262-2022 tillsynsbegäran.docx", "A 56262-2022")</f>
        <v/>
      </c>
      <c r="Y252">
        <f>HYPERLINK("https://klasma.github.io/Logging_0685/tillsynsmail/A 56262-2022 tillsynsbegäran mail.docx", "A 56262-2022")</f>
        <v/>
      </c>
    </row>
    <row r="253" ht="15" customHeight="1">
      <c r="A253" t="inlineStr">
        <is>
          <t>A 57181-2022</t>
        </is>
      </c>
      <c r="B253" s="1" t="n">
        <v>44895</v>
      </c>
      <c r="C253" s="1" t="n">
        <v>45225</v>
      </c>
      <c r="D253" t="inlineStr">
        <is>
          <t>JÖNKÖPINGS LÄN</t>
        </is>
      </c>
      <c r="E253" t="inlineStr">
        <is>
          <t>VÄRNAMO</t>
        </is>
      </c>
      <c r="G253" t="n">
        <v>4.9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Vätteros</t>
        </is>
      </c>
      <c r="S253">
        <f>HYPERLINK("https://klasma.github.io/Logging_0683/artfynd/A 57181-2022 artfynd.xlsx", "A 57181-2022")</f>
        <v/>
      </c>
      <c r="T253">
        <f>HYPERLINK("https://klasma.github.io/Logging_0683/kartor/A 57181-2022 karta.png", "A 57181-2022")</f>
        <v/>
      </c>
      <c r="V253">
        <f>HYPERLINK("https://klasma.github.io/Logging_0683/klagomål/A 57181-2022 FSC-klagomål.docx", "A 57181-2022")</f>
        <v/>
      </c>
      <c r="W253">
        <f>HYPERLINK("https://klasma.github.io/Logging_0683/klagomålsmail/A 57181-2022 FSC-klagomål mail.docx", "A 57181-2022")</f>
        <v/>
      </c>
      <c r="X253">
        <f>HYPERLINK("https://klasma.github.io/Logging_0683/tillsyn/A 57181-2022 tillsynsbegäran.docx", "A 57181-2022")</f>
        <v/>
      </c>
      <c r="Y253">
        <f>HYPERLINK("https://klasma.github.io/Logging_0683/tillsynsmail/A 57181-2022 tillsynsbegäran mail.docx", "A 57181-2022")</f>
        <v/>
      </c>
    </row>
    <row r="254" ht="15" customHeight="1">
      <c r="A254" t="inlineStr">
        <is>
          <t>A 59894-2022</t>
        </is>
      </c>
      <c r="B254" s="1" t="n">
        <v>44908</v>
      </c>
      <c r="C254" s="1" t="n">
        <v>45225</v>
      </c>
      <c r="D254" t="inlineStr">
        <is>
          <t>JÖNKÖPINGS LÄN</t>
        </is>
      </c>
      <c r="E254" t="inlineStr">
        <is>
          <t>VETLANDA</t>
        </is>
      </c>
      <c r="G254" t="n">
        <v>3.8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Backklöver</t>
        </is>
      </c>
      <c r="S254">
        <f>HYPERLINK("https://klasma.github.io/Logging_0685/artfynd/A 59894-2022 artfynd.xlsx", "A 59894-2022")</f>
        <v/>
      </c>
      <c r="T254">
        <f>HYPERLINK("https://klasma.github.io/Logging_0685/kartor/A 59894-2022 karta.png", "A 59894-2022")</f>
        <v/>
      </c>
      <c r="V254">
        <f>HYPERLINK("https://klasma.github.io/Logging_0685/klagomål/A 59894-2022 FSC-klagomål.docx", "A 59894-2022")</f>
        <v/>
      </c>
      <c r="W254">
        <f>HYPERLINK("https://klasma.github.io/Logging_0685/klagomålsmail/A 59894-2022 FSC-klagomål mail.docx", "A 59894-2022")</f>
        <v/>
      </c>
      <c r="X254">
        <f>HYPERLINK("https://klasma.github.io/Logging_0685/tillsyn/A 59894-2022 tillsynsbegäran.docx", "A 59894-2022")</f>
        <v/>
      </c>
      <c r="Y254">
        <f>HYPERLINK("https://klasma.github.io/Logging_0685/tillsynsmail/A 59894-2022 tillsynsbegäran mail.docx", "A 59894-2022")</f>
        <v/>
      </c>
    </row>
    <row r="255" ht="15" customHeight="1">
      <c r="A255" t="inlineStr">
        <is>
          <t>A 62297-2022</t>
        </is>
      </c>
      <c r="B255" s="1" t="n">
        <v>44923</v>
      </c>
      <c r="C255" s="1" t="n">
        <v>45225</v>
      </c>
      <c r="D255" t="inlineStr">
        <is>
          <t>JÖNKÖPINGS LÄN</t>
        </is>
      </c>
      <c r="E255" t="inlineStr">
        <is>
          <t>GISLAVED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Kattfotslav</t>
        </is>
      </c>
      <c r="S255">
        <f>HYPERLINK("https://klasma.github.io/Logging_0662/artfynd/A 62297-2022 artfynd.xlsx", "A 62297-2022")</f>
        <v/>
      </c>
      <c r="T255">
        <f>HYPERLINK("https://klasma.github.io/Logging_0662/kartor/A 62297-2022 karta.png", "A 62297-2022")</f>
        <v/>
      </c>
      <c r="V255">
        <f>HYPERLINK("https://klasma.github.io/Logging_0662/klagomål/A 62297-2022 FSC-klagomål.docx", "A 62297-2022")</f>
        <v/>
      </c>
      <c r="W255">
        <f>HYPERLINK("https://klasma.github.io/Logging_0662/klagomålsmail/A 62297-2022 FSC-klagomål mail.docx", "A 62297-2022")</f>
        <v/>
      </c>
      <c r="X255">
        <f>HYPERLINK("https://klasma.github.io/Logging_0662/tillsyn/A 62297-2022 tillsynsbegäran.docx", "A 62297-2022")</f>
        <v/>
      </c>
      <c r="Y255">
        <f>HYPERLINK("https://klasma.github.io/Logging_0662/tillsynsmail/A 62297-2022 tillsynsbegäran mail.docx", "A 62297-2022")</f>
        <v/>
      </c>
    </row>
    <row r="256" ht="15" customHeight="1">
      <c r="A256" t="inlineStr">
        <is>
          <t>A 58-2023</t>
        </is>
      </c>
      <c r="B256" s="1" t="n">
        <v>44928</v>
      </c>
      <c r="C256" s="1" t="n">
        <v>45225</v>
      </c>
      <c r="D256" t="inlineStr">
        <is>
          <t>JÖNKÖPINGS LÄN</t>
        </is>
      </c>
      <c r="E256" t="inlineStr">
        <is>
          <t>EKSJÖ</t>
        </is>
      </c>
      <c r="G256" t="n">
        <v>3.4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Gullklöver</t>
        </is>
      </c>
      <c r="S256">
        <f>HYPERLINK("https://klasma.github.io/Logging_0686/artfynd/A 58-2023 artfynd.xlsx", "A 58-2023")</f>
        <v/>
      </c>
      <c r="T256">
        <f>HYPERLINK("https://klasma.github.io/Logging_0686/kartor/A 58-2023 karta.png", "A 58-2023")</f>
        <v/>
      </c>
      <c r="V256">
        <f>HYPERLINK("https://klasma.github.io/Logging_0686/klagomål/A 58-2023 FSC-klagomål.docx", "A 58-2023")</f>
        <v/>
      </c>
      <c r="W256">
        <f>HYPERLINK("https://klasma.github.io/Logging_0686/klagomålsmail/A 58-2023 FSC-klagomål mail.docx", "A 58-2023")</f>
        <v/>
      </c>
      <c r="X256">
        <f>HYPERLINK("https://klasma.github.io/Logging_0686/tillsyn/A 58-2023 tillsynsbegäran.docx", "A 58-2023")</f>
        <v/>
      </c>
      <c r="Y256">
        <f>HYPERLINK("https://klasma.github.io/Logging_0686/tillsynsmail/A 58-2023 tillsynsbegäran mail.docx", "A 58-2023")</f>
        <v/>
      </c>
    </row>
    <row r="257" ht="15" customHeight="1">
      <c r="A257" t="inlineStr">
        <is>
          <t>A 254-2023</t>
        </is>
      </c>
      <c r="B257" s="1" t="n">
        <v>44928</v>
      </c>
      <c r="C257" s="1" t="n">
        <v>45225</v>
      </c>
      <c r="D257" t="inlineStr">
        <is>
          <t>JÖNKÖPINGS LÄN</t>
        </is>
      </c>
      <c r="E257" t="inlineStr">
        <is>
          <t>NÄSSJÖ</t>
        </is>
      </c>
      <c r="G257" t="n">
        <v>7.7</v>
      </c>
      <c r="H257" t="n">
        <v>1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Gulsparv</t>
        </is>
      </c>
      <c r="S257">
        <f>HYPERLINK("https://klasma.github.io/Logging_0682/artfynd/A 254-2023 artfynd.xlsx", "A 254-2023")</f>
        <v/>
      </c>
      <c r="T257">
        <f>HYPERLINK("https://klasma.github.io/Logging_0682/kartor/A 254-2023 karta.png", "A 254-2023")</f>
        <v/>
      </c>
      <c r="V257">
        <f>HYPERLINK("https://klasma.github.io/Logging_0682/klagomål/A 254-2023 FSC-klagomål.docx", "A 254-2023")</f>
        <v/>
      </c>
      <c r="W257">
        <f>HYPERLINK("https://klasma.github.io/Logging_0682/klagomålsmail/A 254-2023 FSC-klagomål mail.docx", "A 254-2023")</f>
        <v/>
      </c>
      <c r="X257">
        <f>HYPERLINK("https://klasma.github.io/Logging_0682/tillsyn/A 254-2023 tillsynsbegäran.docx", "A 254-2023")</f>
        <v/>
      </c>
      <c r="Y257">
        <f>HYPERLINK("https://klasma.github.io/Logging_0682/tillsynsmail/A 254-2023 tillsynsbegäran mail.docx", "A 254-2023")</f>
        <v/>
      </c>
    </row>
    <row r="258" ht="15" customHeight="1">
      <c r="A258" t="inlineStr">
        <is>
          <t>A 2486-2023</t>
        </is>
      </c>
      <c r="B258" s="1" t="n">
        <v>44943</v>
      </c>
      <c r="C258" s="1" t="n">
        <v>45225</v>
      </c>
      <c r="D258" t="inlineStr">
        <is>
          <t>JÖNKÖPINGS LÄN</t>
        </is>
      </c>
      <c r="E258" t="inlineStr">
        <is>
          <t>JÖNKÖPING</t>
        </is>
      </c>
      <c r="G258" t="n">
        <v>2.5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Solvända</t>
        </is>
      </c>
      <c r="S258">
        <f>HYPERLINK("https://klasma.github.io/Logging_0680/artfynd/A 2486-2023 artfynd.xlsx", "A 2486-2023")</f>
        <v/>
      </c>
      <c r="T258">
        <f>HYPERLINK("https://klasma.github.io/Logging_0680/kartor/A 2486-2023 karta.png", "A 2486-2023")</f>
        <v/>
      </c>
      <c r="V258">
        <f>HYPERLINK("https://klasma.github.io/Logging_0680/klagomål/A 2486-2023 FSC-klagomål.docx", "A 2486-2023")</f>
        <v/>
      </c>
      <c r="W258">
        <f>HYPERLINK("https://klasma.github.io/Logging_0680/klagomålsmail/A 2486-2023 FSC-klagomål mail.docx", "A 2486-2023")</f>
        <v/>
      </c>
      <c r="X258">
        <f>HYPERLINK("https://klasma.github.io/Logging_0680/tillsyn/A 2486-2023 tillsynsbegäran.docx", "A 2486-2023")</f>
        <v/>
      </c>
      <c r="Y258">
        <f>HYPERLINK("https://klasma.github.io/Logging_0680/tillsynsmail/A 2486-2023 tillsynsbegäran mail.docx", "A 2486-2023")</f>
        <v/>
      </c>
    </row>
    <row r="259" ht="15" customHeight="1">
      <c r="A259" t="inlineStr">
        <is>
          <t>A 5369-2023</t>
        </is>
      </c>
      <c r="B259" s="1" t="n">
        <v>44959</v>
      </c>
      <c r="C259" s="1" t="n">
        <v>45225</v>
      </c>
      <c r="D259" t="inlineStr">
        <is>
          <t>JÖNKÖPINGS LÄN</t>
        </is>
      </c>
      <c r="E259" t="inlineStr">
        <is>
          <t>VETLANDA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1</v>
      </c>
      <c r="L259" t="n">
        <v>0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Trollsmultron</t>
        </is>
      </c>
      <c r="S259">
        <f>HYPERLINK("https://klasma.github.io/Logging_0685/artfynd/A 5369-2023 artfynd.xlsx", "A 5369-2023")</f>
        <v/>
      </c>
      <c r="T259">
        <f>HYPERLINK("https://klasma.github.io/Logging_0685/kartor/A 5369-2023 karta.png", "A 5369-2023")</f>
        <v/>
      </c>
      <c r="V259">
        <f>HYPERLINK("https://klasma.github.io/Logging_0685/klagomål/A 5369-2023 FSC-klagomål.docx", "A 5369-2023")</f>
        <v/>
      </c>
      <c r="W259">
        <f>HYPERLINK("https://klasma.github.io/Logging_0685/klagomålsmail/A 5369-2023 FSC-klagomål mail.docx", "A 5369-2023")</f>
        <v/>
      </c>
      <c r="X259">
        <f>HYPERLINK("https://klasma.github.io/Logging_0685/tillsyn/A 5369-2023 tillsynsbegäran.docx", "A 5369-2023")</f>
        <v/>
      </c>
      <c r="Y259">
        <f>HYPERLINK("https://klasma.github.io/Logging_0685/tillsynsmail/A 5369-2023 tillsynsbegäran mail.docx", "A 5369-2023")</f>
        <v/>
      </c>
    </row>
    <row r="260" ht="15" customHeight="1">
      <c r="A260" t="inlineStr">
        <is>
          <t>A 5906-2023</t>
        </is>
      </c>
      <c r="B260" s="1" t="n">
        <v>44963</v>
      </c>
      <c r="C260" s="1" t="n">
        <v>45225</v>
      </c>
      <c r="D260" t="inlineStr">
        <is>
          <t>JÖNKÖPINGS LÄN</t>
        </is>
      </c>
      <c r="E260" t="inlineStr">
        <is>
          <t>JÖNKÖPING</t>
        </is>
      </c>
      <c r="G260" t="n">
        <v>7.7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Storgröe</t>
        </is>
      </c>
      <c r="S260">
        <f>HYPERLINK("https://klasma.github.io/Logging_0680/artfynd/A 5906-2023 artfynd.xlsx", "A 5906-2023")</f>
        <v/>
      </c>
      <c r="T260">
        <f>HYPERLINK("https://klasma.github.io/Logging_0680/kartor/A 5906-2023 karta.png", "A 5906-2023")</f>
        <v/>
      </c>
      <c r="V260">
        <f>HYPERLINK("https://klasma.github.io/Logging_0680/klagomål/A 5906-2023 FSC-klagomål.docx", "A 5906-2023")</f>
        <v/>
      </c>
      <c r="W260">
        <f>HYPERLINK("https://klasma.github.io/Logging_0680/klagomålsmail/A 5906-2023 FSC-klagomål mail.docx", "A 5906-2023")</f>
        <v/>
      </c>
      <c r="X260">
        <f>HYPERLINK("https://klasma.github.io/Logging_0680/tillsyn/A 5906-2023 tillsynsbegäran.docx", "A 5906-2023")</f>
        <v/>
      </c>
      <c r="Y260">
        <f>HYPERLINK("https://klasma.github.io/Logging_0680/tillsynsmail/A 5906-2023 tillsynsbegäran mail.docx", "A 5906-2023")</f>
        <v/>
      </c>
    </row>
    <row r="261" ht="15" customHeight="1">
      <c r="A261" t="inlineStr">
        <is>
          <t>A 6359-2023</t>
        </is>
      </c>
      <c r="B261" s="1" t="n">
        <v>44965</v>
      </c>
      <c r="C261" s="1" t="n">
        <v>45225</v>
      </c>
      <c r="D261" t="inlineStr">
        <is>
          <t>JÖNKÖPINGS LÄN</t>
        </is>
      </c>
      <c r="E261" t="inlineStr">
        <is>
          <t>GISLAVED</t>
        </is>
      </c>
      <c r="F261" t="inlineStr">
        <is>
          <t>Kommuner</t>
        </is>
      </c>
      <c r="G261" t="n">
        <v>2.4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Safsa</t>
        </is>
      </c>
      <c r="S261">
        <f>HYPERLINK("https://klasma.github.io/Logging_0662/artfynd/A 6359-2023 artfynd.xlsx", "A 6359-2023")</f>
        <v/>
      </c>
      <c r="T261">
        <f>HYPERLINK("https://klasma.github.io/Logging_0662/kartor/A 6359-2023 karta.png", "A 6359-2023")</f>
        <v/>
      </c>
      <c r="V261">
        <f>HYPERLINK("https://klasma.github.io/Logging_0662/klagomål/A 6359-2023 FSC-klagomål.docx", "A 6359-2023")</f>
        <v/>
      </c>
      <c r="W261">
        <f>HYPERLINK("https://klasma.github.io/Logging_0662/klagomålsmail/A 6359-2023 FSC-klagomål mail.docx", "A 6359-2023")</f>
        <v/>
      </c>
      <c r="X261">
        <f>HYPERLINK("https://klasma.github.io/Logging_0662/tillsyn/A 6359-2023 tillsynsbegäran.docx", "A 6359-2023")</f>
        <v/>
      </c>
      <c r="Y261">
        <f>HYPERLINK("https://klasma.github.io/Logging_0662/tillsynsmail/A 6359-2023 tillsynsbegäran mail.docx", "A 6359-2023")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45225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45225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45225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45225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45225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45225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45225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45225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45225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45225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45225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45225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45225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45225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45225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45225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45225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45225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45225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45225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45225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45225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45225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45225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45225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45225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45225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45225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45225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45225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45225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45225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45225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45225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45225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45225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45225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45225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45225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45225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45225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45225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45225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45225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45225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45225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45225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45225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45225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45225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45225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45225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45225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45225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45225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45225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45225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45225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45225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45225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45225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45225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45225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45225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45225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45225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45225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45225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45225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45225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45225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45225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45225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45225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45225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45225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45225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45225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45225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45225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45225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45225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45225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45225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45225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45225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45225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45225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45225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45225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45225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45225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45225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45225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45225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45225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45225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45225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45225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45225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45225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45225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45225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45225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45225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45225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45225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45225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45225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45225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45225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45225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45225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45225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45225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45225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45225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45225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45225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45225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45225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45225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45225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45225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45225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45225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45225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45225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45225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45225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45225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45225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45225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45225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45225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45225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45225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45225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45225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45225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45225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45225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45225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45225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45225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45225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45225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45225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45225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45225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45225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45225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45225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45225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45225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45225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45225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45225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45225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45225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45225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45225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45225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45225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45225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45225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45225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45225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45225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45225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45225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45225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45225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45225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45225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45225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45225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45225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45225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45225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45225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45225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45225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45225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45225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45225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45225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45225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45225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45225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45225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45225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45225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45225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45225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45225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45225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45225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45225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45225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45225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45225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45225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45225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45225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45225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45225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45225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45225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45225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45225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45225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45225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45225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45225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45225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45225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45225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45225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45225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45225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45225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45225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45225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45225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45225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45225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45225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45225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45225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45225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45225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45225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45225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45225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45225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45225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45225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45225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45225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45225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45225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45225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45225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45225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45225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45225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45225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45225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45225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45225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45225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45225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45225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45225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45225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45225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45225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45225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45225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45225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45225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45225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45225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45225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45225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45225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45225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45225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45225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45225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45225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45225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45225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45225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45225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45225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45225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45225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45225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45225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45225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45225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45225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45225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45225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45225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45225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45225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45225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45225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45225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45225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45225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45225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45225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45225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45225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45225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45225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45225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45225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45225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45225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45225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45225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45225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45225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45225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45225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45225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45225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45225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45225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45225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45225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45225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45225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45225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45225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45225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45225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45225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45225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45225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45225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45225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45225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45225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45225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45225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45225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45225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45225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45225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45225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45225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45225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45225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45225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45225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45225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45225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45225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45225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45225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45225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45225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45225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45225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45225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45225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45225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45225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45225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45225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45225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45225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45225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45225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45225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45225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45225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45225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45225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45225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45225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45225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45225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45225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45225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45225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45225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45225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45225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45225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45225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45225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45225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45225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45225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45225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45225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45225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45225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45225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45225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45225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45225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45225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45225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45225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45225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45225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45225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45225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45225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45225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45225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45225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45225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45225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45225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45225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45225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45225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45225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45225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45225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45225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45225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45225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45225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45225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45225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45225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45225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45225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45225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45225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45225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45225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45225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45225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45225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45225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45225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45225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45225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45225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45225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45225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45225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45225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45225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45225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45225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45225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45225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45225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45225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45225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45225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45225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45225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45225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45225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45225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45225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45225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45225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45225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45225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45225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45225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45225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45225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45225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45225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45225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45225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45225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45225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45225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45225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45225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45225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45225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45225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45225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45225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45225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45225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45225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45225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45225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45225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45225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45225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45225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45225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45225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45225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45225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45225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45225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45225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45225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45225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45225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45225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45225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45225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45225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45225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45225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45225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45225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45225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45225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45225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45225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45225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45225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45225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45225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45225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45225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45225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45225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45225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45225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45225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45225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45225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45225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45225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45225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45225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45225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45225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45225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45225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45225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45225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45225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45225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45225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45225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45225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45225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45225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45225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45225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45225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45225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45225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45225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45225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45225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45225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45225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45225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45225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45225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45225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45225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45225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45225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45225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45225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45225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45225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45225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45225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45225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45225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45225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45225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45225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45225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45225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45225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45225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45225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45225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45225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45225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45225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45225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45225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45225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45225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45225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45225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45225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45225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45225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45225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45225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45225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45225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45225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45225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45225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45225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45225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45225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45225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45225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45225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45225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45225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45225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45225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45225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45225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45225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45225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45225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45225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45225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45225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45225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45225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45225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45225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45225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45225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45225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45225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45225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45225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45225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45225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45225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45225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45225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45225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45225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45225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45225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45225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45225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45225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45225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45225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45225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45225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45225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45225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45225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45225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45225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45225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45225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45225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45225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45225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45225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45225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45225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45225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45225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45225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45225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45225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45225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45225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45225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45225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45225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45225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45225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45225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45225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45225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45225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45225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45225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45225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45225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45225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45225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45225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45225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45225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45225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45225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45225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45225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45225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45225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45225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45225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45225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45225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45225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45225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45225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45225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45225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45225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45225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45225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45225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45225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45225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45225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45225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45225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45225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45225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45225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45225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45225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45225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45225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45225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45225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45225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45225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45225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45225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45225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45225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45225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45225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45225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45225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45225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45225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45225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45225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45225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45225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45225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45225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45225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45225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45225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45225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45225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45225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45225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45225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45225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45225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45225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45225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45225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45225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45225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45225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45225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45225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45225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45225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45225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45225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45225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45225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45225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45225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45225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45225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45225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45225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45225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45225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45225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45225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45225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45225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45225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45225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45225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45225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45225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45225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45225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45225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45225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45225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45225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45225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45225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45225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45225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45225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45225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45225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45225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45225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45225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45225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45225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45225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45225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45225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45225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45225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45225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45225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45225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45225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45225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45225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45225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45225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45225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45225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45225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45225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45225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45225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45225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45225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45225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45225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45225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45225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45225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45225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45225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45225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45225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45225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45225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45225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45225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45225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45225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45225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45225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45225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45225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45225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45225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45225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45225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45225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45225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45225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45225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45225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45225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45225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45225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45225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45225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45225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45225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45225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45225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45225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45225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45225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45225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45225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45225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45225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45225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45225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45225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45225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45225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45225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45225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45225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45225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45225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45225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45225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45225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45225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45225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45225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45225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45225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45225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45225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45225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45225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45225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45225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45225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45225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45225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45225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45225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45225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45225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45225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45225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45225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45225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45225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45225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45225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45225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45225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45225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45225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45225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45225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45225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45225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45225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45225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45225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45225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45225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45225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45225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45225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45225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45225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45225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45225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45225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45225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45225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45225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45225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45225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45225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45225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45225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45225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45225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45225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45225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45225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45225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45225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45225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45225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45225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45225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45225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45225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45225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45225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45225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45225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45225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45225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45225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45225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45225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45225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45225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45225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45225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45225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45225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45225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45225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45225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45225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45225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45225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45225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45225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45225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45225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45225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45225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45225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45225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45225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45225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45225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45225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45225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45225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45225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45225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45225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45225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45225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45225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45225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45225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45225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45225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45225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45225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45225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45225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45225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45225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45225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45225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45225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45225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45225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45225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45225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45225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45225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45225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45225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45225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45225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45225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45225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45225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45225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45225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45225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45225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45225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45225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45225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45225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45225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45225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45225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45225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45225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45225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45225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45225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45225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45225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45225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45225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45225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45225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45225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45225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45225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45225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45225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45225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45225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45225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45225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45225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45225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45225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45225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45225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45225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45225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45225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45225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45225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45225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45225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45225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45225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45225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45225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45225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45225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45225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45225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45225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45225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45225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45225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45225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45225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45225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45225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45225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45225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45225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45225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45225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45225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45225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45225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45225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45225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45225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45225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45225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45225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45225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45225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45225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45225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45225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45225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45225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45225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45225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45225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45225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45225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45225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45225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45225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45225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45225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45225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45225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45225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45225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45225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45225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45225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45225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45225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45225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45225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45225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45225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45225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45225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45225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45225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45225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45225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45225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45225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45225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45225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45225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45225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45225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45225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45225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45225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45225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45225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45225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45225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45225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45225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45225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45225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45225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45225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45225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45225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45225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45225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45225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45225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45225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45225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45225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45225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45225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45225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45225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45225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45225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45225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45225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45225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45225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45225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45225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45225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45225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45225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45225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45225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45225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45225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45225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45225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45225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45225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45225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45225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45225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45225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45225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45225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45225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45225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45225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45225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45225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45225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45225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45225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45225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45225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45225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45225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45225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45225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45225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45225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45225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45225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45225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45225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45225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45225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45225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45225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45225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45225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45225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45225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45225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45225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45225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45225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45225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45225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45225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45225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45225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45225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45225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45225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45225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45225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45225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45225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45225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45225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45225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45225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45225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45225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45225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45225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45225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45225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45225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45225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45225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45225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45225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45225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45225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45225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45225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45225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45225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45225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45225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45225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45225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45225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45225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45225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45225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45225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45225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45225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45225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45225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45225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45225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45225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45225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45225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45225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45225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45225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45225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45225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45225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45225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45225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45225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45225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45225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45225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45225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45225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45225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45225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45225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45225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45225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45225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45225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45225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45225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45225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45225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45225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45225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45225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45225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45225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45225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45225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45225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45225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45225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45225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45225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45225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45225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45225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45225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45225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45225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45225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45225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45225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45225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45225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45225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45225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45225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45225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45225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45225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45225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45225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45225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45225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45225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45225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45225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45225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45225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45225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45225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45225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45225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45225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45225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45225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45225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45225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45225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45225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45225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45225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45225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45225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45225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45225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45225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45225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45225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45225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45225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45225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45225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45225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45225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45225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45225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45225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45225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45225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45225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45225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45225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45225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45225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45225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45225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45225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45225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45225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45225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45225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45225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45225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45225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45225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45225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45225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45225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45225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45225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45225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45225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45225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45225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45225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45225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45225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45225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45225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45225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45225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45225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45225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45225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45225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45225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45225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45225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45225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45225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45225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45225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45225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45225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45225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45225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45225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45225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45225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45225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45225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45225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45225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45225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45225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45225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45225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45225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45225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45225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45225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45225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45225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45225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45225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45225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45225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45225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45225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45225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45225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45225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45225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45225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45225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45225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45225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45225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45225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45225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45225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45225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45225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45225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45225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45225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45225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45225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45225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45225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45225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45225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45225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45225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45225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45225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45225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45225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45225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45225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45225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45225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45225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45225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45225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45225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45225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45225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45225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45225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45225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45225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45225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45225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45225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45225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45225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45225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45225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45225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45225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45225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45225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45225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45225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45225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45225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45225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45225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45225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45225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45225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45225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45225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45225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45225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45225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45225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45225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45225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45225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45225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45225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45225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45225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45225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45225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45225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45225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45225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45225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45225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45225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45225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45225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45225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45225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45225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45225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45225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45225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45225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45225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45225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45225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45225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45225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45225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45225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45225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45225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45225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45225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45225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45225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45225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45225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45225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45225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45225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45225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45225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45225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45225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45225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45225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45225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45225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45225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45225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45225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45225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45225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45225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45225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45225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45225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45225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45225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45225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45225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45225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45225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45225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45225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45225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45225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45225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45225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45225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45225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45225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45225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45225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45225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45225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45225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45225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45225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45225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45225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45225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45225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45225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45225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45225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45225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45225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45225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45225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45225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45225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45225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45225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45225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45225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45225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45225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45225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45225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45225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45225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45225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45225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45225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45225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45225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45225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45225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45225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45225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45225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45225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45225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45225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45225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45225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45225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45225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45225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45225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45225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45225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45225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45225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45225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45225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45225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45225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45225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45225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45225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45225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45225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45225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45225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45225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45225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45225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45225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45225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45225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45225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45225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45225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45225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45225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45225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45225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45225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45225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45225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45225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45225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45225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45225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45225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45225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45225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45225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45225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45225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45225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45225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45225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45225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45225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45225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45225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45225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45225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45225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45225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45225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45225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45225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45225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45225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45225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45225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45225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45225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45225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45225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45225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45225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45225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45225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45225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45225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45225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45225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45225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45225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45225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45225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45225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45225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45225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45225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45225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45225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45225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45225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45225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45225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45225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45225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45225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45225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45225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45225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45225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45225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45225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45225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45225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45225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45225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45225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45225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45225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45225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45225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45225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45225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45225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45225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45225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45225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45225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45225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45225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45225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45225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45225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45225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45225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45225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45225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45225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45225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45225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45225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45225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45225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45225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45225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45225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45225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45225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45225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45225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45225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45225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45225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45225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45225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45225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45225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45225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45225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45225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45225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45225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45225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45225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45225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45225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45225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45225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45225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45225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45225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45225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45225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45225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45225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45225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45225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45225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45225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45225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45225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45225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45225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45225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45225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45225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45225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45225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45225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45225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45225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45225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45225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45225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45225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45225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45225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45225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45225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45225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45225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45225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45225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45225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45225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45225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45225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45225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45225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45225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45225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45225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45225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45225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45225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45225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45225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45225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45225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45225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45225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45225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45225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45225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45225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45225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45225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45225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45225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45225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45225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45225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45225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45225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45225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45225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45225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45225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45225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45225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45225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45225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45225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45225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45225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45225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45225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45225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45225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45225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45225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45225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45225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45225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45225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45225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45225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45225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45225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45225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45225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45225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45225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45225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45225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45225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45225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45225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45225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45225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45225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45225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45225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45225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45225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45225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45225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45225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45225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45225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45225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45225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45225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45225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45225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45225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45225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45225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45225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45225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45225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45225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45225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45225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45225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45225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45225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45225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45225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45225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45225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45225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45225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45225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45225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45225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45225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45225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45225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45225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45225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45225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45225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45225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45225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45225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45225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45225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45225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45225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45225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45225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45225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45225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45225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45225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45225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45225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45225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45225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45225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45225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45225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45225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45225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45225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45225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45225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45225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45225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45225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45225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45225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45225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45225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45225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45225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45225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45225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45225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45225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45225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45225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45225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45225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45225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45225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45225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45225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45225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45225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45225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45225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45225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45225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45225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45225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45225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45225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45225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45225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45225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45225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45225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45225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45225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45225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45225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45225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45225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45225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45225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45225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45225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45225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45225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45225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45225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45225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45225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45225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45225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45225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45225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45225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45225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45225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45225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45225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45225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45225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45225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45225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45225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45225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45225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45225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45225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45225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45225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45225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45225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45225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45225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45225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45225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45225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45225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45225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45225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45225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45225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45225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45225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45225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45225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45225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45225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45225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45225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45225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45225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45225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45225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45225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45225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45225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45225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45225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45225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45225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45225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45225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45225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45225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45225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45225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45225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45225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45225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45225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45225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45225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45225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45225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45225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45225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45225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45225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45225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45225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45225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45225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45225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45225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45225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45225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45225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45225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45225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45225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45225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45225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45225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45225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45225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45225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45225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45225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45225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45225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45225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45225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45225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45225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45225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45225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45225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45225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45225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45225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45225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45225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45225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45225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45225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45225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45225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45225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45225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45225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45225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45225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45225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45225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45225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45225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45225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45225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45225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45225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45225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45225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45225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45225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45225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45225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45225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45225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45225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45225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45225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45225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45225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45225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45225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45225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45225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45225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45225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45225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45225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45225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45225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45225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45225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45225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45225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45225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45225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45225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45225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45225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45225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45225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45225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45225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45225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45225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45225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45225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45225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45225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45225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45225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45225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45225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45225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45225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45225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45225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45225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45225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45225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45225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45225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45225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45225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45225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45225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45225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45225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45225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45225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45225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45225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45225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45225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45225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45225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45225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45225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45225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45225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45225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45225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45225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45225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45225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45225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45225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45225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45225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45225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45225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45225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45225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45225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45225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45225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45225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45225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45225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45225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45225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45225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45225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45225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45225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45225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45225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45225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45225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45225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45225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45225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45225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45225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45225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45225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45225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45225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45225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45225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45225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45225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45225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45225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45225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45225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45225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45225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45225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45225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45225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45225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45225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45225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45225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45225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45225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45225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45225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45225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45225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45225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45225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45225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45225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45225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45225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45225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45225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45225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45225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45225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45225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45225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45225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45225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45225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45225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45225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45225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45225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45225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45225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45225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45225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45225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45225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45225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45225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45225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45225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45225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45225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45225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45225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45225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45225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45225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45225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45225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45225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45225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45225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45225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45225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45225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45225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45225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45225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45225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45225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45225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45225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45225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45225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45225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45225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45225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45225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45225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45225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45225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45225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45225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45225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45225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45225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45225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45225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45225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45225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45225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45225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45225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45225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45225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45225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45225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45225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45225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45225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45225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45225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45225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45225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45225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45225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45225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45225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45225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45225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45225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45225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45225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45225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45225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45225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45225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45225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45225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45225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45225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45225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45225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45225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45225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45225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45225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45225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45225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45225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45225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45225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45225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45225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45225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45225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45225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45225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45225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45225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45225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45225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45225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45225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45225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45225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45225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45225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45225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45225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45225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45225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45225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45225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45225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45225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45225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45225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45225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45225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45225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45225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45225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45225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45225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45225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45225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45225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45225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45225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45225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45225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45225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45225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45225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45225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45225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45225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45225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45225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45225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45225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45225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45225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45225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45225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45225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45225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45225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45225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45225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45225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45225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45225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45225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45225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45225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45225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45225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45225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45225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45225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45225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45225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45225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45225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45225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45225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45225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45225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45225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45225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45225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45225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45225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45225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45225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45225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45225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45225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45225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45225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45225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45225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45225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45225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45225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45225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45225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45225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45225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45225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45225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45225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45225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45225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45225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45225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45225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45225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45225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45225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45225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45225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45225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45225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45225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45225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45225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45225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45225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45225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45225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45225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45225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45225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45225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45225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45225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45225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45225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45225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45225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45225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45225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45225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45225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45225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45225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45225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45225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45225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45225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45225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45225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45225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45225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45225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45225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45225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45225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45225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45225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45225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45225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45225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45225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45225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45225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45225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45225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45225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45225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45225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45225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45225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45225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45225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45225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45225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45225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45225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45225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45225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45225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45225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45225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45225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45225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45225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45225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45225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45225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45225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45225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45225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45225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45225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45225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45225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45225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45225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45225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45225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45225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45225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45225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45225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45225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45225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45225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45225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45225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45225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45225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45225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45225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45225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45225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45225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45225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45225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45225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45225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45225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45225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45225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45225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45225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45225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45225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45225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45225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45225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45225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45225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45225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45225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45225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45225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45225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45225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45225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45225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45225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45225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45225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45225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45225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45225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45225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45225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45225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45225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45225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45225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45225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45225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45225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45225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45225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45225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45225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45225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45225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45225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45225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45225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45225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45225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45225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45225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45225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45225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45225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45225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45225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45225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45225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45225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45225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45225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45225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45225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45225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45225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45225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45225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45225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45225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45225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45225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45225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45225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45225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45225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45225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45225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45225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45225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45225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45225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45225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45225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45225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45225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45225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45225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45225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45225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45225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45225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45225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45225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45225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45225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45225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45225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45225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45225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45225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45225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45225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45225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45225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45225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45225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45225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45225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45225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45225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45225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45225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45225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45225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45225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45225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45225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45225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45225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45225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45225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45225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45225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45225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45225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45225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45225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45225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45225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45225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45225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45225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45225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45225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45225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45225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45225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45225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45225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45225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45225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45225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45225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45225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45225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45225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45225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45225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45225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45225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45225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45225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45225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45225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45225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45225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45225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45225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45225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45225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45225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45225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45225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45225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45225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45225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45225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45225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45225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45225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45225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45225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45225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45225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45225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45225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45225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45225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45225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45225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45225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45225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45225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45225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45225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45225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45225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45225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45225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45225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45225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45225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45225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45225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45225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45225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45225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45225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45225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45225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45225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45225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45225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45225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45225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45225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45225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45225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45225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45225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45225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45225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45225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45225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45225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45225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45225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45225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45225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45225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45225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45225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45225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45225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45225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45225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45225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45225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45225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45225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45225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45225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45225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45225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45225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45225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45225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45225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45225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45225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45225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45225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45225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45225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45225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45225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45225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45225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45225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45225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45225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45225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45225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45225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45225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45225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45225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45225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45225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45225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45225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45225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45225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45225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45225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45225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45225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45225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45225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45225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45225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45225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45225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45225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45225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45225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45225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45225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45225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45225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45225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45225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45225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45225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45225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45225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45225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45225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45225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45225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45225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45225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45225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45225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45225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45225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45225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45225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45225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45225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45225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45225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45225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45225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45225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45225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45225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45225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45225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45225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45225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45225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45225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45225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45225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45225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45225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45225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45225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45225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45225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45225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45225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45225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45225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45225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45225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45225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45225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45225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45225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45225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45225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45225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45225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45225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45225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45225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45225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45225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45225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45225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45225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45225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45225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45225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45225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45225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45225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45225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45225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45225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45225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45225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45225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45225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45225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45225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45225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45225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45225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45225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45225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45225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45225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45225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45225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45225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45225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45225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45225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45225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45225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45225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45225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45225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45225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45225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45225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45225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45225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45225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45225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45225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45225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45225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45225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45225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45225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45225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45225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45225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45225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45225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45225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45225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45225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45225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45225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45225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45225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45225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45225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45225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45225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45225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45225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45225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45225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45225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45225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45225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45225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45225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45225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45225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45225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45225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45225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45225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45225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45225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45225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45225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45225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45225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45225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45225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45225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45225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45225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45225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45225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45225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45225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45225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45225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45225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45225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45225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45225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45225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45225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45225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45225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45225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45225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45225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45225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45225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45225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45225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45225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45225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45225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45225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45225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45225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45225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45225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45225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45225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45225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45225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45225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45225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45225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45225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45225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45225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45225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45225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45225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45225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45225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45225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45225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45225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45225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45225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45225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45225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45225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45225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45225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45225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45225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45225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45225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45225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45225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45225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45225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45225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45225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45225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45225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45225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45225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45225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45225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45225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45225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45225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45225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45225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45225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45225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45225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45225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45225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45225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45225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45225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45225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45225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45225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45225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45225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45225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45225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45225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45225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45225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45225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45225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45225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45225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45225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45225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45225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45225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45225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45225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45225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45225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45225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45225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45225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45225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45225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45225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45225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45225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45225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45225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45225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45225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45225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45225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45225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45225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45225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45225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45225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45225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45225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45225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45225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45225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45225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45225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45225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45225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45225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45225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45225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45225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45225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45225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45225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45225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45225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45225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45225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45225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45225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45225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45225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45225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45225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45225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45225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45225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45225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45225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45225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45225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45225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45225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45225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45225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45225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45225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45225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45225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45225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45225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45225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45225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45225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45225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45225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45225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45225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45225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45225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45225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45225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45225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45225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45225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45225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45225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45225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45225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45225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45225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45225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45225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45225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45225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45225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45225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45225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45225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45225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45225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45225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45225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45225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45225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45225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45225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45225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45225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45225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45225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45225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45225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45225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45225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45225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45225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45225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45225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45225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45225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45225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45225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45225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45225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45225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45225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45225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45225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45225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45225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45225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45225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45225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45225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45225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45225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45225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45225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45225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45225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45225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45225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45225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45225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45225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45225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45225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45225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45225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45225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45225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45225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45225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45225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45225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45225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45225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45225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45225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45225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45225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45225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45225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45225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45225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45225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45225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45225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45225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45225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45225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45225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45225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45225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45225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45225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45225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45225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45225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45225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45225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45225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45225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45225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45225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45225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45225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45225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45225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45225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45225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45225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45225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45225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45225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45225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45225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45225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45225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45225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45225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45225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45225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45225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45225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45225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45225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45225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45225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45225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45225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45225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45225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45225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45225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45225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45225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45225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45225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45225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45225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45225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45225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45225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45225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45225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45225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45225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45225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45225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45225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45225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45225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45225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45225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45225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45225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45225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45225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45225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45225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45225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45225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45225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45225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45225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45225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45225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45225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45225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45225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45225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45225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45225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45225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45225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45225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45225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45225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45225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45225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45225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45225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45225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45225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45225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45225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45225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45225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45225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45225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45225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45225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45225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45225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45225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45225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45225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45225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45225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45225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45225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45225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45225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45225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45225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45225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45225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45225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45225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45225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45225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45225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45225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45225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45225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45225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45225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45225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45225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45225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45225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45225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45225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45225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45225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45225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45225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45225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45225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45225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45225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45225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45225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45225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45225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45225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45225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45225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45225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45225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45225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45225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45225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45225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45225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45225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45225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45225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45225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45225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45225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45225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45225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45225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45225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45225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45225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45225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45225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45225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45225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45225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45225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45225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45225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45225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45225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45225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45225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45225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45225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45225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45225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45225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45225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45225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45225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45225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45225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45225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45225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45225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45225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45225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45225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45225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45225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45225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45225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45225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45225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45225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45225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45225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45225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45225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45225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45225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45225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45225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45225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45225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45225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45225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45225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45225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45225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45225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45225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45225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45225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45225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45225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45225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45225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45225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45225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45225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45225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45225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45225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45225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45225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45225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45225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45225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45225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45225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45225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45225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45225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45225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45225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45225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45225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45225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45225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45225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45225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45225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45225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45225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45225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45225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45225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45225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45225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45225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45225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45225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45225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45225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45225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45225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45225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45225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45225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45225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45225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45225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45225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45225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45225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45225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45225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45225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45225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45225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45225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45225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45225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45225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45225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45225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45225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45225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45225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45225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45225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45225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45225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45225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45225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45225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45225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45225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45225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45225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45225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45225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45225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45225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45225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45225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45225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45225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45225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45225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45225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45225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45225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45225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45225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45225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45225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45225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45225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45225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45225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45225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45225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45225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45225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45225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45225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45225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45225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45225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45225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45225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45225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45225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45225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45225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45225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45225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45225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45225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45225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45225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45225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45225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45225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45225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45225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45225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45225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45225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45225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45225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45225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45225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45225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45225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45225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45225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45225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45225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45225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45225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45225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45225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45225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45225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45225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45225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45225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45225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45225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45225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45225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45225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45225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45225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45225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45225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45225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45225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45225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45225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45225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45225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45225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45225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45225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45225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45225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45225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45225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45225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45225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45225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45225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45225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45225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45225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45225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45225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45225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45225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45225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45225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45225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45225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45225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45225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45225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45225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45225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45225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45225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45225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45225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45225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45225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45225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45225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45225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45225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45225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45225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45225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45225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45225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45225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45225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45225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45225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45225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45225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45225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45225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45225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45225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45225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45225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45225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45225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45225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45225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45225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45225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45225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45225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45225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45225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45225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45225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45225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45225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45225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45225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45225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45225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45225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45225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45225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45225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45225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45225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45225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45225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45225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45225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45225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45225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45225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45225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45225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45225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45225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45225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45225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45225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45225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45225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45225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45225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45225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45225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45225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45225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45225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45225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45225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45225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45225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45225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45225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45225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45225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45225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45225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45225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45225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45225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45225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45225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45225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45225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45225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45225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45225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45225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45225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45225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45225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45225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45225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45225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45225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45225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45225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45225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45225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45225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45225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45225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45225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45225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45225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45225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45225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45225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45225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45225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45225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45225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45225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45225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45225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45225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45225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45225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45225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45225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45225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45225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45225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45225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45225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45225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45225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45225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45225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45225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45225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45225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45225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45225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45225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45225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45225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45225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45225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45225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45225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45225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45225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45225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45225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45225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45225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45225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45225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45225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45225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45225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45225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45225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45225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45225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45225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45225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45225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45225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45225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45225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45225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45225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45225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45225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45225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45225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45225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45225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45225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45225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45225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45225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45225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45225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45225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45225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45225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45225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45225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45225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45225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45225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45225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45225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45225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45225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45225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45225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45225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45225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45225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45225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45225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45225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45225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45225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45225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45225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45225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45225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45225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45225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45225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45225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45225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45225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45225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45225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45225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45225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45225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45225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45225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45225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45225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45225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45225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45225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45225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45225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45225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45225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45225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45225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45225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45225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45225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45225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45225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45225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45225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45225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45225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45225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45225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45225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45225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45225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45225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45225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45225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45225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45225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45225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45225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45225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45225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45225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45225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45225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45225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45225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45225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45225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45225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45225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45225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45225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45225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45225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45225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45225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45225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45225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45225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45225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45225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45225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45225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45225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45225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45225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45225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45225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45225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45225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45225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45225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45225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45225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45225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45225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45225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45225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45225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45225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45225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45225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45225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45225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45225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45225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45225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45225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45225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45225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45225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45225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45225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45225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45225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45225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45225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45225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45225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45225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45225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45225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45225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45225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45225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45225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45225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45225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45225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45225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45225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45225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45225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45225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45225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45225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45225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45225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45225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45225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45225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45225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45225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45225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45225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45225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45225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45225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45225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45225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45225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45225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45225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45225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45225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45225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45225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45225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45225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45225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45225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45225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45225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45225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45225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45225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45225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45225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45225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45225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45225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45225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45225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45225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45225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45225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45225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45225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45225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45225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45225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45225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45225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45225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45225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45225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45225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45225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45225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45225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45225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45225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45225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45225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45225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45225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45225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45225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45225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45225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45225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45225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45225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45225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45225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45225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45225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45225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45225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45225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45225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45225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45225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45225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45225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45225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45225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45225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45225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45225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45225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45225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45225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45225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45225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45225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45225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45225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45225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45225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45225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45225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45225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45225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45225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45225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45225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45225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45225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45225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45225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45225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45225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45225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45225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45225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45225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45225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45225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45225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45225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45225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45225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45225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45225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45225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45225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45225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45225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45225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45225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45225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45225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45225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45225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45225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45225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45225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45225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45225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45225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45225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45225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45225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45225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45225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45225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45225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45225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45225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45225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45225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45225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45225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45225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45225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45225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45225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45225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45225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45225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45225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45225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45225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45225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45225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45225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45225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45225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45225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45225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45225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45225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45225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45225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45225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45225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45225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45225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45225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45225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45225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45225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45225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45225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45225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45225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45225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45225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45225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45225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45225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45225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45225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45225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45225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45225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45225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45225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45225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45225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45225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45225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45225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45225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45225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45225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45225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45225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45225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45225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45225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45225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45225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45225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45225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45225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45225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45225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45225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45225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45225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45225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45225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45225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45225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45225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45225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45225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45225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45225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45225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45225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45225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45225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45225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45225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45225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45225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45225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45225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45225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45225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45225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45225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45225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45225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45225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45225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45225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45225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45225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45225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45225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45225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45225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45225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45225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45225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45225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45225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45225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45225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45225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45225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45225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45225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45225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45225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45225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45225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45225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45225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45225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45225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45225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45225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45225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45225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45225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45225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45225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45225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45225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45225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45225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45225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45225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45225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45225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45225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45225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45225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45225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45225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45225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45225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45225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45225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45225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45225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45225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45225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45225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45225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45225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45225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45225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45225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45225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45225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45225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45225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45225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45225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45225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45225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45225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45225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45225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45225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45225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45225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45225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45225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45225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45225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45225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45225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45225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45225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45225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45225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45225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45225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45225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45225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45225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45225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45225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45225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45225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45225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45225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45225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45225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45225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45225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45225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45225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45225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45225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45225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45225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45225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45225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45225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45225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45225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45225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45225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45225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45225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45225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45225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45225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45225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45225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45225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45225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45225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45225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45225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45225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45225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45225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45225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45225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45225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45225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45225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45225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45225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45225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45225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45225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45225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45225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45225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45225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45225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45225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45225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45225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45225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45225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45225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45225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45225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45225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45225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45225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45225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45225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45225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45225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45225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45225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45225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45225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45225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45225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45225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45225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45225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45225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45225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45225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45225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45225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45225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45225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45225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45225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45225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45225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45225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45225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45225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45225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45225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45225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45225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45225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45225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45225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45225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45225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45225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45225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45225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45225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45225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45225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45225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45225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45225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45225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45225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45225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45225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45225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45225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45225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45225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45225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45225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45225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45225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45225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45225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45225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45225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45225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45225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45225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45225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45225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45225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45225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45225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45225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45225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45225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45225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45225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45225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45225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45225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45225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45225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45225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45225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45225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45225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45225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45225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45225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45225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45225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45225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45225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45225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45225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45225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45225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45225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45225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45225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45225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45225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45225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45225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45225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45225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45225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45225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45225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45225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45225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45225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45225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45225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45225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45225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45225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45225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45225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45225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45225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45225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45225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45225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45225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45225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45225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45225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45225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45225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45225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45225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45225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45225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45225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45225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45225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45225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45225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45225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45225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45225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45225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45225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45225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45225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45225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45225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45225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45225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45225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45225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45225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45225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45225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45225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45225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45225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45225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45225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45225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45225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45225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45225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45225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45225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45225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45225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45225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45225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45225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45225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45225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45225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45225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45225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45225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45225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45225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45225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45225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45225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45225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45225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45225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45225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45225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45225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45225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45225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45225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45225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45225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45225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45225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45225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45225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45225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45225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45225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45225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45225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45225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45225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45225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45225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45225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45225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45225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45225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45225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45225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45225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45225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45225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45225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45225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45225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45225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45225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45225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45225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45225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45225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45225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45225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45225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45225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45225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45225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45225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45225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45225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45225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45225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45225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45225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45225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45225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45225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45225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45225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45225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45225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45225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45225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45225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45225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45225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45225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45225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45225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45225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45225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45225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45225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45225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45225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45225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45225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45225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45225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45225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45225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45225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45225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45225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45225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45225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45225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45225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45225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45225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45225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45225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45225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45225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45225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45225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45225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45225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45225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45225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45225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45225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45225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45225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45225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45225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45225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45225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45225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45225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45225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45225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45225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45225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45225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45225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45225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45225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45225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45225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45225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45225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45225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45225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45225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45225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45225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45225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45225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45225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45225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45225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45225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45225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45225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45225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45225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45225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45225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45225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45225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45225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45225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45225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45225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45225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45225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45225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45225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45225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45225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45225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45225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45225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45225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45225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45225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45225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45225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45225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45225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45225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45225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45225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45225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45225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45225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45225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45225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45225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45225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45225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45225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45225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45225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45225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45225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45225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45225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45225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45225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45225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45225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45225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45225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45225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45225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45225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45225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45225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45225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45225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45225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45225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45225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45225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45225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45225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45225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45225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45225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45225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45225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45225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45225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45225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45225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45225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45225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45225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45225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45225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45225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45225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45225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45225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45225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45225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45225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45225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45225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45225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45225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45225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45225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45225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45225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45225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45225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45225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45225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45225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45225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45225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45225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45225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45225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45225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45225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45225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45225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45225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45225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45225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45225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45225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45225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45225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45225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45225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45225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45225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45225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45225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45225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45225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45225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45225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45225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45225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45225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45225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45225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45225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45225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45225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45225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45225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45225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45225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45225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45225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45225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45225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45225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45225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45225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45225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45225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45225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45225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45225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45225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45225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45225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45225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45225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45225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45225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45225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45225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45225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45225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45225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45225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45225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45225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45225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45225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45225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45225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45225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45225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45225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45225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45225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45225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45225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45225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45225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45225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45225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45225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45225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45225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45225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45225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45225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45225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45225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45225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45225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45225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45225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45225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45225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45225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45225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45225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45225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45225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45225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45225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45225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45225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45225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45225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45225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45225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45225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45225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45225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45225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45225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45225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45225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45225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45225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45225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45225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45225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45225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45225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45225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45225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45225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45225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45225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45225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45225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45225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45225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45225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45225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45225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45225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45225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45225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45225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45225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45225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45225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45225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45225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45225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45225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45225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45225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45225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45225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45225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45225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45225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45225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45225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45225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45225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45225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45225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45225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45225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45225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45225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45225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45225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45225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45225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45225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45225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45225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45225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45225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45225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45225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45225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45225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45225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45225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45225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45225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45225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45225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45225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45225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45225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45225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45225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45225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45225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45225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45225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45225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45225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45225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45225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45225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45225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45225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45225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45225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45225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45225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45225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45225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45225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45225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45225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45225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45225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45225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45225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45225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45225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45225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45225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45225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45225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45225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45225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45225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45225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45225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45225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45225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45225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45225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45225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45225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45225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45225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45225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45225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45225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45225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45225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45225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45225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45225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45225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45225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45225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45225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45225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45225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45225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45225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45225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45225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45225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45225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45225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45225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45225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45225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45225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45225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45225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45225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45225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45225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45225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45225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45225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45225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45225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45225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45225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45225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45225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45225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45225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45225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45225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45225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45225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45225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45225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45225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45225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45225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45225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45225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45225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45225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45225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45225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45225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45225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45225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45225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45225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45225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45225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45225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45225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45225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45225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45225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45225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45225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45225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45225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45225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45225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45225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45225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45225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45225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45225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45225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45225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45225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45225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45225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45225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45225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45225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45225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45225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45225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45225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45225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45225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45225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45225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45225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45225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45225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45225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45225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45225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45225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45225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45225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45225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45225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45225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45225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45225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45225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45225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45225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45225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45225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45225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45225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45225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45225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45225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45225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45225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45225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45225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45225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45225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45225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45225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45225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45225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45225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45225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45225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45225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45225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45225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45225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45225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45225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45225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45225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45225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45225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45225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45225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45225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45225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45225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45225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45225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45225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45225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45225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45225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45225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45225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45225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45225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45225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45225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45225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45225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45225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45225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45225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45225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45225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45225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45225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45225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45225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45225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45225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45225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45225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45225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45225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45225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45225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45225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45225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45225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45225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45225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45225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45225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45225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45225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45225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45225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45225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45225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45225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45225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45225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45225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45225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45225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45225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45225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45225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45225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45225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45225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45225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45225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45225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45225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45225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45225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45225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45225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45225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45225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45225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45225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45225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45225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45225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45225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45225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45225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45225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45225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45225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45225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45225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45225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45225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45225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45225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49951-2023</t>
        </is>
      </c>
      <c r="B5510" s="1" t="n">
        <v>45215</v>
      </c>
      <c r="C5510" s="1" t="n">
        <v>45225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50634-2023</t>
        </is>
      </c>
      <c r="B5511" s="1" t="n">
        <v>45217</v>
      </c>
      <c r="C5511" s="1" t="n">
        <v>45225</v>
      </c>
      <c r="D5511" t="inlineStr">
        <is>
          <t>JÖNKÖPINGS LÄN</t>
        </is>
      </c>
      <c r="E5511" t="inlineStr">
        <is>
          <t>TRANÅS</t>
        </is>
      </c>
      <c r="G5511" t="n">
        <v>0.9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50854-2023</t>
        </is>
      </c>
      <c r="B5512" s="1" t="n">
        <v>45218</v>
      </c>
      <c r="C5512" s="1" t="n">
        <v>45225</v>
      </c>
      <c r="D5512" t="inlineStr">
        <is>
          <t>JÖNKÖPINGS LÄN</t>
        </is>
      </c>
      <c r="E5512" t="inlineStr">
        <is>
          <t>JÖNKÖPING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50853-2023</t>
        </is>
      </c>
      <c r="B5513" s="1" t="n">
        <v>45218</v>
      </c>
      <c r="C5513" s="1" t="n">
        <v>45225</v>
      </c>
      <c r="D5513" t="inlineStr">
        <is>
          <t>JÖNKÖPINGS LÄN</t>
        </is>
      </c>
      <c r="E5513" t="inlineStr">
        <is>
          <t>JÖNKÖPING</t>
        </is>
      </c>
      <c r="G5513" t="n">
        <v>1.6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50886-2023</t>
        </is>
      </c>
      <c r="B5514" s="1" t="n">
        <v>45218</v>
      </c>
      <c r="C5514" s="1" t="n">
        <v>45225</v>
      </c>
      <c r="D5514" t="inlineStr">
        <is>
          <t>JÖNKÖPINGS LÄN</t>
        </is>
      </c>
      <c r="E5514" t="inlineStr">
        <is>
          <t>VETLANDA</t>
        </is>
      </c>
      <c r="G5514" t="n">
        <v>0.9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51020-2023</t>
        </is>
      </c>
      <c r="B5515" s="1" t="n">
        <v>45218</v>
      </c>
      <c r="C5515" s="1" t="n">
        <v>45225</v>
      </c>
      <c r="D5515" t="inlineStr">
        <is>
          <t>JÖNKÖPINGS LÄN</t>
        </is>
      </c>
      <c r="E5515" t="inlineStr">
        <is>
          <t>EKSJÖ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51166-2023</t>
        </is>
      </c>
      <c r="B5516" s="1" t="n">
        <v>45219</v>
      </c>
      <c r="C5516" s="1" t="n">
        <v>45225</v>
      </c>
      <c r="D5516" t="inlineStr">
        <is>
          <t>JÖNKÖPINGS LÄN</t>
        </is>
      </c>
      <c r="E5516" t="inlineStr">
        <is>
          <t>JÖNKÖPING</t>
        </is>
      </c>
      <c r="G5516" t="n">
        <v>1.8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51188-2023</t>
        </is>
      </c>
      <c r="B5517" s="1" t="n">
        <v>45219</v>
      </c>
      <c r="C5517" s="1" t="n">
        <v>45225</v>
      </c>
      <c r="D5517" t="inlineStr">
        <is>
          <t>JÖNKÖPINGS LÄN</t>
        </is>
      </c>
      <c r="E5517" t="inlineStr">
        <is>
          <t>JÖNKÖPING</t>
        </is>
      </c>
      <c r="G5517" t="n">
        <v>1.2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51474-2023</t>
        </is>
      </c>
      <c r="B5518" s="1" t="n">
        <v>45221</v>
      </c>
      <c r="C5518" s="1" t="n">
        <v>45225</v>
      </c>
      <c r="D5518" t="inlineStr">
        <is>
          <t>JÖNKÖPINGS LÄN</t>
        </is>
      </c>
      <c r="E5518" t="inlineStr">
        <is>
          <t>VÄRNAMO</t>
        </is>
      </c>
      <c r="G5518" t="n">
        <v>0.5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51588-2023</t>
        </is>
      </c>
      <c r="B5519" s="1" t="n">
        <v>45222</v>
      </c>
      <c r="C5519" s="1" t="n">
        <v>45225</v>
      </c>
      <c r="D5519" t="inlineStr">
        <is>
          <t>JÖNKÖPINGS LÄN</t>
        </is>
      </c>
      <c r="E5519" t="inlineStr">
        <is>
          <t>HABO</t>
        </is>
      </c>
      <c r="G5519" t="n">
        <v>3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51537-2023</t>
        </is>
      </c>
      <c r="B5520" s="1" t="n">
        <v>45222</v>
      </c>
      <c r="C5520" s="1" t="n">
        <v>45225</v>
      </c>
      <c r="D5520" t="inlineStr">
        <is>
          <t>JÖNKÖPINGS LÄN</t>
        </is>
      </c>
      <c r="E5520" t="inlineStr">
        <is>
          <t>VETLANDA</t>
        </is>
      </c>
      <c r="G5520" t="n">
        <v>2.5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51527-2023</t>
        </is>
      </c>
      <c r="B5521" s="1" t="n">
        <v>45222</v>
      </c>
      <c r="C5521" s="1" t="n">
        <v>45225</v>
      </c>
      <c r="D5521" t="inlineStr">
        <is>
          <t>JÖNKÖPINGS LÄN</t>
        </is>
      </c>
      <c r="E5521" t="inlineStr">
        <is>
          <t>EKSJÖ</t>
        </is>
      </c>
      <c r="G5521" t="n">
        <v>1.7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>
      <c r="A5522" t="inlineStr">
        <is>
          <t>A 51541-2023</t>
        </is>
      </c>
      <c r="B5522" s="1" t="n">
        <v>45222</v>
      </c>
      <c r="C5522" s="1" t="n">
        <v>45225</v>
      </c>
      <c r="D5522" t="inlineStr">
        <is>
          <t>JÖNKÖPINGS LÄN</t>
        </is>
      </c>
      <c r="E5522" t="inlineStr">
        <is>
          <t>EKSJÖ</t>
        </is>
      </c>
      <c r="G5522" t="n">
        <v>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2023-10-26T12:48:12Z</dcterms:created>
  <dcterms:modified xmlns:dcterms="http://purl.org/dc/terms/" xmlns:xsi="http://www.w3.org/2001/XMLSchema-instance" xsi:type="dcterms:W3CDTF">2023-10-26T12:48:14Z</dcterms:modified>
</cp:coreProperties>
</file>