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45186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45186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45186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45186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45186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45186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45186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45186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45186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45186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45186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45186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45186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45186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45186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45186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45186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45186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45186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22224-2020.xlsx", "A 22224-2020")</f>
        <v/>
      </c>
      <c r="T21">
        <f>HYPERLINK("https://klasma.github.io/Logging_VETLANDA/kartor/A 22224-2020.png", "A 22224-2020")</f>
        <v/>
      </c>
      <c r="V21">
        <f>HYPERLINK("https://klasma.github.io/Logging_VETLANDA/klagomål/A 22224-2020.docx", "A 22224-2020")</f>
        <v/>
      </c>
      <c r="W21">
        <f>HYPERLINK("https://klasma.github.io/Logging_VETLANDA/klagomålsmail/A 22224-2020.docx", "A 22224-2020")</f>
        <v/>
      </c>
      <c r="X21">
        <f>HYPERLINK("https://klasma.github.io/Logging_VETLANDA/tillsyn/A 22224-2020.docx", "A 22224-2020")</f>
        <v/>
      </c>
      <c r="Y21">
        <f>HYPERLINK("https://klasma.github.io/Logging_VETLANDA/tillsynsmail/A 22224-2020.docx", "A 22224-2020")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45186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27640-2020.xlsx", "A 27640-2020")</f>
        <v/>
      </c>
      <c r="T22">
        <f>HYPERLINK("https://klasma.github.io/Logging_HABO/kartor/A 27640-2020.png", "A 27640-2020")</f>
        <v/>
      </c>
      <c r="V22">
        <f>HYPERLINK("https://klasma.github.io/Logging_HABO/klagomål/A 27640-2020.docx", "A 27640-2020")</f>
        <v/>
      </c>
      <c r="W22">
        <f>HYPERLINK("https://klasma.github.io/Logging_HABO/klagomålsmail/A 27640-2020.docx", "A 27640-2020")</f>
        <v/>
      </c>
      <c r="X22">
        <f>HYPERLINK("https://klasma.github.io/Logging_HABO/tillsyn/A 27640-2020.docx", "A 27640-2020")</f>
        <v/>
      </c>
      <c r="Y22">
        <f>HYPERLINK("https://klasma.github.io/Logging_HABO/tillsynsmail/A 27640-2020.docx", "A 27640-2020")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45186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50930-2020.xlsx", "A 50930-2020")</f>
        <v/>
      </c>
      <c r="T23">
        <f>HYPERLINK("https://klasma.github.io/Logging_JONKOPING/kartor/A 50930-2020.png", "A 50930-2020")</f>
        <v/>
      </c>
      <c r="V23">
        <f>HYPERLINK("https://klasma.github.io/Logging_JONKOPING/klagomål/A 50930-2020.docx", "A 50930-2020")</f>
        <v/>
      </c>
      <c r="W23">
        <f>HYPERLINK("https://klasma.github.io/Logging_JONKOPING/klagomålsmail/A 50930-2020.docx", "A 50930-2020")</f>
        <v/>
      </c>
      <c r="X23">
        <f>HYPERLINK("https://klasma.github.io/Logging_JONKOPING/tillsyn/A 50930-2020.docx", "A 50930-2020")</f>
        <v/>
      </c>
      <c r="Y23">
        <f>HYPERLINK("https://klasma.github.io/Logging_JONKOPING/tillsynsmail/A 50930-2020.docx", "A 50930-2020")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45186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56270-2022.xlsx", "A 56270-2022")</f>
        <v/>
      </c>
      <c r="T24">
        <f>HYPERLINK("https://klasma.github.io/Logging_VETLANDA/kartor/A 56270-2022.png", "A 56270-2022")</f>
        <v/>
      </c>
      <c r="U24">
        <f>HYPERLINK("https://klasma.github.io/Logging_VETLANDA/knärot/A 56270-2022.png", "A 56270-2022")</f>
        <v/>
      </c>
      <c r="V24">
        <f>HYPERLINK("https://klasma.github.io/Logging_VETLANDA/klagomål/A 56270-2022.docx", "A 56270-2022")</f>
        <v/>
      </c>
      <c r="W24">
        <f>HYPERLINK("https://klasma.github.io/Logging_VETLANDA/klagomålsmail/A 56270-2022.docx", "A 56270-2022")</f>
        <v/>
      </c>
      <c r="X24">
        <f>HYPERLINK("https://klasma.github.io/Logging_VETLANDA/tillsyn/A 56270-2022.docx", "A 56270-2022")</f>
        <v/>
      </c>
      <c r="Y24">
        <f>HYPERLINK("https://klasma.github.io/Logging_VETLANDA/tillsynsmail/A 56270-2022.docx", "A 56270-2022")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45186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34899-2018.xlsx", "A 34899-2018")</f>
        <v/>
      </c>
      <c r="T25">
        <f>HYPERLINK("https://klasma.github.io/Logging_TRANAS/kartor/A 34899-2018.png", "A 34899-2018")</f>
        <v/>
      </c>
      <c r="U25">
        <f>HYPERLINK("https://klasma.github.io/Logging_TRANAS/knärot/A 34899-2018.png", "A 34899-2018")</f>
        <v/>
      </c>
      <c r="V25">
        <f>HYPERLINK("https://klasma.github.io/Logging_TRANAS/klagomål/A 34899-2018.docx", "A 34899-2018")</f>
        <v/>
      </c>
      <c r="W25">
        <f>HYPERLINK("https://klasma.github.io/Logging_TRANAS/klagomålsmail/A 34899-2018.docx", "A 34899-2018")</f>
        <v/>
      </c>
      <c r="X25">
        <f>HYPERLINK("https://klasma.github.io/Logging_TRANAS/tillsyn/A 34899-2018.docx", "A 34899-2018")</f>
        <v/>
      </c>
      <c r="Y25">
        <f>HYPERLINK("https://klasma.github.io/Logging_TRANAS/tillsynsmail/A 34899-2018.docx", "A 34899-2018")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45186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39284-2018.xlsx", "A 39284-2018")</f>
        <v/>
      </c>
      <c r="T26">
        <f>HYPERLINK("https://klasma.github.io/Logging_NASSJO/kartor/A 39284-2018.png", "A 39284-2018")</f>
        <v/>
      </c>
      <c r="V26">
        <f>HYPERLINK("https://klasma.github.io/Logging_NASSJO/klagomål/A 39284-2018.docx", "A 39284-2018")</f>
        <v/>
      </c>
      <c r="W26">
        <f>HYPERLINK("https://klasma.github.io/Logging_NASSJO/klagomålsmail/A 39284-2018.docx", "A 39284-2018")</f>
        <v/>
      </c>
      <c r="X26">
        <f>HYPERLINK("https://klasma.github.io/Logging_NASSJO/tillsyn/A 39284-2018.docx", "A 39284-2018")</f>
        <v/>
      </c>
      <c r="Y26">
        <f>HYPERLINK("https://klasma.github.io/Logging_NASSJO/tillsynsmail/A 39284-2018.docx", "A 39284-2018")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45186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4293-2019.xlsx", "A 4293-2019")</f>
        <v/>
      </c>
      <c r="T27">
        <f>HYPERLINK("https://klasma.github.io/Logging_VETLANDA/kartor/A 4293-2019.png", "A 4293-2019")</f>
        <v/>
      </c>
      <c r="V27">
        <f>HYPERLINK("https://klasma.github.io/Logging_VETLANDA/klagomål/A 4293-2019.docx", "A 4293-2019")</f>
        <v/>
      </c>
      <c r="W27">
        <f>HYPERLINK("https://klasma.github.io/Logging_VETLANDA/klagomålsmail/A 4293-2019.docx", "A 4293-2019")</f>
        <v/>
      </c>
      <c r="X27">
        <f>HYPERLINK("https://klasma.github.io/Logging_VETLANDA/tillsyn/A 4293-2019.docx", "A 4293-2019")</f>
        <v/>
      </c>
      <c r="Y27">
        <f>HYPERLINK("https://klasma.github.io/Logging_VETLANDA/tillsynsmail/A 4293-2019.docx", "A 4293-2019")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45186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11347-2019.xlsx", "A 11347-2019")</f>
        <v/>
      </c>
      <c r="T28">
        <f>HYPERLINK("https://klasma.github.io/Logging_EKSJO/kartor/A 11347-2019.png", "A 11347-2019")</f>
        <v/>
      </c>
      <c r="V28">
        <f>HYPERLINK("https://klasma.github.io/Logging_EKSJO/klagomål/A 11347-2019.docx", "A 11347-2019")</f>
        <v/>
      </c>
      <c r="W28">
        <f>HYPERLINK("https://klasma.github.io/Logging_EKSJO/klagomålsmail/A 11347-2019.docx", "A 11347-2019")</f>
        <v/>
      </c>
      <c r="X28">
        <f>HYPERLINK("https://klasma.github.io/Logging_EKSJO/tillsyn/A 11347-2019.docx", "A 11347-2019")</f>
        <v/>
      </c>
      <c r="Y28">
        <f>HYPERLINK("https://klasma.github.io/Logging_EKSJO/tillsynsmail/A 11347-2019.docx", "A 11347-2019")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45186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45186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45186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45186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45186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45186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45186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45186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45343-2019.xlsx", "A 45343-2019")</f>
        <v/>
      </c>
      <c r="T36">
        <f>HYPERLINK("https://klasma.github.io/Logging_VETLANDA/kartor/A 45343-2019.png", "A 45343-2019")</f>
        <v/>
      </c>
      <c r="U36">
        <f>HYPERLINK("https://klasma.github.io/Logging_VETLANDA/knärot/A 45343-2019.png", "A 45343-2019")</f>
        <v/>
      </c>
      <c r="V36">
        <f>HYPERLINK("https://klasma.github.io/Logging_VETLANDA/klagomål/A 45343-2019.docx", "A 45343-2019")</f>
        <v/>
      </c>
      <c r="W36">
        <f>HYPERLINK("https://klasma.github.io/Logging_VETLANDA/klagomålsmail/A 45343-2019.docx", "A 45343-2019")</f>
        <v/>
      </c>
      <c r="X36">
        <f>HYPERLINK("https://klasma.github.io/Logging_VETLANDA/tillsyn/A 45343-2019.docx", "A 45343-2019")</f>
        <v/>
      </c>
      <c r="Y36">
        <f>HYPERLINK("https://klasma.github.io/Logging_VETLANDA/tillsynsmail/A 45343-2019.docx", "A 45343-2019")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45186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36321-2021.xlsx", "A 36321-2021")</f>
        <v/>
      </c>
      <c r="T37">
        <f>HYPERLINK("https://klasma.github.io/Logging_VETLANDA/kartor/A 36321-2021.png", "A 36321-2021")</f>
        <v/>
      </c>
      <c r="V37">
        <f>HYPERLINK("https://klasma.github.io/Logging_VETLANDA/klagomål/A 36321-2021.docx", "A 36321-2021")</f>
        <v/>
      </c>
      <c r="W37">
        <f>HYPERLINK("https://klasma.github.io/Logging_VETLANDA/klagomålsmail/A 36321-2021.docx", "A 36321-2021")</f>
        <v/>
      </c>
      <c r="X37">
        <f>HYPERLINK("https://klasma.github.io/Logging_VETLANDA/tillsyn/A 36321-2021.docx", "A 36321-2021")</f>
        <v/>
      </c>
      <c r="Y37">
        <f>HYPERLINK("https://klasma.github.io/Logging_VETLANDA/tillsynsmail/A 36321-2021.docx", "A 36321-2021")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45186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36431-2021.xlsx", "A 36431-2021")</f>
        <v/>
      </c>
      <c r="T38">
        <f>HYPERLINK("https://klasma.github.io/Logging_HABO/kartor/A 36431-2021.png", "A 36431-2021")</f>
        <v/>
      </c>
      <c r="V38">
        <f>HYPERLINK("https://klasma.github.io/Logging_HABO/klagomål/A 36431-2021.docx", "A 36431-2021")</f>
        <v/>
      </c>
      <c r="W38">
        <f>HYPERLINK("https://klasma.github.io/Logging_HABO/klagomålsmail/A 36431-2021.docx", "A 36431-2021")</f>
        <v/>
      </c>
      <c r="X38">
        <f>HYPERLINK("https://klasma.github.io/Logging_HABO/tillsyn/A 36431-2021.docx", "A 36431-2021")</f>
        <v/>
      </c>
      <c r="Y38">
        <f>HYPERLINK("https://klasma.github.io/Logging_HABO/tillsynsmail/A 36431-2021.docx", "A 36431-2021")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45186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410-2022.xlsx", "A 410-2022")</f>
        <v/>
      </c>
      <c r="T39">
        <f>HYPERLINK("https://klasma.github.io/Logging_ANEBY/kartor/A 410-2022.png", "A 410-2022")</f>
        <v/>
      </c>
      <c r="U39">
        <f>HYPERLINK("https://klasma.github.io/Logging_ANEBY/knärot/A 410-2022.png", "A 410-2022")</f>
        <v/>
      </c>
      <c r="V39">
        <f>HYPERLINK("https://klasma.github.io/Logging_ANEBY/klagomål/A 410-2022.docx", "A 410-2022")</f>
        <v/>
      </c>
      <c r="W39">
        <f>HYPERLINK("https://klasma.github.io/Logging_ANEBY/klagomålsmail/A 410-2022.docx", "A 410-2022")</f>
        <v/>
      </c>
      <c r="X39">
        <f>HYPERLINK("https://klasma.github.io/Logging_ANEBY/tillsyn/A 410-2022.docx", "A 410-2022")</f>
        <v/>
      </c>
      <c r="Y39">
        <f>HYPERLINK("https://klasma.github.io/Logging_ANEBY/tillsynsmail/A 410-2022.docx", "A 410-2022")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45186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10480-2023.xlsx", "A 10480-2023")</f>
        <v/>
      </c>
      <c r="T40">
        <f>HYPERLINK("https://klasma.github.io/Logging_TRANAS/kartor/A 10480-2023.png", "A 10480-2023")</f>
        <v/>
      </c>
      <c r="V40">
        <f>HYPERLINK("https://klasma.github.io/Logging_TRANAS/klagomål/A 10480-2023.docx", "A 10480-2023")</f>
        <v/>
      </c>
      <c r="W40">
        <f>HYPERLINK("https://klasma.github.io/Logging_TRANAS/klagomålsmail/A 10480-2023.docx", "A 10480-2023")</f>
        <v/>
      </c>
      <c r="X40">
        <f>HYPERLINK("https://klasma.github.io/Logging_TRANAS/tillsyn/A 10480-2023.docx", "A 10480-2023")</f>
        <v/>
      </c>
      <c r="Y40">
        <f>HYPERLINK("https://klasma.github.io/Logging_TRANAS/tillsynsmail/A 10480-2023.docx", "A 10480-2023")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45186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10724-2023.xlsx", "A 10724-2023")</f>
        <v/>
      </c>
      <c r="T41">
        <f>HYPERLINK("https://klasma.github.io/Logging_JONKOPING/kartor/A 10724-2023.png", "A 10724-2023")</f>
        <v/>
      </c>
      <c r="V41">
        <f>HYPERLINK("https://klasma.github.io/Logging_JONKOPING/klagomål/A 10724-2023.docx", "A 10724-2023")</f>
        <v/>
      </c>
      <c r="W41">
        <f>HYPERLINK("https://klasma.github.io/Logging_JONKOPING/klagomålsmail/A 10724-2023.docx", "A 10724-2023")</f>
        <v/>
      </c>
      <c r="X41">
        <f>HYPERLINK("https://klasma.github.io/Logging_JONKOPING/tillsyn/A 10724-2023.docx", "A 10724-2023")</f>
        <v/>
      </c>
      <c r="Y41">
        <f>HYPERLINK("https://klasma.github.io/Logging_JONKOPING/tillsynsmail/A 10724-2023.docx", "A 10724-2023")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45186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11258-2023.xlsx", "A 11258-2023")</f>
        <v/>
      </c>
      <c r="T42">
        <f>HYPERLINK("https://klasma.github.io/Logging_JONKOPING/kartor/A 11258-2023.png", "A 11258-2023")</f>
        <v/>
      </c>
      <c r="U42">
        <f>HYPERLINK("https://klasma.github.io/Logging_JONKOPING/knärot/A 11258-2023.png", "A 11258-2023")</f>
        <v/>
      </c>
      <c r="V42">
        <f>HYPERLINK("https://klasma.github.io/Logging_JONKOPING/klagomål/A 11258-2023.docx", "A 11258-2023")</f>
        <v/>
      </c>
      <c r="W42">
        <f>HYPERLINK("https://klasma.github.io/Logging_JONKOPING/klagomålsmail/A 11258-2023.docx", "A 11258-2023")</f>
        <v/>
      </c>
      <c r="X42">
        <f>HYPERLINK("https://klasma.github.io/Logging_JONKOPING/tillsyn/A 11258-2023.docx", "A 11258-2023")</f>
        <v/>
      </c>
      <c r="Y42">
        <f>HYPERLINK("https://klasma.github.io/Logging_JONKOPING/tillsynsmail/A 11258-2023.docx", "A 11258-2023")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45186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16941-2023.xlsx", "A 16941-2023")</f>
        <v/>
      </c>
      <c r="T43">
        <f>HYPERLINK("https://klasma.github.io/Logging_VAGGERYD/kartor/A 16941-2023.png", "A 16941-2023")</f>
        <v/>
      </c>
      <c r="U43">
        <f>HYPERLINK("https://klasma.github.io/Logging_VAGGERYD/knärot/A 16941-2023.png", "A 16941-2023")</f>
        <v/>
      </c>
      <c r="V43">
        <f>HYPERLINK("https://klasma.github.io/Logging_VAGGERYD/klagomål/A 16941-2023.docx", "A 16941-2023")</f>
        <v/>
      </c>
      <c r="W43">
        <f>HYPERLINK("https://klasma.github.io/Logging_VAGGERYD/klagomålsmail/A 16941-2023.docx", "A 16941-2023")</f>
        <v/>
      </c>
      <c r="X43">
        <f>HYPERLINK("https://klasma.github.io/Logging_VAGGERYD/tillsyn/A 16941-2023.docx", "A 16941-2023")</f>
        <v/>
      </c>
      <c r="Y43">
        <f>HYPERLINK("https://klasma.github.io/Logging_VAGGERYD/tillsynsmail/A 16941-2023.docx", "A 16941-2023")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45186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30388-2023.xlsx", "A 30388-2023")</f>
        <v/>
      </c>
      <c r="T44">
        <f>HYPERLINK("https://klasma.github.io/Logging_VETLANDA/kartor/A 30388-2023.png", "A 30388-2023")</f>
        <v/>
      </c>
      <c r="V44">
        <f>HYPERLINK("https://klasma.github.io/Logging_VETLANDA/klagomål/A 30388-2023.docx", "A 30388-2023")</f>
        <v/>
      </c>
      <c r="W44">
        <f>HYPERLINK("https://klasma.github.io/Logging_VETLANDA/klagomålsmail/A 30388-2023.docx", "A 30388-2023")</f>
        <v/>
      </c>
      <c r="X44">
        <f>HYPERLINK("https://klasma.github.io/Logging_VETLANDA/tillsyn/A 30388-2023.docx", "A 30388-2023")</f>
        <v/>
      </c>
      <c r="Y44">
        <f>HYPERLINK("https://klasma.github.io/Logging_VETLANDA/tillsynsmail/A 30388-2023.docx", "A 30388-2023")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45186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38452-2023.xlsx", "A 38452-2023")</f>
        <v/>
      </c>
      <c r="T45">
        <f>HYPERLINK("https://klasma.github.io/Logging_TRANAS/kartor/A 38452-2023.png", "A 38452-2023")</f>
        <v/>
      </c>
      <c r="V45">
        <f>HYPERLINK("https://klasma.github.io/Logging_TRANAS/klagomål/A 38452-2023.docx", "A 38452-2023")</f>
        <v/>
      </c>
      <c r="W45">
        <f>HYPERLINK("https://klasma.github.io/Logging_TRANAS/klagomålsmail/A 38452-2023.docx", "A 38452-2023")</f>
        <v/>
      </c>
      <c r="X45">
        <f>HYPERLINK("https://klasma.github.io/Logging_TRANAS/tillsyn/A 38452-2023.docx", "A 38452-2023")</f>
        <v/>
      </c>
      <c r="Y45">
        <f>HYPERLINK("https://klasma.github.io/Logging_TRANAS/tillsynsmail/A 38452-2023.docx", "A 38452-2023")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45186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10708-2019.xlsx", "A 10708-2019")</f>
        <v/>
      </c>
      <c r="T46">
        <f>HYPERLINK("https://klasma.github.io/Logging_VETLANDA/kartor/A 10708-2019.png", "A 10708-2019")</f>
        <v/>
      </c>
      <c r="V46">
        <f>HYPERLINK("https://klasma.github.io/Logging_VETLANDA/klagomål/A 10708-2019.docx", "A 10708-2019")</f>
        <v/>
      </c>
      <c r="W46">
        <f>HYPERLINK("https://klasma.github.io/Logging_VETLANDA/klagomålsmail/A 10708-2019.docx", "A 10708-2019")</f>
        <v/>
      </c>
      <c r="X46">
        <f>HYPERLINK("https://klasma.github.io/Logging_VETLANDA/tillsyn/A 10708-2019.docx", "A 10708-2019")</f>
        <v/>
      </c>
      <c r="Y46">
        <f>HYPERLINK("https://klasma.github.io/Logging_VETLANDA/tillsynsmail/A 10708-2019.docx", "A 10708-2019")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45186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43160-2019.xlsx", "A 43160-2019")</f>
        <v/>
      </c>
      <c r="T47">
        <f>HYPERLINK("https://klasma.github.io/Logging_TRANAS/kartor/A 43160-2019.png", "A 43160-2019")</f>
        <v/>
      </c>
      <c r="V47">
        <f>HYPERLINK("https://klasma.github.io/Logging_TRANAS/klagomål/A 43160-2019.docx", "A 43160-2019")</f>
        <v/>
      </c>
      <c r="W47">
        <f>HYPERLINK("https://klasma.github.io/Logging_TRANAS/klagomålsmail/A 43160-2019.docx", "A 43160-2019")</f>
        <v/>
      </c>
      <c r="X47">
        <f>HYPERLINK("https://klasma.github.io/Logging_TRANAS/tillsyn/A 43160-2019.docx", "A 43160-2019")</f>
        <v/>
      </c>
      <c r="Y47">
        <f>HYPERLINK("https://klasma.github.io/Logging_TRANAS/tillsynsmail/A 43160-2019.docx", "A 43160-2019")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45186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47248-2019.xlsx", "A 47248-2019")</f>
        <v/>
      </c>
      <c r="T48">
        <f>HYPERLINK("https://klasma.github.io/Logging_VETLANDA/kartor/A 47248-2019.png", "A 47248-2019")</f>
        <v/>
      </c>
      <c r="U48">
        <f>HYPERLINK("https://klasma.github.io/Logging_VETLANDA/knärot/A 47248-2019.png", "A 47248-2019")</f>
        <v/>
      </c>
      <c r="V48">
        <f>HYPERLINK("https://klasma.github.io/Logging_VETLANDA/klagomål/A 47248-2019.docx", "A 47248-2019")</f>
        <v/>
      </c>
      <c r="W48">
        <f>HYPERLINK("https://klasma.github.io/Logging_VETLANDA/klagomålsmail/A 47248-2019.docx", "A 47248-2019")</f>
        <v/>
      </c>
      <c r="X48">
        <f>HYPERLINK("https://klasma.github.io/Logging_VETLANDA/tillsyn/A 47248-2019.docx", "A 47248-2019")</f>
        <v/>
      </c>
      <c r="Y48">
        <f>HYPERLINK("https://klasma.github.io/Logging_VETLANDA/tillsynsmail/A 47248-2019.docx", "A 47248-2019")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45186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47975-2019.xlsx", "A 47975-2019")</f>
        <v/>
      </c>
      <c r="T49">
        <f>HYPERLINK("https://klasma.github.io/Logging_VETLANDA/kartor/A 47975-2019.png", "A 47975-2019")</f>
        <v/>
      </c>
      <c r="V49">
        <f>HYPERLINK("https://klasma.github.io/Logging_VETLANDA/klagomål/A 47975-2019.docx", "A 47975-2019")</f>
        <v/>
      </c>
      <c r="W49">
        <f>HYPERLINK("https://klasma.github.io/Logging_VETLANDA/klagomålsmail/A 47975-2019.docx", "A 47975-2019")</f>
        <v/>
      </c>
      <c r="X49">
        <f>HYPERLINK("https://klasma.github.io/Logging_VETLANDA/tillsyn/A 47975-2019.docx", "A 47975-2019")</f>
        <v/>
      </c>
      <c r="Y49">
        <f>HYPERLINK("https://klasma.github.io/Logging_VETLANDA/tillsynsmail/A 47975-2019.docx", "A 47975-2019")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45186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1844-2020.xlsx", "A 1844-2020")</f>
        <v/>
      </c>
      <c r="T50">
        <f>HYPERLINK("https://klasma.github.io/Logging_VARNAMO/kartor/A 1844-2020.png", "A 1844-2020")</f>
        <v/>
      </c>
      <c r="V50">
        <f>HYPERLINK("https://klasma.github.io/Logging_VARNAMO/klagomål/A 1844-2020.docx", "A 1844-2020")</f>
        <v/>
      </c>
      <c r="W50">
        <f>HYPERLINK("https://klasma.github.io/Logging_VARNAMO/klagomålsmail/A 1844-2020.docx", "A 1844-2020")</f>
        <v/>
      </c>
      <c r="X50">
        <f>HYPERLINK("https://klasma.github.io/Logging_VARNAMO/tillsyn/A 1844-2020.docx", "A 1844-2020")</f>
        <v/>
      </c>
      <c r="Y50">
        <f>HYPERLINK("https://klasma.github.io/Logging_VARNAMO/tillsynsmail/A 1844-2020.docx", "A 1844-2020")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45186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29942-2020.xlsx", "A 29942-2020")</f>
        <v/>
      </c>
      <c r="T51">
        <f>HYPERLINK("https://klasma.github.io/Logging_VETLANDA/kartor/A 29942-2020.png", "A 29942-2020")</f>
        <v/>
      </c>
      <c r="U51">
        <f>HYPERLINK("https://klasma.github.io/Logging_VETLANDA/knärot/A 29942-2020.png", "A 29942-2020")</f>
        <v/>
      </c>
      <c r="V51">
        <f>HYPERLINK("https://klasma.github.io/Logging_VETLANDA/klagomål/A 29942-2020.docx", "A 29942-2020")</f>
        <v/>
      </c>
      <c r="W51">
        <f>HYPERLINK("https://klasma.github.io/Logging_VETLANDA/klagomålsmail/A 29942-2020.docx", "A 29942-2020")</f>
        <v/>
      </c>
      <c r="X51">
        <f>HYPERLINK("https://klasma.github.io/Logging_VETLANDA/tillsyn/A 29942-2020.docx", "A 29942-2020")</f>
        <v/>
      </c>
      <c r="Y51">
        <f>HYPERLINK("https://klasma.github.io/Logging_VETLANDA/tillsynsmail/A 29942-2020.docx", "A 29942-2020")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45186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33853-2020.xlsx", "A 33853-2020")</f>
        <v/>
      </c>
      <c r="T52">
        <f>HYPERLINK("https://klasma.github.io/Logging_JONKOPING/kartor/A 33853-2020.png", "A 33853-2020")</f>
        <v/>
      </c>
      <c r="V52">
        <f>HYPERLINK("https://klasma.github.io/Logging_JONKOPING/klagomål/A 33853-2020.docx", "A 33853-2020")</f>
        <v/>
      </c>
      <c r="W52">
        <f>HYPERLINK("https://klasma.github.io/Logging_JONKOPING/klagomålsmail/A 33853-2020.docx", "A 33853-2020")</f>
        <v/>
      </c>
      <c r="X52">
        <f>HYPERLINK("https://klasma.github.io/Logging_JONKOPING/tillsyn/A 33853-2020.docx", "A 33853-2020")</f>
        <v/>
      </c>
      <c r="Y52">
        <f>HYPERLINK("https://klasma.github.io/Logging_JONKOPING/tillsynsmail/A 33853-2020.docx", "A 33853-2020")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45186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34063-2020.xlsx", "A 34063-2020")</f>
        <v/>
      </c>
      <c r="T53">
        <f>HYPERLINK("https://klasma.github.io/Logging_NASSJO/kartor/A 34063-2020.png", "A 34063-2020")</f>
        <v/>
      </c>
      <c r="U53">
        <f>HYPERLINK("https://klasma.github.io/Logging_NASSJO/knärot/A 34063-2020.png", "A 34063-2020")</f>
        <v/>
      </c>
      <c r="V53">
        <f>HYPERLINK("https://klasma.github.io/Logging_NASSJO/klagomål/A 34063-2020.docx", "A 34063-2020")</f>
        <v/>
      </c>
      <c r="W53">
        <f>HYPERLINK("https://klasma.github.io/Logging_NASSJO/klagomålsmail/A 34063-2020.docx", "A 34063-2020")</f>
        <v/>
      </c>
      <c r="X53">
        <f>HYPERLINK("https://klasma.github.io/Logging_NASSJO/tillsyn/A 34063-2020.docx", "A 34063-2020")</f>
        <v/>
      </c>
      <c r="Y53">
        <f>HYPERLINK("https://klasma.github.io/Logging_NASSJO/tillsynsmail/A 34063-2020.docx", "A 34063-2020")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45186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33152-2021.xlsx", "A 33152-2021")</f>
        <v/>
      </c>
      <c r="T54">
        <f>HYPERLINK("https://klasma.github.io/Logging_VETLANDA/kartor/A 33152-2021.png", "A 33152-2021")</f>
        <v/>
      </c>
      <c r="V54">
        <f>HYPERLINK("https://klasma.github.io/Logging_VETLANDA/klagomål/A 33152-2021.docx", "A 33152-2021")</f>
        <v/>
      </c>
      <c r="W54">
        <f>HYPERLINK("https://klasma.github.io/Logging_VETLANDA/klagomålsmail/A 33152-2021.docx", "A 33152-2021")</f>
        <v/>
      </c>
      <c r="X54">
        <f>HYPERLINK("https://klasma.github.io/Logging_VETLANDA/tillsyn/A 33152-2021.docx", "A 33152-2021")</f>
        <v/>
      </c>
      <c r="Y54">
        <f>HYPERLINK("https://klasma.github.io/Logging_VETLANDA/tillsynsmail/A 33152-2021.docx", "A 33152-2021")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45186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64029-2021.xlsx", "A 64029-2021")</f>
        <v/>
      </c>
      <c r="T55">
        <f>HYPERLINK("https://klasma.github.io/Logging_VETLANDA/kartor/A 64029-2021.png", "A 64029-2021")</f>
        <v/>
      </c>
      <c r="U55">
        <f>HYPERLINK("https://klasma.github.io/Logging_VETLANDA/knärot/A 64029-2021.png", "A 64029-2021")</f>
        <v/>
      </c>
      <c r="V55">
        <f>HYPERLINK("https://klasma.github.io/Logging_VETLANDA/klagomål/A 64029-2021.docx", "A 64029-2021")</f>
        <v/>
      </c>
      <c r="W55">
        <f>HYPERLINK("https://klasma.github.io/Logging_VETLANDA/klagomålsmail/A 64029-2021.docx", "A 64029-2021")</f>
        <v/>
      </c>
      <c r="X55">
        <f>HYPERLINK("https://klasma.github.io/Logging_VETLANDA/tillsyn/A 64029-2021.docx", "A 64029-2021")</f>
        <v/>
      </c>
      <c r="Y55">
        <f>HYPERLINK("https://klasma.github.io/Logging_VETLANDA/tillsynsmail/A 64029-2021.docx", "A 64029-2021")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45186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68822-2021.xlsx", "A 68822-2021")</f>
        <v/>
      </c>
      <c r="T56">
        <f>HYPERLINK("https://klasma.github.io/Logging_JONKOPING/kartor/A 68822-2021.png", "A 68822-2021")</f>
        <v/>
      </c>
      <c r="V56">
        <f>HYPERLINK("https://klasma.github.io/Logging_JONKOPING/klagomål/A 68822-2021.docx", "A 68822-2021")</f>
        <v/>
      </c>
      <c r="W56">
        <f>HYPERLINK("https://klasma.github.io/Logging_JONKOPING/klagomålsmail/A 68822-2021.docx", "A 68822-2021")</f>
        <v/>
      </c>
      <c r="X56">
        <f>HYPERLINK("https://klasma.github.io/Logging_JONKOPING/tillsyn/A 68822-2021.docx", "A 68822-2021")</f>
        <v/>
      </c>
      <c r="Y56">
        <f>HYPERLINK("https://klasma.github.io/Logging_JONKOPING/tillsynsmail/A 68822-2021.docx", "A 68822-2021")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45186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72401-2021.xlsx", "A 72401-2021")</f>
        <v/>
      </c>
      <c r="T57">
        <f>HYPERLINK("https://klasma.github.io/Logging_VETLANDA/kartor/A 72401-2021.png", "A 72401-2021")</f>
        <v/>
      </c>
      <c r="V57">
        <f>HYPERLINK("https://klasma.github.io/Logging_VETLANDA/klagomål/A 72401-2021.docx", "A 72401-2021")</f>
        <v/>
      </c>
      <c r="W57">
        <f>HYPERLINK("https://klasma.github.io/Logging_VETLANDA/klagomålsmail/A 72401-2021.docx", "A 72401-2021")</f>
        <v/>
      </c>
      <c r="X57">
        <f>HYPERLINK("https://klasma.github.io/Logging_VETLANDA/tillsyn/A 72401-2021.docx", "A 72401-2021")</f>
        <v/>
      </c>
      <c r="Y57">
        <f>HYPERLINK("https://klasma.github.io/Logging_VETLANDA/tillsynsmail/A 72401-2021.docx", "A 72401-2021")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45186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6799-2022.xlsx", "A 6799-2022")</f>
        <v/>
      </c>
      <c r="T58">
        <f>HYPERLINK("https://klasma.github.io/Logging_JONKOPING/kartor/A 6799-2022.png", "A 6799-2022")</f>
        <v/>
      </c>
      <c r="V58">
        <f>HYPERLINK("https://klasma.github.io/Logging_JONKOPING/klagomål/A 6799-2022.docx", "A 6799-2022")</f>
        <v/>
      </c>
      <c r="W58">
        <f>HYPERLINK("https://klasma.github.io/Logging_JONKOPING/klagomålsmail/A 6799-2022.docx", "A 6799-2022")</f>
        <v/>
      </c>
      <c r="X58">
        <f>HYPERLINK("https://klasma.github.io/Logging_JONKOPING/tillsyn/A 6799-2022.docx", "A 6799-2022")</f>
        <v/>
      </c>
      <c r="Y58">
        <f>HYPERLINK("https://klasma.github.io/Logging_JONKOPING/tillsynsmail/A 6799-2022.docx", "A 6799-2022")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45186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6747-2022.xlsx", "A 6747-2022")</f>
        <v/>
      </c>
      <c r="T59">
        <f>HYPERLINK("https://klasma.github.io/Logging_ANEBY/kartor/A 6747-2022.png", "A 6747-2022")</f>
        <v/>
      </c>
      <c r="V59">
        <f>HYPERLINK("https://klasma.github.io/Logging_ANEBY/klagomål/A 6747-2022.docx", "A 6747-2022")</f>
        <v/>
      </c>
      <c r="W59">
        <f>HYPERLINK("https://klasma.github.io/Logging_ANEBY/klagomålsmail/A 6747-2022.docx", "A 6747-2022")</f>
        <v/>
      </c>
      <c r="X59">
        <f>HYPERLINK("https://klasma.github.io/Logging_ANEBY/tillsyn/A 6747-2022.docx", "A 6747-2022")</f>
        <v/>
      </c>
      <c r="Y59">
        <f>HYPERLINK("https://klasma.github.io/Logging_ANEBY/tillsynsmail/A 6747-2022.docx", "A 6747-2022")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45186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28832-2022.xlsx", "A 28832-2022")</f>
        <v/>
      </c>
      <c r="T60">
        <f>HYPERLINK("https://klasma.github.io/Logging_HABO/kartor/A 28832-2022.png", "A 28832-2022")</f>
        <v/>
      </c>
      <c r="V60">
        <f>HYPERLINK("https://klasma.github.io/Logging_HABO/klagomål/A 28832-2022.docx", "A 28832-2022")</f>
        <v/>
      </c>
      <c r="W60">
        <f>HYPERLINK("https://klasma.github.io/Logging_HABO/klagomålsmail/A 28832-2022.docx", "A 28832-2022")</f>
        <v/>
      </c>
      <c r="X60">
        <f>HYPERLINK("https://klasma.github.io/Logging_HABO/tillsyn/A 28832-2022.docx", "A 28832-2022")</f>
        <v/>
      </c>
      <c r="Y60">
        <f>HYPERLINK("https://klasma.github.io/Logging_HABO/tillsynsmail/A 28832-2022.docx", "A 28832-2022")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45186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38797-2022.xlsx", "A 38797-2022")</f>
        <v/>
      </c>
      <c r="T61">
        <f>HYPERLINK("https://klasma.github.io/Logging_ANEBY/kartor/A 38797-2022.png", "A 38797-2022")</f>
        <v/>
      </c>
      <c r="V61">
        <f>HYPERLINK("https://klasma.github.io/Logging_ANEBY/klagomål/A 38797-2022.docx", "A 38797-2022")</f>
        <v/>
      </c>
      <c r="W61">
        <f>HYPERLINK("https://klasma.github.io/Logging_ANEBY/klagomålsmail/A 38797-2022.docx", "A 38797-2022")</f>
        <v/>
      </c>
      <c r="X61">
        <f>HYPERLINK("https://klasma.github.io/Logging_ANEBY/tillsyn/A 38797-2022.docx", "A 38797-2022")</f>
        <v/>
      </c>
      <c r="Y61">
        <f>HYPERLINK("https://klasma.github.io/Logging_ANEBY/tillsynsmail/A 38797-2022.docx", "A 38797-2022")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45186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39569-2022.xlsx", "A 39569-2022")</f>
        <v/>
      </c>
      <c r="T62">
        <f>HYPERLINK("https://klasma.github.io/Logging_VAGGERYD/kartor/A 39569-2022.png", "A 39569-2022")</f>
        <v/>
      </c>
      <c r="V62">
        <f>HYPERLINK("https://klasma.github.io/Logging_VAGGERYD/klagomål/A 39569-2022.docx", "A 39569-2022")</f>
        <v/>
      </c>
      <c r="W62">
        <f>HYPERLINK("https://klasma.github.io/Logging_VAGGERYD/klagomålsmail/A 39569-2022.docx", "A 39569-2022")</f>
        <v/>
      </c>
      <c r="X62">
        <f>HYPERLINK("https://klasma.github.io/Logging_VAGGERYD/tillsyn/A 39569-2022.docx", "A 39569-2022")</f>
        <v/>
      </c>
      <c r="Y62">
        <f>HYPERLINK("https://klasma.github.io/Logging_VAGGERYD/tillsynsmail/A 39569-2022.docx", "A 39569-2022")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45186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39819-2022.xlsx", "A 39819-2022")</f>
        <v/>
      </c>
      <c r="T63">
        <f>HYPERLINK("https://klasma.github.io/Logging_VETLANDA/kartor/A 39819-2022.png", "A 39819-2022")</f>
        <v/>
      </c>
      <c r="V63">
        <f>HYPERLINK("https://klasma.github.io/Logging_VETLANDA/klagomål/A 39819-2022.docx", "A 39819-2022")</f>
        <v/>
      </c>
      <c r="W63">
        <f>HYPERLINK("https://klasma.github.io/Logging_VETLANDA/klagomålsmail/A 39819-2022.docx", "A 39819-2022")</f>
        <v/>
      </c>
      <c r="X63">
        <f>HYPERLINK("https://klasma.github.io/Logging_VETLANDA/tillsyn/A 39819-2022.docx", "A 39819-2022")</f>
        <v/>
      </c>
      <c r="Y63">
        <f>HYPERLINK("https://klasma.github.io/Logging_VETLANDA/tillsynsmail/A 39819-2022.docx", "A 39819-2022")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45186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55943-2022.xlsx", "A 55943-2022")</f>
        <v/>
      </c>
      <c r="T64">
        <f>HYPERLINK("https://klasma.github.io/Logging_VETLANDA/kartor/A 55943-2022.png", "A 55943-2022")</f>
        <v/>
      </c>
      <c r="U64">
        <f>HYPERLINK("https://klasma.github.io/Logging_VETLANDA/knärot/A 55943-2022.png", "A 55943-2022")</f>
        <v/>
      </c>
      <c r="V64">
        <f>HYPERLINK("https://klasma.github.io/Logging_VETLANDA/klagomål/A 55943-2022.docx", "A 55943-2022")</f>
        <v/>
      </c>
      <c r="W64">
        <f>HYPERLINK("https://klasma.github.io/Logging_VETLANDA/klagomålsmail/A 55943-2022.docx", "A 55943-2022")</f>
        <v/>
      </c>
      <c r="X64">
        <f>HYPERLINK("https://klasma.github.io/Logging_VETLANDA/tillsyn/A 55943-2022.docx", "A 55943-2022")</f>
        <v/>
      </c>
      <c r="Y64">
        <f>HYPERLINK("https://klasma.github.io/Logging_VETLANDA/tillsynsmail/A 55943-2022.docx", "A 55943-2022")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45186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58768-2022.xlsx", "A 58768-2022")</f>
        <v/>
      </c>
      <c r="T65">
        <f>HYPERLINK("https://klasma.github.io/Logging_VETLANDA/kartor/A 58768-2022.png", "A 58768-2022")</f>
        <v/>
      </c>
      <c r="V65">
        <f>HYPERLINK("https://klasma.github.io/Logging_VETLANDA/klagomål/A 58768-2022.docx", "A 58768-2022")</f>
        <v/>
      </c>
      <c r="W65">
        <f>HYPERLINK("https://klasma.github.io/Logging_VETLANDA/klagomålsmail/A 58768-2022.docx", "A 58768-2022")</f>
        <v/>
      </c>
      <c r="X65">
        <f>HYPERLINK("https://klasma.github.io/Logging_VETLANDA/tillsyn/A 58768-2022.docx", "A 58768-2022")</f>
        <v/>
      </c>
      <c r="Y65">
        <f>HYPERLINK("https://klasma.github.io/Logging_VETLANDA/tillsynsmail/A 58768-2022.docx", "A 58768-2022")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45186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4906-2023.xlsx", "A 4906-2023")</f>
        <v/>
      </c>
      <c r="T66">
        <f>HYPERLINK("https://klasma.github.io/Logging_NASSJO/kartor/A 4906-2023.png", "A 4906-2023")</f>
        <v/>
      </c>
      <c r="V66">
        <f>HYPERLINK("https://klasma.github.io/Logging_NASSJO/klagomål/A 4906-2023.docx", "A 4906-2023")</f>
        <v/>
      </c>
      <c r="W66">
        <f>HYPERLINK("https://klasma.github.io/Logging_NASSJO/klagomålsmail/A 4906-2023.docx", "A 4906-2023")</f>
        <v/>
      </c>
      <c r="X66">
        <f>HYPERLINK("https://klasma.github.io/Logging_NASSJO/tillsyn/A 4906-2023.docx", "A 4906-2023")</f>
        <v/>
      </c>
      <c r="Y66">
        <f>HYPERLINK("https://klasma.github.io/Logging_NASSJO/tillsynsmail/A 4906-2023.docx", "A 4906-2023")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45186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8179-2023.xlsx", "A 8179-2023")</f>
        <v/>
      </c>
      <c r="T67">
        <f>HYPERLINK("https://klasma.github.io/Logging_JONKOPING/kartor/A 8179-2023.png", "A 8179-2023")</f>
        <v/>
      </c>
      <c r="V67">
        <f>HYPERLINK("https://klasma.github.io/Logging_JONKOPING/klagomål/A 8179-2023.docx", "A 8179-2023")</f>
        <v/>
      </c>
      <c r="W67">
        <f>HYPERLINK("https://klasma.github.io/Logging_JONKOPING/klagomålsmail/A 8179-2023.docx", "A 8179-2023")</f>
        <v/>
      </c>
      <c r="X67">
        <f>HYPERLINK("https://klasma.github.io/Logging_JONKOPING/tillsyn/A 8179-2023.docx", "A 8179-2023")</f>
        <v/>
      </c>
      <c r="Y67">
        <f>HYPERLINK("https://klasma.github.io/Logging_JONKOPING/tillsynsmail/A 8179-2023.docx", "A 8179-2023")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45186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16602-2023.xlsx", "A 16602-2023")</f>
        <v/>
      </c>
      <c r="T68">
        <f>HYPERLINK("https://klasma.github.io/Logging_TRANAS/kartor/A 16602-2023.png", "A 16602-2023")</f>
        <v/>
      </c>
      <c r="V68">
        <f>HYPERLINK("https://klasma.github.io/Logging_TRANAS/klagomål/A 16602-2023.docx", "A 16602-2023")</f>
        <v/>
      </c>
      <c r="W68">
        <f>HYPERLINK("https://klasma.github.io/Logging_TRANAS/klagomålsmail/A 16602-2023.docx", "A 16602-2023")</f>
        <v/>
      </c>
      <c r="X68">
        <f>HYPERLINK("https://klasma.github.io/Logging_TRANAS/tillsyn/A 16602-2023.docx", "A 16602-2023")</f>
        <v/>
      </c>
      <c r="Y68">
        <f>HYPERLINK("https://klasma.github.io/Logging_TRANAS/tillsynsmail/A 16602-2023.docx", "A 16602-2023")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45186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23627-2023.xlsx", "A 23627-2023")</f>
        <v/>
      </c>
      <c r="T69">
        <f>HYPERLINK("https://klasma.github.io/Logging_VARNAMO/kartor/A 23627-2023.png", "A 23627-2023")</f>
        <v/>
      </c>
      <c r="V69">
        <f>HYPERLINK("https://klasma.github.io/Logging_VARNAMO/klagomål/A 23627-2023.docx", "A 23627-2023")</f>
        <v/>
      </c>
      <c r="W69">
        <f>HYPERLINK("https://klasma.github.io/Logging_VARNAMO/klagomålsmail/A 23627-2023.docx", "A 23627-2023")</f>
        <v/>
      </c>
      <c r="X69">
        <f>HYPERLINK("https://klasma.github.io/Logging_VARNAMO/tillsyn/A 23627-2023.docx", "A 23627-2023")</f>
        <v/>
      </c>
      <c r="Y69">
        <f>HYPERLINK("https://klasma.github.io/Logging_VARNAMO/tillsynsmail/A 23627-2023.docx", "A 23627-2023")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45186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33368-2023.xlsx", "A 33368-2023")</f>
        <v/>
      </c>
      <c r="T70">
        <f>HYPERLINK("https://klasma.github.io/Logging_VAGGERYD/kartor/A 33368-2023.png", "A 33368-2023")</f>
        <v/>
      </c>
      <c r="V70">
        <f>HYPERLINK("https://klasma.github.io/Logging_VAGGERYD/klagomål/A 33368-2023.docx", "A 33368-2023")</f>
        <v/>
      </c>
      <c r="W70">
        <f>HYPERLINK("https://klasma.github.io/Logging_VAGGERYD/klagomålsmail/A 33368-2023.docx", "A 33368-2023")</f>
        <v/>
      </c>
      <c r="X70">
        <f>HYPERLINK("https://klasma.github.io/Logging_VAGGERYD/tillsyn/A 33368-2023.docx", "A 33368-2023")</f>
        <v/>
      </c>
      <c r="Y70">
        <f>HYPERLINK("https://klasma.github.io/Logging_VAGGERYD/tillsynsmail/A 33368-2023.docx", "A 33368-2023")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45186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35412-2018.xlsx", "A 35412-2018")</f>
        <v/>
      </c>
      <c r="T71">
        <f>HYPERLINK("https://klasma.github.io/Logging_JONKOPING/kartor/A 35412-2018.png", "A 35412-2018")</f>
        <v/>
      </c>
      <c r="V71">
        <f>HYPERLINK("https://klasma.github.io/Logging_JONKOPING/klagomål/A 35412-2018.docx", "A 35412-2018")</f>
        <v/>
      </c>
      <c r="W71">
        <f>HYPERLINK("https://klasma.github.io/Logging_JONKOPING/klagomålsmail/A 35412-2018.docx", "A 35412-2018")</f>
        <v/>
      </c>
      <c r="X71">
        <f>HYPERLINK("https://klasma.github.io/Logging_JONKOPING/tillsyn/A 35412-2018.docx", "A 35412-2018")</f>
        <v/>
      </c>
      <c r="Y71">
        <f>HYPERLINK("https://klasma.github.io/Logging_JONKOPING/tillsynsmail/A 35412-2018.docx", "A 35412-2018")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45186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38266-2018.xlsx", "A 38266-2018")</f>
        <v/>
      </c>
      <c r="T72">
        <f>HYPERLINK("https://klasma.github.io/Logging_VETLANDA/kartor/A 38266-2018.png", "A 38266-2018")</f>
        <v/>
      </c>
      <c r="V72">
        <f>HYPERLINK("https://klasma.github.io/Logging_VETLANDA/klagomål/A 38266-2018.docx", "A 38266-2018")</f>
        <v/>
      </c>
      <c r="W72">
        <f>HYPERLINK("https://klasma.github.io/Logging_VETLANDA/klagomålsmail/A 38266-2018.docx", "A 38266-2018")</f>
        <v/>
      </c>
      <c r="X72">
        <f>HYPERLINK("https://klasma.github.io/Logging_VETLANDA/tillsyn/A 38266-2018.docx", "A 38266-2018")</f>
        <v/>
      </c>
      <c r="Y72">
        <f>HYPERLINK("https://klasma.github.io/Logging_VETLANDA/tillsynsmail/A 38266-2018.docx", "A 38266-2018")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45186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41207-2018.xlsx", "A 41207-2018")</f>
        <v/>
      </c>
      <c r="T73">
        <f>HYPERLINK("https://klasma.github.io/Logging_VARNAMO/kartor/A 41207-2018.png", "A 41207-2018")</f>
        <v/>
      </c>
      <c r="V73">
        <f>HYPERLINK("https://klasma.github.io/Logging_VARNAMO/klagomål/A 41207-2018.docx", "A 41207-2018")</f>
        <v/>
      </c>
      <c r="W73">
        <f>HYPERLINK("https://klasma.github.io/Logging_VARNAMO/klagomålsmail/A 41207-2018.docx", "A 41207-2018")</f>
        <v/>
      </c>
      <c r="X73">
        <f>HYPERLINK("https://klasma.github.io/Logging_VARNAMO/tillsyn/A 41207-2018.docx", "A 41207-2018")</f>
        <v/>
      </c>
      <c r="Y73">
        <f>HYPERLINK("https://klasma.github.io/Logging_VARNAMO/tillsynsmail/A 41207-2018.docx", "A 41207-2018")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45186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60744-2018.xlsx", "A 60744-2018")</f>
        <v/>
      </c>
      <c r="T74">
        <f>HYPERLINK("https://klasma.github.io/Logging_TRANAS/kartor/A 60744-2018.png", "A 60744-2018")</f>
        <v/>
      </c>
      <c r="V74">
        <f>HYPERLINK("https://klasma.github.io/Logging_TRANAS/klagomål/A 60744-2018.docx", "A 60744-2018")</f>
        <v/>
      </c>
      <c r="W74">
        <f>HYPERLINK("https://klasma.github.io/Logging_TRANAS/klagomålsmail/A 60744-2018.docx", "A 60744-2018")</f>
        <v/>
      </c>
      <c r="X74">
        <f>HYPERLINK("https://klasma.github.io/Logging_TRANAS/tillsyn/A 60744-2018.docx", "A 60744-2018")</f>
        <v/>
      </c>
      <c r="Y74">
        <f>HYPERLINK("https://klasma.github.io/Logging_TRANAS/tillsynsmail/A 60744-2018.docx", "A 60744-2018")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45186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10894-2019.xlsx", "A 10894-2019")</f>
        <v/>
      </c>
      <c r="T75">
        <f>HYPERLINK("https://klasma.github.io/Logging_EKSJO/kartor/A 10894-2019.png", "A 10894-2019")</f>
        <v/>
      </c>
      <c r="V75">
        <f>HYPERLINK("https://klasma.github.io/Logging_EKSJO/klagomål/A 10894-2019.docx", "A 10894-2019")</f>
        <v/>
      </c>
      <c r="W75">
        <f>HYPERLINK("https://klasma.github.io/Logging_EKSJO/klagomålsmail/A 10894-2019.docx", "A 10894-2019")</f>
        <v/>
      </c>
      <c r="X75">
        <f>HYPERLINK("https://klasma.github.io/Logging_EKSJO/tillsyn/A 10894-2019.docx", "A 10894-2019")</f>
        <v/>
      </c>
      <c r="Y75">
        <f>HYPERLINK("https://klasma.github.io/Logging_EKSJO/tillsynsmail/A 10894-2019.docx", "A 10894-2019")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45186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12025-2019.xlsx", "A 12025-2019")</f>
        <v/>
      </c>
      <c r="T76">
        <f>HYPERLINK("https://klasma.github.io/Logging_VETLANDA/kartor/A 12025-2019.png", "A 12025-2019")</f>
        <v/>
      </c>
      <c r="V76">
        <f>HYPERLINK("https://klasma.github.io/Logging_VETLANDA/klagomål/A 12025-2019.docx", "A 12025-2019")</f>
        <v/>
      </c>
      <c r="W76">
        <f>HYPERLINK("https://klasma.github.io/Logging_VETLANDA/klagomålsmail/A 12025-2019.docx", "A 12025-2019")</f>
        <v/>
      </c>
      <c r="X76">
        <f>HYPERLINK("https://klasma.github.io/Logging_VETLANDA/tillsyn/A 12025-2019.docx", "A 12025-2019")</f>
        <v/>
      </c>
      <c r="Y76">
        <f>HYPERLINK("https://klasma.github.io/Logging_VETLANDA/tillsynsmail/A 12025-2019.docx", "A 12025-2019")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45186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18024-2019.xlsx", "A 18024-2019")</f>
        <v/>
      </c>
      <c r="T77">
        <f>HYPERLINK("https://klasma.github.io/Logging_VETLANDA/kartor/A 18024-2019.png", "A 18024-2019")</f>
        <v/>
      </c>
      <c r="V77">
        <f>HYPERLINK("https://klasma.github.io/Logging_VETLANDA/klagomål/A 18024-2019.docx", "A 18024-2019")</f>
        <v/>
      </c>
      <c r="W77">
        <f>HYPERLINK("https://klasma.github.io/Logging_VETLANDA/klagomålsmail/A 18024-2019.docx", "A 18024-2019")</f>
        <v/>
      </c>
      <c r="X77">
        <f>HYPERLINK("https://klasma.github.io/Logging_VETLANDA/tillsyn/A 18024-2019.docx", "A 18024-2019")</f>
        <v/>
      </c>
      <c r="Y77">
        <f>HYPERLINK("https://klasma.github.io/Logging_VETLANDA/tillsynsmail/A 18024-2019.docx", "A 18024-2019")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45186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26553-2019.xlsx", "A 26553-2019")</f>
        <v/>
      </c>
      <c r="T78">
        <f>HYPERLINK("https://klasma.github.io/Logging_JONKOPING/kartor/A 26553-2019.png", "A 26553-2019")</f>
        <v/>
      </c>
      <c r="U78">
        <f>HYPERLINK("https://klasma.github.io/Logging_JONKOPING/knärot/A 26553-2019.png", "A 26553-2019")</f>
        <v/>
      </c>
      <c r="V78">
        <f>HYPERLINK("https://klasma.github.io/Logging_JONKOPING/klagomål/A 26553-2019.docx", "A 26553-2019")</f>
        <v/>
      </c>
      <c r="W78">
        <f>HYPERLINK("https://klasma.github.io/Logging_JONKOPING/klagomålsmail/A 26553-2019.docx", "A 26553-2019")</f>
        <v/>
      </c>
      <c r="X78">
        <f>HYPERLINK("https://klasma.github.io/Logging_JONKOPING/tillsyn/A 26553-2019.docx", "A 26553-2019")</f>
        <v/>
      </c>
      <c r="Y78">
        <f>HYPERLINK("https://klasma.github.io/Logging_JONKOPING/tillsynsmail/A 26553-2019.docx", "A 26553-2019")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45186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32503-2019.xlsx", "A 32503-2019")</f>
        <v/>
      </c>
      <c r="T79">
        <f>HYPERLINK("https://klasma.github.io/Logging_VETLANDA/kartor/A 32503-2019.png", "A 32503-2019")</f>
        <v/>
      </c>
      <c r="V79">
        <f>HYPERLINK("https://klasma.github.io/Logging_VETLANDA/klagomål/A 32503-2019.docx", "A 32503-2019")</f>
        <v/>
      </c>
      <c r="W79">
        <f>HYPERLINK("https://klasma.github.io/Logging_VETLANDA/klagomålsmail/A 32503-2019.docx", "A 32503-2019")</f>
        <v/>
      </c>
      <c r="X79">
        <f>HYPERLINK("https://klasma.github.io/Logging_VETLANDA/tillsyn/A 32503-2019.docx", "A 32503-2019")</f>
        <v/>
      </c>
      <c r="Y79">
        <f>HYPERLINK("https://klasma.github.io/Logging_VETLANDA/tillsynsmail/A 32503-2019.docx", "A 32503-2019")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45186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36871-2019.xlsx", "A 36871-2019")</f>
        <v/>
      </c>
      <c r="T80">
        <f>HYPERLINK("https://klasma.github.io/Logging_JONKOPING/kartor/A 36871-2019.png", "A 36871-2019")</f>
        <v/>
      </c>
      <c r="U80">
        <f>HYPERLINK("https://klasma.github.io/Logging_JONKOPING/knärot/A 36871-2019.png", "A 36871-2019")</f>
        <v/>
      </c>
      <c r="V80">
        <f>HYPERLINK("https://klasma.github.io/Logging_JONKOPING/klagomål/A 36871-2019.docx", "A 36871-2019")</f>
        <v/>
      </c>
      <c r="W80">
        <f>HYPERLINK("https://klasma.github.io/Logging_JONKOPING/klagomålsmail/A 36871-2019.docx", "A 36871-2019")</f>
        <v/>
      </c>
      <c r="X80">
        <f>HYPERLINK("https://klasma.github.io/Logging_JONKOPING/tillsyn/A 36871-2019.docx", "A 36871-2019")</f>
        <v/>
      </c>
      <c r="Y80">
        <f>HYPERLINK("https://klasma.github.io/Logging_JONKOPING/tillsynsmail/A 36871-2019.docx", "A 36871-2019")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45186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45348-2019.xlsx", "A 45348-2019")</f>
        <v/>
      </c>
      <c r="T81">
        <f>HYPERLINK("https://klasma.github.io/Logging_VETLANDA/kartor/A 45348-2019.png", "A 45348-2019")</f>
        <v/>
      </c>
      <c r="V81">
        <f>HYPERLINK("https://klasma.github.io/Logging_VETLANDA/klagomål/A 45348-2019.docx", "A 45348-2019")</f>
        <v/>
      </c>
      <c r="W81">
        <f>HYPERLINK("https://klasma.github.io/Logging_VETLANDA/klagomålsmail/A 45348-2019.docx", "A 45348-2019")</f>
        <v/>
      </c>
      <c r="X81">
        <f>HYPERLINK("https://klasma.github.io/Logging_VETLANDA/tillsyn/A 45348-2019.docx", "A 45348-2019")</f>
        <v/>
      </c>
      <c r="Y81">
        <f>HYPERLINK("https://klasma.github.io/Logging_VETLANDA/tillsynsmail/A 45348-2019.docx", "A 45348-2019")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45186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48284-2019.xlsx", "A 48284-2019")</f>
        <v/>
      </c>
      <c r="T82">
        <f>HYPERLINK("https://klasma.github.io/Logging_NASSJO/kartor/A 48284-2019.png", "A 48284-2019")</f>
        <v/>
      </c>
      <c r="V82">
        <f>HYPERLINK("https://klasma.github.io/Logging_NASSJO/klagomål/A 48284-2019.docx", "A 48284-2019")</f>
        <v/>
      </c>
      <c r="W82">
        <f>HYPERLINK("https://klasma.github.io/Logging_NASSJO/klagomålsmail/A 48284-2019.docx", "A 48284-2019")</f>
        <v/>
      </c>
      <c r="X82">
        <f>HYPERLINK("https://klasma.github.io/Logging_NASSJO/tillsyn/A 48284-2019.docx", "A 48284-2019")</f>
        <v/>
      </c>
      <c r="Y82">
        <f>HYPERLINK("https://klasma.github.io/Logging_NASSJO/tillsynsmail/A 48284-2019.docx", "A 48284-2019")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45186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62662-2019.xlsx", "A 62662-2019")</f>
        <v/>
      </c>
      <c r="T83">
        <f>HYPERLINK("https://klasma.github.io/Logging_EKSJO/kartor/A 62662-2019.png", "A 62662-2019")</f>
        <v/>
      </c>
      <c r="V83">
        <f>HYPERLINK("https://klasma.github.io/Logging_EKSJO/klagomål/A 62662-2019.docx", "A 62662-2019")</f>
        <v/>
      </c>
      <c r="W83">
        <f>HYPERLINK("https://klasma.github.io/Logging_EKSJO/klagomålsmail/A 62662-2019.docx", "A 62662-2019")</f>
        <v/>
      </c>
      <c r="X83">
        <f>HYPERLINK("https://klasma.github.io/Logging_EKSJO/tillsyn/A 62662-2019.docx", "A 62662-2019")</f>
        <v/>
      </c>
      <c r="Y83">
        <f>HYPERLINK("https://klasma.github.io/Logging_EKSJO/tillsynsmail/A 62662-2019.docx", "A 62662-2019")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45186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66666-2019.xlsx", "A 66666-2019")</f>
        <v/>
      </c>
      <c r="T84">
        <f>HYPERLINK("https://klasma.github.io/Logging_JONKOPING/kartor/A 66666-2019.png", "A 66666-2019")</f>
        <v/>
      </c>
      <c r="V84">
        <f>HYPERLINK("https://klasma.github.io/Logging_JONKOPING/klagomål/A 66666-2019.docx", "A 66666-2019")</f>
        <v/>
      </c>
      <c r="W84">
        <f>HYPERLINK("https://klasma.github.io/Logging_JONKOPING/klagomålsmail/A 66666-2019.docx", "A 66666-2019")</f>
        <v/>
      </c>
      <c r="X84">
        <f>HYPERLINK("https://klasma.github.io/Logging_JONKOPING/tillsyn/A 66666-2019.docx", "A 66666-2019")</f>
        <v/>
      </c>
      <c r="Y84">
        <f>HYPERLINK("https://klasma.github.io/Logging_JONKOPING/tillsynsmail/A 66666-2019.docx", "A 66666-2019")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45186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8074-2020.xlsx", "A 8074-2020")</f>
        <v/>
      </c>
      <c r="T85">
        <f>HYPERLINK("https://klasma.github.io/Logging_MULLSJO/kartor/A 8074-2020.png", "A 8074-2020")</f>
        <v/>
      </c>
      <c r="V85">
        <f>HYPERLINK("https://klasma.github.io/Logging_MULLSJO/klagomål/A 8074-2020.docx", "A 8074-2020")</f>
        <v/>
      </c>
      <c r="W85">
        <f>HYPERLINK("https://klasma.github.io/Logging_MULLSJO/klagomålsmail/A 8074-2020.docx", "A 8074-2020")</f>
        <v/>
      </c>
      <c r="X85">
        <f>HYPERLINK("https://klasma.github.io/Logging_MULLSJO/tillsyn/A 8074-2020.docx", "A 8074-2020")</f>
        <v/>
      </c>
      <c r="Y85">
        <f>HYPERLINK("https://klasma.github.io/Logging_MULLSJO/tillsynsmail/A 8074-2020.docx", "A 8074-2020")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45186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16952-2020.xlsx", "A 16952-2020")</f>
        <v/>
      </c>
      <c r="T86">
        <f>HYPERLINK("https://klasma.github.io/Logging_VETLANDA/kartor/A 16952-2020.png", "A 16952-2020")</f>
        <v/>
      </c>
      <c r="V86">
        <f>HYPERLINK("https://klasma.github.io/Logging_VETLANDA/klagomål/A 16952-2020.docx", "A 16952-2020")</f>
        <v/>
      </c>
      <c r="W86">
        <f>HYPERLINK("https://klasma.github.io/Logging_VETLANDA/klagomålsmail/A 16952-2020.docx", "A 16952-2020")</f>
        <v/>
      </c>
      <c r="X86">
        <f>HYPERLINK("https://klasma.github.io/Logging_VETLANDA/tillsyn/A 16952-2020.docx", "A 16952-2020")</f>
        <v/>
      </c>
      <c r="Y86">
        <f>HYPERLINK("https://klasma.github.io/Logging_VETLANDA/tillsynsmail/A 16952-2020.docx", "A 16952-2020")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45186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16652-2020.xlsx", "A 16652-2020")</f>
        <v/>
      </c>
      <c r="T87">
        <f>HYPERLINK("https://klasma.github.io/Logging_JONKOPING/kartor/A 16652-2020.png", "A 16652-2020")</f>
        <v/>
      </c>
      <c r="V87">
        <f>HYPERLINK("https://klasma.github.io/Logging_JONKOPING/klagomål/A 16652-2020.docx", "A 16652-2020")</f>
        <v/>
      </c>
      <c r="W87">
        <f>HYPERLINK("https://klasma.github.io/Logging_JONKOPING/klagomålsmail/A 16652-2020.docx", "A 16652-2020")</f>
        <v/>
      </c>
      <c r="X87">
        <f>HYPERLINK("https://klasma.github.io/Logging_JONKOPING/tillsyn/A 16652-2020.docx", "A 16652-2020")</f>
        <v/>
      </c>
      <c r="Y87">
        <f>HYPERLINK("https://klasma.github.io/Logging_JONKOPING/tillsynsmail/A 16652-2020.docx", "A 16652-2020")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45186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22662-2020.xlsx", "A 22662-2020")</f>
        <v/>
      </c>
      <c r="T88">
        <f>HYPERLINK("https://klasma.github.io/Logging_SAVSJO/kartor/A 22662-2020.png", "A 22662-2020")</f>
        <v/>
      </c>
      <c r="V88">
        <f>HYPERLINK("https://klasma.github.io/Logging_SAVSJO/klagomål/A 22662-2020.docx", "A 22662-2020")</f>
        <v/>
      </c>
      <c r="W88">
        <f>HYPERLINK("https://klasma.github.io/Logging_SAVSJO/klagomålsmail/A 22662-2020.docx", "A 22662-2020")</f>
        <v/>
      </c>
      <c r="X88">
        <f>HYPERLINK("https://klasma.github.io/Logging_SAVSJO/tillsyn/A 22662-2020.docx", "A 22662-2020")</f>
        <v/>
      </c>
      <c r="Y88">
        <f>HYPERLINK("https://klasma.github.io/Logging_SAVSJO/tillsynsmail/A 22662-2020.docx", "A 22662-2020")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45186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22660-2020.xlsx", "A 22660-2020")</f>
        <v/>
      </c>
      <c r="T89">
        <f>HYPERLINK("https://klasma.github.io/Logging_SAVSJO/kartor/A 22660-2020.png", "A 22660-2020")</f>
        <v/>
      </c>
      <c r="V89">
        <f>HYPERLINK("https://klasma.github.io/Logging_SAVSJO/klagomål/A 22660-2020.docx", "A 22660-2020")</f>
        <v/>
      </c>
      <c r="W89">
        <f>HYPERLINK("https://klasma.github.io/Logging_SAVSJO/klagomålsmail/A 22660-2020.docx", "A 22660-2020")</f>
        <v/>
      </c>
      <c r="X89">
        <f>HYPERLINK("https://klasma.github.io/Logging_SAVSJO/tillsyn/A 22660-2020.docx", "A 22660-2020")</f>
        <v/>
      </c>
      <c r="Y89">
        <f>HYPERLINK("https://klasma.github.io/Logging_SAVSJO/tillsynsmail/A 22660-2020.docx", "A 22660-2020")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45186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29939-2020.xlsx", "A 29939-2020")</f>
        <v/>
      </c>
      <c r="T90">
        <f>HYPERLINK("https://klasma.github.io/Logging_VETLANDA/kartor/A 29939-2020.png", "A 29939-2020")</f>
        <v/>
      </c>
      <c r="V90">
        <f>HYPERLINK("https://klasma.github.io/Logging_VETLANDA/klagomål/A 29939-2020.docx", "A 29939-2020")</f>
        <v/>
      </c>
      <c r="W90">
        <f>HYPERLINK("https://klasma.github.io/Logging_VETLANDA/klagomålsmail/A 29939-2020.docx", "A 29939-2020")</f>
        <v/>
      </c>
      <c r="X90">
        <f>HYPERLINK("https://klasma.github.io/Logging_VETLANDA/tillsyn/A 29939-2020.docx", "A 29939-2020")</f>
        <v/>
      </c>
      <c r="Y90">
        <f>HYPERLINK("https://klasma.github.io/Logging_VETLANDA/tillsynsmail/A 29939-2020.docx", "A 29939-2020")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45186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36233-2020.xlsx", "A 36233-2020")</f>
        <v/>
      </c>
      <c r="T91">
        <f>HYPERLINK("https://klasma.github.io/Logging_VETLANDA/kartor/A 36233-2020.png", "A 36233-2020")</f>
        <v/>
      </c>
      <c r="V91">
        <f>HYPERLINK("https://klasma.github.io/Logging_VETLANDA/klagomål/A 36233-2020.docx", "A 36233-2020")</f>
        <v/>
      </c>
      <c r="W91">
        <f>HYPERLINK("https://klasma.github.io/Logging_VETLANDA/klagomålsmail/A 36233-2020.docx", "A 36233-2020")</f>
        <v/>
      </c>
      <c r="X91">
        <f>HYPERLINK("https://klasma.github.io/Logging_VETLANDA/tillsyn/A 36233-2020.docx", "A 36233-2020")</f>
        <v/>
      </c>
      <c r="Y91">
        <f>HYPERLINK("https://klasma.github.io/Logging_VETLANDA/tillsynsmail/A 36233-2020.docx", "A 36233-2020")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45186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46397-2020.xlsx", "A 46397-2020")</f>
        <v/>
      </c>
      <c r="T92">
        <f>HYPERLINK("https://klasma.github.io/Logging_JONKOPING/kartor/A 46397-2020.png", "A 46397-2020")</f>
        <v/>
      </c>
      <c r="V92">
        <f>HYPERLINK("https://klasma.github.io/Logging_JONKOPING/klagomål/A 46397-2020.docx", "A 46397-2020")</f>
        <v/>
      </c>
      <c r="W92">
        <f>HYPERLINK("https://klasma.github.io/Logging_JONKOPING/klagomålsmail/A 46397-2020.docx", "A 46397-2020")</f>
        <v/>
      </c>
      <c r="X92">
        <f>HYPERLINK("https://klasma.github.io/Logging_JONKOPING/tillsyn/A 46397-2020.docx", "A 46397-2020")</f>
        <v/>
      </c>
      <c r="Y92">
        <f>HYPERLINK("https://klasma.github.io/Logging_JONKOPING/tillsynsmail/A 46397-2020.docx", "A 46397-2020")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45186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59687-2020.xlsx", "A 59687-2020")</f>
        <v/>
      </c>
      <c r="T93">
        <f>HYPERLINK("https://klasma.github.io/Logging_JONKOPING/kartor/A 59687-2020.png", "A 59687-2020")</f>
        <v/>
      </c>
      <c r="V93">
        <f>HYPERLINK("https://klasma.github.io/Logging_JONKOPING/klagomål/A 59687-2020.docx", "A 59687-2020")</f>
        <v/>
      </c>
      <c r="W93">
        <f>HYPERLINK("https://klasma.github.io/Logging_JONKOPING/klagomålsmail/A 59687-2020.docx", "A 59687-2020")</f>
        <v/>
      </c>
      <c r="X93">
        <f>HYPERLINK("https://klasma.github.io/Logging_JONKOPING/tillsyn/A 59687-2020.docx", "A 59687-2020")</f>
        <v/>
      </c>
      <c r="Y93">
        <f>HYPERLINK("https://klasma.github.io/Logging_JONKOPING/tillsynsmail/A 59687-2020.docx", "A 59687-2020")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45186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59975-2020.xlsx", "A 59975-2020")</f>
        <v/>
      </c>
      <c r="T94">
        <f>HYPERLINK("https://klasma.github.io/Logging_ANEBY/kartor/A 59975-2020.png", "A 59975-2020")</f>
        <v/>
      </c>
      <c r="U94">
        <f>HYPERLINK("https://klasma.github.io/Logging_ANEBY/knärot/A 59975-2020.png", "A 59975-2020")</f>
        <v/>
      </c>
      <c r="V94">
        <f>HYPERLINK("https://klasma.github.io/Logging_ANEBY/klagomål/A 59975-2020.docx", "A 59975-2020")</f>
        <v/>
      </c>
      <c r="W94">
        <f>HYPERLINK("https://klasma.github.io/Logging_ANEBY/klagomålsmail/A 59975-2020.docx", "A 59975-2020")</f>
        <v/>
      </c>
      <c r="X94">
        <f>HYPERLINK("https://klasma.github.io/Logging_ANEBY/tillsyn/A 59975-2020.docx", "A 59975-2020")</f>
        <v/>
      </c>
      <c r="Y94">
        <f>HYPERLINK("https://klasma.github.io/Logging_ANEBY/tillsynsmail/A 59975-2020.docx", "A 59975-2020")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45186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66627-2020.xlsx", "A 66627-2020")</f>
        <v/>
      </c>
      <c r="T95">
        <f>HYPERLINK("https://klasma.github.io/Logging_NASSJO/kartor/A 66627-2020.png", "A 66627-2020")</f>
        <v/>
      </c>
      <c r="U95">
        <f>HYPERLINK("https://klasma.github.io/Logging_NASSJO/knärot/A 66627-2020.png", "A 66627-2020")</f>
        <v/>
      </c>
      <c r="V95">
        <f>HYPERLINK("https://klasma.github.io/Logging_NASSJO/klagomål/A 66627-2020.docx", "A 66627-2020")</f>
        <v/>
      </c>
      <c r="W95">
        <f>HYPERLINK("https://klasma.github.io/Logging_NASSJO/klagomålsmail/A 66627-2020.docx", "A 66627-2020")</f>
        <v/>
      </c>
      <c r="X95">
        <f>HYPERLINK("https://klasma.github.io/Logging_NASSJO/tillsyn/A 66627-2020.docx", "A 66627-2020")</f>
        <v/>
      </c>
      <c r="Y95">
        <f>HYPERLINK("https://klasma.github.io/Logging_NASSJO/tillsynsmail/A 66627-2020.docx", "A 66627-2020")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45186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882-2021.xlsx", "A 882-2021")</f>
        <v/>
      </c>
      <c r="T96">
        <f>HYPERLINK("https://klasma.github.io/Logging_VETLANDA/kartor/A 882-2021.png", "A 882-2021")</f>
        <v/>
      </c>
      <c r="V96">
        <f>HYPERLINK("https://klasma.github.io/Logging_VETLANDA/klagomål/A 882-2021.docx", "A 882-2021")</f>
        <v/>
      </c>
      <c r="W96">
        <f>HYPERLINK("https://klasma.github.io/Logging_VETLANDA/klagomålsmail/A 882-2021.docx", "A 882-2021")</f>
        <v/>
      </c>
      <c r="X96">
        <f>HYPERLINK("https://klasma.github.io/Logging_VETLANDA/tillsyn/A 882-2021.docx", "A 882-2021")</f>
        <v/>
      </c>
      <c r="Y96">
        <f>HYPERLINK("https://klasma.github.io/Logging_VETLANDA/tillsynsmail/A 882-2021.docx", "A 882-2021")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45186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10009-2021.xlsx", "A 10009-2021")</f>
        <v/>
      </c>
      <c r="T97">
        <f>HYPERLINK("https://klasma.github.io/Logging_VETLANDA/kartor/A 10009-2021.png", "A 10009-2021")</f>
        <v/>
      </c>
      <c r="V97">
        <f>HYPERLINK("https://klasma.github.io/Logging_VETLANDA/klagomål/A 10009-2021.docx", "A 10009-2021")</f>
        <v/>
      </c>
      <c r="W97">
        <f>HYPERLINK("https://klasma.github.io/Logging_VETLANDA/klagomålsmail/A 10009-2021.docx", "A 10009-2021")</f>
        <v/>
      </c>
      <c r="X97">
        <f>HYPERLINK("https://klasma.github.io/Logging_VETLANDA/tillsyn/A 10009-2021.docx", "A 10009-2021")</f>
        <v/>
      </c>
      <c r="Y97">
        <f>HYPERLINK("https://klasma.github.io/Logging_VETLANDA/tillsynsmail/A 10009-2021.docx", "A 10009-2021")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45186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45507-2021.xlsx", "A 45507-2021")</f>
        <v/>
      </c>
      <c r="T98">
        <f>HYPERLINK("https://klasma.github.io/Logging_VETLANDA/kartor/A 45507-2021.png", "A 45507-2021")</f>
        <v/>
      </c>
      <c r="V98">
        <f>HYPERLINK("https://klasma.github.io/Logging_VETLANDA/klagomål/A 45507-2021.docx", "A 45507-2021")</f>
        <v/>
      </c>
      <c r="W98">
        <f>HYPERLINK("https://klasma.github.io/Logging_VETLANDA/klagomålsmail/A 45507-2021.docx", "A 45507-2021")</f>
        <v/>
      </c>
      <c r="X98">
        <f>HYPERLINK("https://klasma.github.io/Logging_VETLANDA/tillsyn/A 45507-2021.docx", "A 45507-2021")</f>
        <v/>
      </c>
      <c r="Y98">
        <f>HYPERLINK("https://klasma.github.io/Logging_VETLANDA/tillsynsmail/A 45507-2021.docx", "A 45507-2021")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45186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73375-2021.xlsx", "A 73375-2021")</f>
        <v/>
      </c>
      <c r="T99">
        <f>HYPERLINK("https://klasma.github.io/Logging_VETLANDA/kartor/A 73375-2021.png", "A 73375-2021")</f>
        <v/>
      </c>
      <c r="V99">
        <f>HYPERLINK("https://klasma.github.io/Logging_VETLANDA/klagomål/A 73375-2021.docx", "A 73375-2021")</f>
        <v/>
      </c>
      <c r="W99">
        <f>HYPERLINK("https://klasma.github.io/Logging_VETLANDA/klagomålsmail/A 73375-2021.docx", "A 73375-2021")</f>
        <v/>
      </c>
      <c r="X99">
        <f>HYPERLINK("https://klasma.github.io/Logging_VETLANDA/tillsyn/A 73375-2021.docx", "A 73375-2021")</f>
        <v/>
      </c>
      <c r="Y99">
        <f>HYPERLINK("https://klasma.github.io/Logging_VETLANDA/tillsynsmail/A 73375-2021.docx", "A 73375-2021")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45186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7078-2022.xlsx", "A 7078-2022")</f>
        <v/>
      </c>
      <c r="T100">
        <f>HYPERLINK("https://klasma.github.io/Logging_VETLANDA/kartor/A 7078-2022.png", "A 7078-2022")</f>
        <v/>
      </c>
      <c r="V100">
        <f>HYPERLINK("https://klasma.github.io/Logging_VETLANDA/klagomål/A 7078-2022.docx", "A 7078-2022")</f>
        <v/>
      </c>
      <c r="W100">
        <f>HYPERLINK("https://klasma.github.io/Logging_VETLANDA/klagomålsmail/A 7078-2022.docx", "A 7078-2022")</f>
        <v/>
      </c>
      <c r="X100">
        <f>HYPERLINK("https://klasma.github.io/Logging_VETLANDA/tillsyn/A 7078-2022.docx", "A 7078-2022")</f>
        <v/>
      </c>
      <c r="Y100">
        <f>HYPERLINK("https://klasma.github.io/Logging_VETLANDA/tillsynsmail/A 7078-2022.docx", "A 7078-2022")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45186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17130-2022.xlsx", "A 17130-2022")</f>
        <v/>
      </c>
      <c r="T101">
        <f>HYPERLINK("https://klasma.github.io/Logging_ANEBY/kartor/A 17130-2022.png", "A 17130-2022")</f>
        <v/>
      </c>
      <c r="V101">
        <f>HYPERLINK("https://klasma.github.io/Logging_ANEBY/klagomål/A 17130-2022.docx", "A 17130-2022")</f>
        <v/>
      </c>
      <c r="W101">
        <f>HYPERLINK("https://klasma.github.io/Logging_ANEBY/klagomålsmail/A 17130-2022.docx", "A 17130-2022")</f>
        <v/>
      </c>
      <c r="X101">
        <f>HYPERLINK("https://klasma.github.io/Logging_ANEBY/tillsyn/A 17130-2022.docx", "A 17130-2022")</f>
        <v/>
      </c>
      <c r="Y101">
        <f>HYPERLINK("https://klasma.github.io/Logging_ANEBY/tillsynsmail/A 17130-2022.docx", "A 17130-2022")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45186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22369-2022.xlsx", "A 22369-2022")</f>
        <v/>
      </c>
      <c r="T102">
        <f>HYPERLINK("https://klasma.github.io/Logging_VAGGERYD/kartor/A 22369-2022.png", "A 22369-2022")</f>
        <v/>
      </c>
      <c r="V102">
        <f>HYPERLINK("https://klasma.github.io/Logging_VAGGERYD/klagomål/A 22369-2022.docx", "A 22369-2022")</f>
        <v/>
      </c>
      <c r="W102">
        <f>HYPERLINK("https://klasma.github.io/Logging_VAGGERYD/klagomålsmail/A 22369-2022.docx", "A 22369-2022")</f>
        <v/>
      </c>
      <c r="X102">
        <f>HYPERLINK("https://klasma.github.io/Logging_VAGGERYD/tillsyn/A 22369-2022.docx", "A 22369-2022")</f>
        <v/>
      </c>
      <c r="Y102">
        <f>HYPERLINK("https://klasma.github.io/Logging_VAGGERYD/tillsynsmail/A 22369-2022.docx", "A 22369-2022")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45186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28842-2022.xlsx", "A 28842-2022")</f>
        <v/>
      </c>
      <c r="T103">
        <f>HYPERLINK("https://klasma.github.io/Logging_HABO/kartor/A 28842-2022.png", "A 28842-2022")</f>
        <v/>
      </c>
      <c r="V103">
        <f>HYPERLINK("https://klasma.github.io/Logging_HABO/klagomål/A 28842-2022.docx", "A 28842-2022")</f>
        <v/>
      </c>
      <c r="W103">
        <f>HYPERLINK("https://klasma.github.io/Logging_HABO/klagomålsmail/A 28842-2022.docx", "A 28842-2022")</f>
        <v/>
      </c>
      <c r="X103">
        <f>HYPERLINK("https://klasma.github.io/Logging_HABO/tillsyn/A 28842-2022.docx", "A 28842-2022")</f>
        <v/>
      </c>
      <c r="Y103">
        <f>HYPERLINK("https://klasma.github.io/Logging_HABO/tillsynsmail/A 28842-2022.docx", "A 28842-2022")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45186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28847-2022.xlsx", "A 28847-2022")</f>
        <v/>
      </c>
      <c r="T104">
        <f>HYPERLINK("https://klasma.github.io/Logging_HABO/kartor/A 28847-2022.png", "A 28847-2022")</f>
        <v/>
      </c>
      <c r="V104">
        <f>HYPERLINK("https://klasma.github.io/Logging_HABO/klagomål/A 28847-2022.docx", "A 28847-2022")</f>
        <v/>
      </c>
      <c r="W104">
        <f>HYPERLINK("https://klasma.github.io/Logging_HABO/klagomålsmail/A 28847-2022.docx", "A 28847-2022")</f>
        <v/>
      </c>
      <c r="X104">
        <f>HYPERLINK("https://klasma.github.io/Logging_HABO/tillsyn/A 28847-2022.docx", "A 28847-2022")</f>
        <v/>
      </c>
      <c r="Y104">
        <f>HYPERLINK("https://klasma.github.io/Logging_HABO/tillsynsmail/A 28847-2022.docx", "A 28847-2022")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45186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45525-2022.xlsx", "A 45525-2022")</f>
        <v/>
      </c>
      <c r="T105">
        <f>HYPERLINK("https://klasma.github.io/Logging_VARNAMO/kartor/A 45525-2022.png", "A 45525-2022")</f>
        <v/>
      </c>
      <c r="V105">
        <f>HYPERLINK("https://klasma.github.io/Logging_VARNAMO/klagomål/A 45525-2022.docx", "A 45525-2022")</f>
        <v/>
      </c>
      <c r="W105">
        <f>HYPERLINK("https://klasma.github.io/Logging_VARNAMO/klagomålsmail/A 45525-2022.docx", "A 45525-2022")</f>
        <v/>
      </c>
      <c r="X105">
        <f>HYPERLINK("https://klasma.github.io/Logging_VARNAMO/tillsyn/A 45525-2022.docx", "A 45525-2022")</f>
        <v/>
      </c>
      <c r="Y105">
        <f>HYPERLINK("https://klasma.github.io/Logging_VARNAMO/tillsynsmail/A 45525-2022.docx", "A 45525-2022")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45186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46272-2022.xlsx", "A 46272-2022")</f>
        <v/>
      </c>
      <c r="T106">
        <f>HYPERLINK("https://klasma.github.io/Logging_SAVSJO/kartor/A 46272-2022.png", "A 46272-2022")</f>
        <v/>
      </c>
      <c r="V106">
        <f>HYPERLINK("https://klasma.github.io/Logging_SAVSJO/klagomål/A 46272-2022.docx", "A 46272-2022")</f>
        <v/>
      </c>
      <c r="W106">
        <f>HYPERLINK("https://klasma.github.io/Logging_SAVSJO/klagomålsmail/A 46272-2022.docx", "A 46272-2022")</f>
        <v/>
      </c>
      <c r="X106">
        <f>HYPERLINK("https://klasma.github.io/Logging_SAVSJO/tillsyn/A 46272-2022.docx", "A 46272-2022")</f>
        <v/>
      </c>
      <c r="Y106">
        <f>HYPERLINK("https://klasma.github.io/Logging_SAVSJO/tillsynsmail/A 46272-2022.docx", "A 46272-2022")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45186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55701-2022.xlsx", "A 55701-2022")</f>
        <v/>
      </c>
      <c r="T107">
        <f>HYPERLINK("https://klasma.github.io/Logging_TRANAS/kartor/A 55701-2022.png", "A 55701-2022")</f>
        <v/>
      </c>
      <c r="V107">
        <f>HYPERLINK("https://klasma.github.io/Logging_TRANAS/klagomål/A 55701-2022.docx", "A 55701-2022")</f>
        <v/>
      </c>
      <c r="W107">
        <f>HYPERLINK("https://klasma.github.io/Logging_TRANAS/klagomålsmail/A 55701-2022.docx", "A 55701-2022")</f>
        <v/>
      </c>
      <c r="X107">
        <f>HYPERLINK("https://klasma.github.io/Logging_TRANAS/tillsyn/A 55701-2022.docx", "A 55701-2022")</f>
        <v/>
      </c>
      <c r="Y107">
        <f>HYPERLINK("https://klasma.github.io/Logging_TRANAS/tillsynsmail/A 55701-2022.docx", "A 55701-2022")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45186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58101-2022.xlsx", "A 58101-2022")</f>
        <v/>
      </c>
      <c r="T108">
        <f>HYPERLINK("https://klasma.github.io/Logging_SAVSJO/kartor/A 58101-2022.png", "A 58101-2022")</f>
        <v/>
      </c>
      <c r="V108">
        <f>HYPERLINK("https://klasma.github.io/Logging_SAVSJO/klagomål/A 58101-2022.docx", "A 58101-2022")</f>
        <v/>
      </c>
      <c r="W108">
        <f>HYPERLINK("https://klasma.github.io/Logging_SAVSJO/klagomålsmail/A 58101-2022.docx", "A 58101-2022")</f>
        <v/>
      </c>
      <c r="X108">
        <f>HYPERLINK("https://klasma.github.io/Logging_SAVSJO/tillsyn/A 58101-2022.docx", "A 58101-2022")</f>
        <v/>
      </c>
      <c r="Y108">
        <f>HYPERLINK("https://klasma.github.io/Logging_SAVSJO/tillsynsmail/A 58101-2022.docx", "A 58101-2022")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45186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59543-2022.xlsx", "A 59543-2022")</f>
        <v/>
      </c>
      <c r="T109">
        <f>HYPERLINK("https://klasma.github.io/Logging_TRANAS/kartor/A 59543-2022.png", "A 59543-2022")</f>
        <v/>
      </c>
      <c r="V109">
        <f>HYPERLINK("https://klasma.github.io/Logging_TRANAS/klagomål/A 59543-2022.docx", "A 59543-2022")</f>
        <v/>
      </c>
      <c r="W109">
        <f>HYPERLINK("https://klasma.github.io/Logging_TRANAS/klagomålsmail/A 59543-2022.docx", "A 59543-2022")</f>
        <v/>
      </c>
      <c r="X109">
        <f>HYPERLINK("https://klasma.github.io/Logging_TRANAS/tillsyn/A 59543-2022.docx", "A 59543-2022")</f>
        <v/>
      </c>
      <c r="Y109">
        <f>HYPERLINK("https://klasma.github.io/Logging_TRANAS/tillsynsmail/A 59543-2022.docx", "A 59543-2022")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45186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6307-2023.xlsx", "A 6307-2023")</f>
        <v/>
      </c>
      <c r="T110">
        <f>HYPERLINK("https://klasma.github.io/Logging_TRANAS/kartor/A 6307-2023.png", "A 6307-2023")</f>
        <v/>
      </c>
      <c r="V110">
        <f>HYPERLINK("https://klasma.github.io/Logging_TRANAS/klagomål/A 6307-2023.docx", "A 6307-2023")</f>
        <v/>
      </c>
      <c r="W110">
        <f>HYPERLINK("https://klasma.github.io/Logging_TRANAS/klagomålsmail/A 6307-2023.docx", "A 6307-2023")</f>
        <v/>
      </c>
      <c r="X110">
        <f>HYPERLINK("https://klasma.github.io/Logging_TRANAS/tillsyn/A 6307-2023.docx", "A 6307-2023")</f>
        <v/>
      </c>
      <c r="Y110">
        <f>HYPERLINK("https://klasma.github.io/Logging_TRANAS/tillsynsmail/A 6307-2023.docx", "A 6307-2023")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45186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7365-2023.xlsx", "A 7365-2023")</f>
        <v/>
      </c>
      <c r="T111">
        <f>HYPERLINK("https://klasma.github.io/Logging_MULLSJO/kartor/A 7365-2023.png", "A 7365-2023")</f>
        <v/>
      </c>
      <c r="V111">
        <f>HYPERLINK("https://klasma.github.io/Logging_MULLSJO/klagomål/A 7365-2023.docx", "A 7365-2023")</f>
        <v/>
      </c>
      <c r="W111">
        <f>HYPERLINK("https://klasma.github.io/Logging_MULLSJO/klagomålsmail/A 7365-2023.docx", "A 7365-2023")</f>
        <v/>
      </c>
      <c r="X111">
        <f>HYPERLINK("https://klasma.github.io/Logging_MULLSJO/tillsyn/A 7365-2023.docx", "A 7365-2023")</f>
        <v/>
      </c>
      <c r="Y111">
        <f>HYPERLINK("https://klasma.github.io/Logging_MULLSJO/tillsynsmail/A 7365-2023.docx", "A 7365-2023")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45186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10991-2023.xlsx", "A 10991-2023")</f>
        <v/>
      </c>
      <c r="T112">
        <f>HYPERLINK("https://klasma.github.io/Logging_JONKOPING/kartor/A 10991-2023.png", "A 10991-2023")</f>
        <v/>
      </c>
      <c r="V112">
        <f>HYPERLINK("https://klasma.github.io/Logging_JONKOPING/klagomål/A 10991-2023.docx", "A 10991-2023")</f>
        <v/>
      </c>
      <c r="W112">
        <f>HYPERLINK("https://klasma.github.io/Logging_JONKOPING/klagomålsmail/A 10991-2023.docx", "A 10991-2023")</f>
        <v/>
      </c>
      <c r="X112">
        <f>HYPERLINK("https://klasma.github.io/Logging_JONKOPING/tillsyn/A 10991-2023.docx", "A 10991-2023")</f>
        <v/>
      </c>
      <c r="Y112">
        <f>HYPERLINK("https://klasma.github.io/Logging_JONKOPING/tillsynsmail/A 10991-2023.docx", "A 10991-2023")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45186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14000-2023.xlsx", "A 14000-2023")</f>
        <v/>
      </c>
      <c r="T113">
        <f>HYPERLINK("https://klasma.github.io/Logging_VARNAMO/kartor/A 14000-2023.png", "A 14000-2023")</f>
        <v/>
      </c>
      <c r="V113">
        <f>HYPERLINK("https://klasma.github.io/Logging_VARNAMO/klagomål/A 14000-2023.docx", "A 14000-2023")</f>
        <v/>
      </c>
      <c r="W113">
        <f>HYPERLINK("https://klasma.github.io/Logging_VARNAMO/klagomålsmail/A 14000-2023.docx", "A 14000-2023")</f>
        <v/>
      </c>
      <c r="X113">
        <f>HYPERLINK("https://klasma.github.io/Logging_VARNAMO/tillsyn/A 14000-2023.docx", "A 14000-2023")</f>
        <v/>
      </c>
      <c r="Y113">
        <f>HYPERLINK("https://klasma.github.io/Logging_VARNAMO/tillsynsmail/A 14000-2023.docx", "A 14000-2023")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45186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17256-2023.xlsx", "A 17256-2023")</f>
        <v/>
      </c>
      <c r="T114">
        <f>HYPERLINK("https://klasma.github.io/Logging_VETLANDA/kartor/A 17256-2023.png", "A 17256-2023")</f>
        <v/>
      </c>
      <c r="V114">
        <f>HYPERLINK("https://klasma.github.io/Logging_VETLANDA/klagomål/A 17256-2023.docx", "A 17256-2023")</f>
        <v/>
      </c>
      <c r="W114">
        <f>HYPERLINK("https://klasma.github.io/Logging_VETLANDA/klagomålsmail/A 17256-2023.docx", "A 17256-2023")</f>
        <v/>
      </c>
      <c r="X114">
        <f>HYPERLINK("https://klasma.github.io/Logging_VETLANDA/tillsyn/A 17256-2023.docx", "A 17256-2023")</f>
        <v/>
      </c>
      <c r="Y114">
        <f>HYPERLINK("https://klasma.github.io/Logging_VETLANDA/tillsynsmail/A 17256-2023.docx", "A 17256-2023")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45186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18733-2023.xlsx", "A 18733-2023")</f>
        <v/>
      </c>
      <c r="T115">
        <f>HYPERLINK("https://klasma.github.io/Logging_NASSJO/kartor/A 18733-2023.png", "A 18733-2023")</f>
        <v/>
      </c>
      <c r="V115">
        <f>HYPERLINK("https://klasma.github.io/Logging_NASSJO/klagomål/A 18733-2023.docx", "A 18733-2023")</f>
        <v/>
      </c>
      <c r="W115">
        <f>HYPERLINK("https://klasma.github.io/Logging_NASSJO/klagomålsmail/A 18733-2023.docx", "A 18733-2023")</f>
        <v/>
      </c>
      <c r="X115">
        <f>HYPERLINK("https://klasma.github.io/Logging_NASSJO/tillsyn/A 18733-2023.docx", "A 18733-2023")</f>
        <v/>
      </c>
      <c r="Y115">
        <f>HYPERLINK("https://klasma.github.io/Logging_NASSJO/tillsynsmail/A 18733-2023.docx", "A 18733-2023")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45186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19201-2023.xlsx", "A 19201-2023")</f>
        <v/>
      </c>
      <c r="T116">
        <f>HYPERLINK("https://klasma.github.io/Logging_VETLANDA/kartor/A 19201-2023.png", "A 19201-2023")</f>
        <v/>
      </c>
      <c r="V116">
        <f>HYPERLINK("https://klasma.github.io/Logging_VETLANDA/klagomål/A 19201-2023.docx", "A 19201-2023")</f>
        <v/>
      </c>
      <c r="W116">
        <f>HYPERLINK("https://klasma.github.io/Logging_VETLANDA/klagomålsmail/A 19201-2023.docx", "A 19201-2023")</f>
        <v/>
      </c>
      <c r="X116">
        <f>HYPERLINK("https://klasma.github.io/Logging_VETLANDA/tillsyn/A 19201-2023.docx", "A 19201-2023")</f>
        <v/>
      </c>
      <c r="Y116">
        <f>HYPERLINK("https://klasma.github.io/Logging_VETLANDA/tillsynsmail/A 19201-2023.docx", "A 19201-2023")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45186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20756-2023.xlsx", "A 20756-2023")</f>
        <v/>
      </c>
      <c r="T117">
        <f>HYPERLINK("https://klasma.github.io/Logging_JONKOPING/kartor/A 20756-2023.png", "A 20756-2023")</f>
        <v/>
      </c>
      <c r="V117">
        <f>HYPERLINK("https://klasma.github.io/Logging_JONKOPING/klagomål/A 20756-2023.docx", "A 20756-2023")</f>
        <v/>
      </c>
      <c r="W117">
        <f>HYPERLINK("https://klasma.github.io/Logging_JONKOPING/klagomålsmail/A 20756-2023.docx", "A 20756-2023")</f>
        <v/>
      </c>
      <c r="X117">
        <f>HYPERLINK("https://klasma.github.io/Logging_JONKOPING/tillsyn/A 20756-2023.docx", "A 20756-2023")</f>
        <v/>
      </c>
      <c r="Y117">
        <f>HYPERLINK("https://klasma.github.io/Logging_JONKOPING/tillsynsmail/A 20756-2023.docx", "A 20756-2023")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45186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29486-2023.xlsx", "A 29486-2023")</f>
        <v/>
      </c>
      <c r="T118">
        <f>HYPERLINK("https://klasma.github.io/Logging_TRANAS/kartor/A 29486-2023.png", "A 29486-2023")</f>
        <v/>
      </c>
      <c r="V118">
        <f>HYPERLINK("https://klasma.github.io/Logging_TRANAS/klagomål/A 29486-2023.docx", "A 29486-2023")</f>
        <v/>
      </c>
      <c r="W118">
        <f>HYPERLINK("https://klasma.github.io/Logging_TRANAS/klagomålsmail/A 29486-2023.docx", "A 29486-2023")</f>
        <v/>
      </c>
      <c r="X118">
        <f>HYPERLINK("https://klasma.github.io/Logging_TRANAS/tillsyn/A 29486-2023.docx", "A 29486-2023")</f>
        <v/>
      </c>
      <c r="Y118">
        <f>HYPERLINK("https://klasma.github.io/Logging_TRANAS/tillsynsmail/A 29486-2023.docx", "A 29486-2023")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45186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29448-2023.xlsx", "A 29448-2023")</f>
        <v/>
      </c>
      <c r="T119">
        <f>HYPERLINK("https://klasma.github.io/Logging_HABO/kartor/A 29448-2023.png", "A 29448-2023")</f>
        <v/>
      </c>
      <c r="V119">
        <f>HYPERLINK("https://klasma.github.io/Logging_HABO/klagomål/A 29448-2023.docx", "A 29448-2023")</f>
        <v/>
      </c>
      <c r="W119">
        <f>HYPERLINK("https://klasma.github.io/Logging_HABO/klagomålsmail/A 29448-2023.docx", "A 29448-2023")</f>
        <v/>
      </c>
      <c r="X119">
        <f>HYPERLINK("https://klasma.github.io/Logging_HABO/tillsyn/A 29448-2023.docx", "A 29448-2023")</f>
        <v/>
      </c>
      <c r="Y119">
        <f>HYPERLINK("https://klasma.github.io/Logging_HABO/tillsynsmail/A 29448-2023.docx", "A 29448-2023")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45186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34244-2018.xlsx", "A 34244-2018")</f>
        <v/>
      </c>
      <c r="T120">
        <f>HYPERLINK("https://klasma.github.io/Logging_VETLANDA/kartor/A 34244-2018.png", "A 34244-2018")</f>
        <v/>
      </c>
      <c r="V120">
        <f>HYPERLINK("https://klasma.github.io/Logging_VETLANDA/klagomål/A 34244-2018.docx", "A 34244-2018")</f>
        <v/>
      </c>
      <c r="W120">
        <f>HYPERLINK("https://klasma.github.io/Logging_VETLANDA/klagomålsmail/A 34244-2018.docx", "A 34244-2018")</f>
        <v/>
      </c>
      <c r="X120">
        <f>HYPERLINK("https://klasma.github.io/Logging_VETLANDA/tillsyn/A 34244-2018.docx", "A 34244-2018")</f>
        <v/>
      </c>
      <c r="Y120">
        <f>HYPERLINK("https://klasma.github.io/Logging_VETLANDA/tillsynsmail/A 34244-2018.docx", "A 34244-2018")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45186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36024-2018.xlsx", "A 36024-2018")</f>
        <v/>
      </c>
      <c r="T121">
        <f>HYPERLINK("https://klasma.github.io/Logging_VETLANDA/kartor/A 36024-2018.png", "A 36024-2018")</f>
        <v/>
      </c>
      <c r="V121">
        <f>HYPERLINK("https://klasma.github.io/Logging_VETLANDA/klagomål/A 36024-2018.docx", "A 36024-2018")</f>
        <v/>
      </c>
      <c r="W121">
        <f>HYPERLINK("https://klasma.github.io/Logging_VETLANDA/klagomålsmail/A 36024-2018.docx", "A 36024-2018")</f>
        <v/>
      </c>
      <c r="X121">
        <f>HYPERLINK("https://klasma.github.io/Logging_VETLANDA/tillsyn/A 36024-2018.docx", "A 36024-2018")</f>
        <v/>
      </c>
      <c r="Y121">
        <f>HYPERLINK("https://klasma.github.io/Logging_VETLANDA/tillsynsmail/A 36024-2018.docx", "A 36024-2018")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45186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36077-2018.xlsx", "A 36077-2018")</f>
        <v/>
      </c>
      <c r="T122">
        <f>HYPERLINK("https://klasma.github.io/Logging_VETLANDA/kartor/A 36077-2018.png", "A 36077-2018")</f>
        <v/>
      </c>
      <c r="U122">
        <f>HYPERLINK("https://klasma.github.io/Logging_VETLANDA/knärot/A 36077-2018.png", "A 36077-2018")</f>
        <v/>
      </c>
      <c r="V122">
        <f>HYPERLINK("https://klasma.github.io/Logging_VETLANDA/klagomål/A 36077-2018.docx", "A 36077-2018")</f>
        <v/>
      </c>
      <c r="W122">
        <f>HYPERLINK("https://klasma.github.io/Logging_VETLANDA/klagomålsmail/A 36077-2018.docx", "A 36077-2018")</f>
        <v/>
      </c>
      <c r="X122">
        <f>HYPERLINK("https://klasma.github.io/Logging_VETLANDA/tillsyn/A 36077-2018.docx", "A 36077-2018")</f>
        <v/>
      </c>
      <c r="Y122">
        <f>HYPERLINK("https://klasma.github.io/Logging_VETLANDA/tillsynsmail/A 36077-2018.docx", "A 36077-2018")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45186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39566-2018.xlsx", "A 39566-2018")</f>
        <v/>
      </c>
      <c r="T123">
        <f>HYPERLINK("https://klasma.github.io/Logging_VETLANDA/kartor/A 39566-2018.png", "A 39566-2018")</f>
        <v/>
      </c>
      <c r="V123">
        <f>HYPERLINK("https://klasma.github.io/Logging_VETLANDA/klagomål/A 39566-2018.docx", "A 39566-2018")</f>
        <v/>
      </c>
      <c r="W123">
        <f>HYPERLINK("https://klasma.github.io/Logging_VETLANDA/klagomålsmail/A 39566-2018.docx", "A 39566-2018")</f>
        <v/>
      </c>
      <c r="X123">
        <f>HYPERLINK("https://klasma.github.io/Logging_VETLANDA/tillsyn/A 39566-2018.docx", "A 39566-2018")</f>
        <v/>
      </c>
      <c r="Y123">
        <f>HYPERLINK("https://klasma.github.io/Logging_VETLANDA/tillsynsmail/A 39566-2018.docx", "A 39566-2018")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45186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41219-2018.xlsx", "A 41219-2018")</f>
        <v/>
      </c>
      <c r="T124">
        <f>HYPERLINK("https://klasma.github.io/Logging_TRANAS/kartor/A 41219-2018.png", "A 41219-2018")</f>
        <v/>
      </c>
      <c r="V124">
        <f>HYPERLINK("https://klasma.github.io/Logging_TRANAS/klagomål/A 41219-2018.docx", "A 41219-2018")</f>
        <v/>
      </c>
      <c r="W124">
        <f>HYPERLINK("https://klasma.github.io/Logging_TRANAS/klagomålsmail/A 41219-2018.docx", "A 41219-2018")</f>
        <v/>
      </c>
      <c r="X124">
        <f>HYPERLINK("https://klasma.github.io/Logging_TRANAS/tillsyn/A 41219-2018.docx", "A 41219-2018")</f>
        <v/>
      </c>
      <c r="Y124">
        <f>HYPERLINK("https://klasma.github.io/Logging_TRANAS/tillsynsmail/A 41219-2018.docx", "A 41219-2018")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45186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45216-2018.xlsx", "A 45216-2018")</f>
        <v/>
      </c>
      <c r="T125">
        <f>HYPERLINK("https://klasma.github.io/Logging_NASSJO/kartor/A 45216-2018.png", "A 45216-2018")</f>
        <v/>
      </c>
      <c r="V125">
        <f>HYPERLINK("https://klasma.github.io/Logging_NASSJO/klagomål/A 45216-2018.docx", "A 45216-2018")</f>
        <v/>
      </c>
      <c r="W125">
        <f>HYPERLINK("https://klasma.github.io/Logging_NASSJO/klagomålsmail/A 45216-2018.docx", "A 45216-2018")</f>
        <v/>
      </c>
      <c r="X125">
        <f>HYPERLINK("https://klasma.github.io/Logging_NASSJO/tillsyn/A 45216-2018.docx", "A 45216-2018")</f>
        <v/>
      </c>
      <c r="Y125">
        <f>HYPERLINK("https://klasma.github.io/Logging_NASSJO/tillsynsmail/A 45216-2018.docx", "A 45216-2018")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45186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52688-2018.xlsx", "A 52688-2018")</f>
        <v/>
      </c>
      <c r="T126">
        <f>HYPERLINK("https://klasma.github.io/Logging_SAVSJO/kartor/A 52688-2018.png", "A 52688-2018")</f>
        <v/>
      </c>
      <c r="V126">
        <f>HYPERLINK("https://klasma.github.io/Logging_SAVSJO/klagomål/A 52688-2018.docx", "A 52688-2018")</f>
        <v/>
      </c>
      <c r="W126">
        <f>HYPERLINK("https://klasma.github.io/Logging_SAVSJO/klagomålsmail/A 52688-2018.docx", "A 52688-2018")</f>
        <v/>
      </c>
      <c r="X126">
        <f>HYPERLINK("https://klasma.github.io/Logging_SAVSJO/tillsyn/A 52688-2018.docx", "A 52688-2018")</f>
        <v/>
      </c>
      <c r="Y126">
        <f>HYPERLINK("https://klasma.github.io/Logging_SAVSJO/tillsynsmail/A 52688-2018.docx", "A 52688-2018")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45186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54407-2018.xlsx", "A 54407-2018")</f>
        <v/>
      </c>
      <c r="T127">
        <f>HYPERLINK("https://klasma.github.io/Logging_VETLANDA/kartor/A 54407-2018.png", "A 54407-2018")</f>
        <v/>
      </c>
      <c r="V127">
        <f>HYPERLINK("https://klasma.github.io/Logging_VETLANDA/klagomål/A 54407-2018.docx", "A 54407-2018")</f>
        <v/>
      </c>
      <c r="W127">
        <f>HYPERLINK("https://klasma.github.io/Logging_VETLANDA/klagomålsmail/A 54407-2018.docx", "A 54407-2018")</f>
        <v/>
      </c>
      <c r="X127">
        <f>HYPERLINK("https://klasma.github.io/Logging_VETLANDA/tillsyn/A 54407-2018.docx", "A 54407-2018")</f>
        <v/>
      </c>
      <c r="Y127">
        <f>HYPERLINK("https://klasma.github.io/Logging_VETLANDA/tillsynsmail/A 54407-2018.docx", "A 54407-2018")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45186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58859-2018.xlsx", "A 58859-2018")</f>
        <v/>
      </c>
      <c r="T128">
        <f>HYPERLINK("https://klasma.github.io/Logging_JONKOPING/kartor/A 58859-2018.png", "A 58859-2018")</f>
        <v/>
      </c>
      <c r="V128">
        <f>HYPERLINK("https://klasma.github.io/Logging_JONKOPING/klagomål/A 58859-2018.docx", "A 58859-2018")</f>
        <v/>
      </c>
      <c r="W128">
        <f>HYPERLINK("https://klasma.github.io/Logging_JONKOPING/klagomålsmail/A 58859-2018.docx", "A 58859-2018")</f>
        <v/>
      </c>
      <c r="X128">
        <f>HYPERLINK("https://klasma.github.io/Logging_JONKOPING/tillsyn/A 58859-2018.docx", "A 58859-2018")</f>
        <v/>
      </c>
      <c r="Y128">
        <f>HYPERLINK("https://klasma.github.io/Logging_JONKOPING/tillsynsmail/A 58859-2018.docx", "A 58859-2018")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45186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58545-2018.xlsx", "A 58545-2018")</f>
        <v/>
      </c>
      <c r="T129">
        <f>HYPERLINK("https://klasma.github.io/Logging_VETLANDA/kartor/A 58545-2018.png", "A 58545-2018")</f>
        <v/>
      </c>
      <c r="V129">
        <f>HYPERLINK("https://klasma.github.io/Logging_VETLANDA/klagomål/A 58545-2018.docx", "A 58545-2018")</f>
        <v/>
      </c>
      <c r="W129">
        <f>HYPERLINK("https://klasma.github.io/Logging_VETLANDA/klagomålsmail/A 58545-2018.docx", "A 58545-2018")</f>
        <v/>
      </c>
      <c r="X129">
        <f>HYPERLINK("https://klasma.github.io/Logging_VETLANDA/tillsyn/A 58545-2018.docx", "A 58545-2018")</f>
        <v/>
      </c>
      <c r="Y129">
        <f>HYPERLINK("https://klasma.github.io/Logging_VETLANDA/tillsynsmail/A 58545-2018.docx", "A 58545-2018")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45186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60040-2018.xlsx", "A 60040-2018")</f>
        <v/>
      </c>
      <c r="T130">
        <f>HYPERLINK("https://klasma.github.io/Logging_VETLANDA/kartor/A 60040-2018.png", "A 60040-2018")</f>
        <v/>
      </c>
      <c r="U130">
        <f>HYPERLINK("https://klasma.github.io/Logging_VETLANDA/knärot/A 60040-2018.png", "A 60040-2018")</f>
        <v/>
      </c>
      <c r="V130">
        <f>HYPERLINK("https://klasma.github.io/Logging_VETLANDA/klagomål/A 60040-2018.docx", "A 60040-2018")</f>
        <v/>
      </c>
      <c r="W130">
        <f>HYPERLINK("https://klasma.github.io/Logging_VETLANDA/klagomålsmail/A 60040-2018.docx", "A 60040-2018")</f>
        <v/>
      </c>
      <c r="X130">
        <f>HYPERLINK("https://klasma.github.io/Logging_VETLANDA/tillsyn/A 60040-2018.docx", "A 60040-2018")</f>
        <v/>
      </c>
      <c r="Y130">
        <f>HYPERLINK("https://klasma.github.io/Logging_VETLANDA/tillsynsmail/A 60040-2018.docx", "A 60040-2018")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45186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61181-2018.xlsx", "A 61181-2018")</f>
        <v/>
      </c>
      <c r="T131">
        <f>HYPERLINK("https://klasma.github.io/Logging_JONKOPING/kartor/A 61181-2018.png", "A 61181-2018")</f>
        <v/>
      </c>
      <c r="U131">
        <f>HYPERLINK("https://klasma.github.io/Logging_JONKOPING/knärot/A 61181-2018.png", "A 61181-2018")</f>
        <v/>
      </c>
      <c r="V131">
        <f>HYPERLINK("https://klasma.github.io/Logging_JONKOPING/klagomål/A 61181-2018.docx", "A 61181-2018")</f>
        <v/>
      </c>
      <c r="W131">
        <f>HYPERLINK("https://klasma.github.io/Logging_JONKOPING/klagomålsmail/A 61181-2018.docx", "A 61181-2018")</f>
        <v/>
      </c>
      <c r="X131">
        <f>HYPERLINK("https://klasma.github.io/Logging_JONKOPING/tillsyn/A 61181-2018.docx", "A 61181-2018")</f>
        <v/>
      </c>
      <c r="Y131">
        <f>HYPERLINK("https://klasma.github.io/Logging_JONKOPING/tillsynsmail/A 61181-2018.docx", "A 61181-2018")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45186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60273-2018.xlsx", "A 60273-2018")</f>
        <v/>
      </c>
      <c r="T132">
        <f>HYPERLINK("https://klasma.github.io/Logging_SAVSJO/kartor/A 60273-2018.png", "A 60273-2018")</f>
        <v/>
      </c>
      <c r="V132">
        <f>HYPERLINK("https://klasma.github.io/Logging_SAVSJO/klagomål/A 60273-2018.docx", "A 60273-2018")</f>
        <v/>
      </c>
      <c r="W132">
        <f>HYPERLINK("https://klasma.github.io/Logging_SAVSJO/klagomålsmail/A 60273-2018.docx", "A 60273-2018")</f>
        <v/>
      </c>
      <c r="X132">
        <f>HYPERLINK("https://klasma.github.io/Logging_SAVSJO/tillsyn/A 60273-2018.docx", "A 60273-2018")</f>
        <v/>
      </c>
      <c r="Y132">
        <f>HYPERLINK("https://klasma.github.io/Logging_SAVSJO/tillsynsmail/A 60273-2018.docx", "A 60273-2018")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45186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63873-2018.xlsx", "A 63873-2018")</f>
        <v/>
      </c>
      <c r="T133">
        <f>HYPERLINK("https://klasma.github.io/Logging_VAGGERYD/kartor/A 63873-2018.png", "A 63873-2018")</f>
        <v/>
      </c>
      <c r="V133">
        <f>HYPERLINK("https://klasma.github.io/Logging_VAGGERYD/klagomål/A 63873-2018.docx", "A 63873-2018")</f>
        <v/>
      </c>
      <c r="W133">
        <f>HYPERLINK("https://klasma.github.io/Logging_VAGGERYD/klagomålsmail/A 63873-2018.docx", "A 63873-2018")</f>
        <v/>
      </c>
      <c r="X133">
        <f>HYPERLINK("https://klasma.github.io/Logging_VAGGERYD/tillsyn/A 63873-2018.docx", "A 63873-2018")</f>
        <v/>
      </c>
      <c r="Y133">
        <f>HYPERLINK("https://klasma.github.io/Logging_VAGGERYD/tillsynsmail/A 63873-2018.docx", "A 63873-2018")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45186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66703-2018.xlsx", "A 66703-2018")</f>
        <v/>
      </c>
      <c r="T134">
        <f>HYPERLINK("https://klasma.github.io/Logging_VAGGERYD/kartor/A 66703-2018.png", "A 66703-2018")</f>
        <v/>
      </c>
      <c r="V134">
        <f>HYPERLINK("https://klasma.github.io/Logging_VAGGERYD/klagomål/A 66703-2018.docx", "A 66703-2018")</f>
        <v/>
      </c>
      <c r="W134">
        <f>HYPERLINK("https://klasma.github.io/Logging_VAGGERYD/klagomålsmail/A 66703-2018.docx", "A 66703-2018")</f>
        <v/>
      </c>
      <c r="X134">
        <f>HYPERLINK("https://klasma.github.io/Logging_VAGGERYD/tillsyn/A 66703-2018.docx", "A 66703-2018")</f>
        <v/>
      </c>
      <c r="Y134">
        <f>HYPERLINK("https://klasma.github.io/Logging_VAGGERYD/tillsynsmail/A 66703-2018.docx", "A 66703-2018")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45186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65631-2018.xlsx", "A 65631-2018")</f>
        <v/>
      </c>
      <c r="T135">
        <f>HYPERLINK("https://klasma.github.io/Logging_VETLANDA/kartor/A 65631-2018.png", "A 65631-2018")</f>
        <v/>
      </c>
      <c r="V135">
        <f>HYPERLINK("https://klasma.github.io/Logging_VETLANDA/klagomål/A 65631-2018.docx", "A 65631-2018")</f>
        <v/>
      </c>
      <c r="W135">
        <f>HYPERLINK("https://klasma.github.io/Logging_VETLANDA/klagomålsmail/A 65631-2018.docx", "A 65631-2018")</f>
        <v/>
      </c>
      <c r="X135">
        <f>HYPERLINK("https://klasma.github.io/Logging_VETLANDA/tillsyn/A 65631-2018.docx", "A 65631-2018")</f>
        <v/>
      </c>
      <c r="Y135">
        <f>HYPERLINK("https://klasma.github.io/Logging_VETLANDA/tillsynsmail/A 65631-2018.docx", "A 65631-2018")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45186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71791-2018.xlsx", "A 71791-2018")</f>
        <v/>
      </c>
      <c r="T136">
        <f>HYPERLINK("https://klasma.github.io/Logging_VETLANDA/kartor/A 71791-2018.png", "A 71791-2018")</f>
        <v/>
      </c>
      <c r="V136">
        <f>HYPERLINK("https://klasma.github.io/Logging_VETLANDA/klagomål/A 71791-2018.docx", "A 71791-2018")</f>
        <v/>
      </c>
      <c r="W136">
        <f>HYPERLINK("https://klasma.github.io/Logging_VETLANDA/klagomålsmail/A 71791-2018.docx", "A 71791-2018")</f>
        <v/>
      </c>
      <c r="X136">
        <f>HYPERLINK("https://klasma.github.io/Logging_VETLANDA/tillsyn/A 71791-2018.docx", "A 71791-2018")</f>
        <v/>
      </c>
      <c r="Y136">
        <f>HYPERLINK("https://klasma.github.io/Logging_VETLANDA/tillsynsmail/A 71791-2018.docx", "A 71791-2018")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45186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4551-2019.xlsx", "A 4551-2019")</f>
        <v/>
      </c>
      <c r="T137">
        <f>HYPERLINK("https://klasma.github.io/Logging_VAGGERYD/kartor/A 4551-2019.png", "A 4551-2019")</f>
        <v/>
      </c>
      <c r="V137">
        <f>HYPERLINK("https://klasma.github.io/Logging_VAGGERYD/klagomål/A 4551-2019.docx", "A 4551-2019")</f>
        <v/>
      </c>
      <c r="W137">
        <f>HYPERLINK("https://klasma.github.io/Logging_VAGGERYD/klagomålsmail/A 4551-2019.docx", "A 4551-2019")</f>
        <v/>
      </c>
      <c r="X137">
        <f>HYPERLINK("https://klasma.github.io/Logging_VAGGERYD/tillsyn/A 4551-2019.docx", "A 4551-2019")</f>
        <v/>
      </c>
      <c r="Y137">
        <f>HYPERLINK("https://klasma.github.io/Logging_VAGGERYD/tillsynsmail/A 4551-2019.docx", "A 4551-2019")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45186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3222-2019.xlsx", "A 3222-2019")</f>
        <v/>
      </c>
      <c r="T138">
        <f>HYPERLINK("https://klasma.github.io/Logging_TRANAS/kartor/A 3222-2019.png", "A 3222-2019")</f>
        <v/>
      </c>
      <c r="V138">
        <f>HYPERLINK("https://klasma.github.io/Logging_TRANAS/klagomål/A 3222-2019.docx", "A 3222-2019")</f>
        <v/>
      </c>
      <c r="W138">
        <f>HYPERLINK("https://klasma.github.io/Logging_TRANAS/klagomålsmail/A 3222-2019.docx", "A 3222-2019")</f>
        <v/>
      </c>
      <c r="X138">
        <f>HYPERLINK("https://klasma.github.io/Logging_TRANAS/tillsyn/A 3222-2019.docx", "A 3222-2019")</f>
        <v/>
      </c>
      <c r="Y138">
        <f>HYPERLINK("https://klasma.github.io/Logging_TRANAS/tillsynsmail/A 3222-2019.docx", "A 3222-2019")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45186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3856-2019.xlsx", "A 3856-2019")</f>
        <v/>
      </c>
      <c r="T139">
        <f>HYPERLINK("https://klasma.github.io/Logging_ANEBY/kartor/A 3856-2019.png", "A 3856-2019")</f>
        <v/>
      </c>
      <c r="V139">
        <f>HYPERLINK("https://klasma.github.io/Logging_ANEBY/klagomål/A 3856-2019.docx", "A 3856-2019")</f>
        <v/>
      </c>
      <c r="W139">
        <f>HYPERLINK("https://klasma.github.io/Logging_ANEBY/klagomålsmail/A 3856-2019.docx", "A 3856-2019")</f>
        <v/>
      </c>
      <c r="X139">
        <f>HYPERLINK("https://klasma.github.io/Logging_ANEBY/tillsyn/A 3856-2019.docx", "A 3856-2019")</f>
        <v/>
      </c>
      <c r="Y139">
        <f>HYPERLINK("https://klasma.github.io/Logging_ANEBY/tillsynsmail/A 3856-2019.docx", "A 3856-2019")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45186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6531-2019.xlsx", "A 6531-2019")</f>
        <v/>
      </c>
      <c r="T140">
        <f>HYPERLINK("https://klasma.github.io/Logging_TRANAS/kartor/A 6531-2019.png", "A 6531-2019")</f>
        <v/>
      </c>
      <c r="V140">
        <f>HYPERLINK("https://klasma.github.io/Logging_TRANAS/klagomål/A 6531-2019.docx", "A 6531-2019")</f>
        <v/>
      </c>
      <c r="W140">
        <f>HYPERLINK("https://klasma.github.io/Logging_TRANAS/klagomålsmail/A 6531-2019.docx", "A 6531-2019")</f>
        <v/>
      </c>
      <c r="X140">
        <f>HYPERLINK("https://klasma.github.io/Logging_TRANAS/tillsyn/A 6531-2019.docx", "A 6531-2019")</f>
        <v/>
      </c>
      <c r="Y140">
        <f>HYPERLINK("https://klasma.github.io/Logging_TRANAS/tillsynsmail/A 6531-2019.docx", "A 6531-2019")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45186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5382-2019.xlsx", "A 5382-2019")</f>
        <v/>
      </c>
      <c r="T141">
        <f>HYPERLINK("https://klasma.github.io/Logging_MULLSJO/kartor/A 5382-2019.png", "A 5382-2019")</f>
        <v/>
      </c>
      <c r="V141">
        <f>HYPERLINK("https://klasma.github.io/Logging_MULLSJO/klagomål/A 5382-2019.docx", "A 5382-2019")</f>
        <v/>
      </c>
      <c r="W141">
        <f>HYPERLINK("https://klasma.github.io/Logging_MULLSJO/klagomålsmail/A 5382-2019.docx", "A 5382-2019")</f>
        <v/>
      </c>
      <c r="X141">
        <f>HYPERLINK("https://klasma.github.io/Logging_MULLSJO/tillsyn/A 5382-2019.docx", "A 5382-2019")</f>
        <v/>
      </c>
      <c r="Y141">
        <f>HYPERLINK("https://klasma.github.io/Logging_MULLSJO/tillsynsmail/A 5382-2019.docx", "A 5382-2019")</f>
        <v/>
      </c>
    </row>
    <row r="142" ht="15" customHeight="1">
      <c r="A142" t="inlineStr">
        <is>
          <t>A 5571-2019</t>
        </is>
      </c>
      <c r="B142" s="1" t="n">
        <v>43489</v>
      </c>
      <c r="C142" s="1" t="n">
        <v>45186</v>
      </c>
      <c r="D142" t="inlineStr">
        <is>
          <t>JÖNKÖPINGS LÄN</t>
        </is>
      </c>
      <c r="E142" t="inlineStr">
        <is>
          <t>VETLANDA</t>
        </is>
      </c>
      <c r="F142" t="inlineStr">
        <is>
          <t>Kommuner</t>
        </is>
      </c>
      <c r="G142" t="n">
        <v>1.2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HYPERLINK("https://klasma.github.io/Logging_VETLANDA/artfynd/A 5571-2019.xlsx", "A 5571-2019")</f>
        <v/>
      </c>
      <c r="T142">
        <f>HYPERLINK("https://klasma.github.io/Logging_VETLANDA/kartor/A 5571-2019.png", "A 5571-2019")</f>
        <v/>
      </c>
      <c r="V142">
        <f>HYPERLINK("https://klasma.github.io/Logging_VETLANDA/klagomål/A 5571-2019.docx", "A 5571-2019")</f>
        <v/>
      </c>
      <c r="W142">
        <f>HYPERLINK("https://klasma.github.io/Logging_VETLANDA/klagomålsmail/A 5571-2019.docx", "A 5571-2019")</f>
        <v/>
      </c>
      <c r="X142">
        <f>HYPERLINK("https://klasma.github.io/Logging_VETLANDA/tillsyn/A 5571-2019.docx", "A 5571-2019")</f>
        <v/>
      </c>
      <c r="Y142">
        <f>HYPERLINK("https://klasma.github.io/Logging_VETLANDA/tillsynsmail/A 5571-2019.docx", "A 5571-2019")</f>
        <v/>
      </c>
    </row>
    <row r="143" ht="15" customHeight="1">
      <c r="A143" t="inlineStr">
        <is>
          <t>A 7961-2019</t>
        </is>
      </c>
      <c r="B143" s="1" t="n">
        <v>43493</v>
      </c>
      <c r="C143" s="1" t="n">
        <v>45186</v>
      </c>
      <c r="D143" t="inlineStr">
        <is>
          <t>JÖNKÖPINGS LÄN</t>
        </is>
      </c>
      <c r="E143" t="inlineStr">
        <is>
          <t>SÄVSJÖ</t>
        </is>
      </c>
      <c r="G143" t="n">
        <v>5.3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Barkkornlav</t>
        </is>
      </c>
      <c r="S143">
        <f>HYPERLINK("https://klasma.github.io/Logging_SAVSJO/artfynd/A 7961-2019.xlsx", "A 7961-2019")</f>
        <v/>
      </c>
      <c r="T143">
        <f>HYPERLINK("https://klasma.github.io/Logging_SAVSJO/kartor/A 7961-2019.png", "A 7961-2019")</f>
        <v/>
      </c>
      <c r="V143">
        <f>HYPERLINK("https://klasma.github.io/Logging_SAVSJO/klagomål/A 7961-2019.docx", "A 7961-2019")</f>
        <v/>
      </c>
      <c r="W143">
        <f>HYPERLINK("https://klasma.github.io/Logging_SAVSJO/klagomålsmail/A 7961-2019.docx", "A 7961-2019")</f>
        <v/>
      </c>
      <c r="X143">
        <f>HYPERLINK("https://klasma.github.io/Logging_SAVSJO/tillsyn/A 7961-2019.docx", "A 7961-2019")</f>
        <v/>
      </c>
      <c r="Y143">
        <f>HYPERLINK("https://klasma.github.io/Logging_SAVSJO/tillsynsmail/A 7961-2019.docx", "A 7961-2019")</f>
        <v/>
      </c>
    </row>
    <row r="144" ht="15" customHeight="1">
      <c r="A144" t="inlineStr">
        <is>
          <t>A 7951-2019</t>
        </is>
      </c>
      <c r="B144" s="1" t="n">
        <v>43493</v>
      </c>
      <c r="C144" s="1" t="n">
        <v>45186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HYPERLINK("https://klasma.github.io/Logging_SAVSJO/artfynd/A 7951-2019.xlsx", "A 7951-2019")</f>
        <v/>
      </c>
      <c r="T144">
        <f>HYPERLINK("https://klasma.github.io/Logging_SAVSJO/kartor/A 7951-2019.png", "A 7951-2019")</f>
        <v/>
      </c>
      <c r="V144">
        <f>HYPERLINK("https://klasma.github.io/Logging_SAVSJO/klagomål/A 7951-2019.docx", "A 7951-2019")</f>
        <v/>
      </c>
      <c r="W144">
        <f>HYPERLINK("https://klasma.github.io/Logging_SAVSJO/klagomålsmail/A 7951-2019.docx", "A 7951-2019")</f>
        <v/>
      </c>
      <c r="X144">
        <f>HYPERLINK("https://klasma.github.io/Logging_SAVSJO/tillsyn/A 7951-2019.docx", "A 7951-2019")</f>
        <v/>
      </c>
      <c r="Y144">
        <f>HYPERLINK("https://klasma.github.io/Logging_SAVSJO/tillsynsmail/A 7951-2019.docx", "A 7951-2019")</f>
        <v/>
      </c>
    </row>
    <row r="145" ht="15" customHeight="1">
      <c r="A145" t="inlineStr">
        <is>
          <t>A 11386-2019</t>
        </is>
      </c>
      <c r="B145" s="1" t="n">
        <v>43517</v>
      </c>
      <c r="C145" s="1" t="n">
        <v>45186</v>
      </c>
      <c r="D145" t="inlineStr">
        <is>
          <t>JÖNKÖPINGS LÄN</t>
        </is>
      </c>
      <c r="E145" t="inlineStr">
        <is>
          <t>EKSJÖ</t>
        </is>
      </c>
      <c r="F145" t="inlineStr">
        <is>
          <t>Kommuner</t>
        </is>
      </c>
      <c r="G145" t="n">
        <v>9.4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HYPERLINK("https://klasma.github.io/Logging_EKSJO/artfynd/A 11386-2019.xlsx", "A 11386-2019")</f>
        <v/>
      </c>
      <c r="T145">
        <f>HYPERLINK("https://klasma.github.io/Logging_EKSJO/kartor/A 11386-2019.png", "A 11386-2019")</f>
        <v/>
      </c>
      <c r="V145">
        <f>HYPERLINK("https://klasma.github.io/Logging_EKSJO/klagomål/A 11386-2019.docx", "A 11386-2019")</f>
        <v/>
      </c>
      <c r="W145">
        <f>HYPERLINK("https://klasma.github.io/Logging_EKSJO/klagomålsmail/A 11386-2019.docx", "A 11386-2019")</f>
        <v/>
      </c>
      <c r="X145">
        <f>HYPERLINK("https://klasma.github.io/Logging_EKSJO/tillsyn/A 11386-2019.docx", "A 11386-2019")</f>
        <v/>
      </c>
      <c r="Y145">
        <f>HYPERLINK("https://klasma.github.io/Logging_EKSJO/tillsynsmail/A 11386-2019.docx", "A 11386-2019")</f>
        <v/>
      </c>
    </row>
    <row r="146" ht="15" customHeight="1">
      <c r="A146" t="inlineStr">
        <is>
          <t>A 11495-2019</t>
        </is>
      </c>
      <c r="B146" s="1" t="n">
        <v>43517</v>
      </c>
      <c r="C146" s="1" t="n">
        <v>45186</v>
      </c>
      <c r="D146" t="inlineStr">
        <is>
          <t>JÖNKÖPINGS LÄN</t>
        </is>
      </c>
      <c r="E146" t="inlineStr">
        <is>
          <t>VETLANDA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HYPERLINK("https://klasma.github.io/Logging_VETLANDA/artfynd/A 11495-2019.xlsx", "A 11495-2019")</f>
        <v/>
      </c>
      <c r="T146">
        <f>HYPERLINK("https://klasma.github.io/Logging_VETLANDA/kartor/A 11495-2019.png", "A 11495-2019")</f>
        <v/>
      </c>
      <c r="V146">
        <f>HYPERLINK("https://klasma.github.io/Logging_VETLANDA/klagomål/A 11495-2019.docx", "A 11495-2019")</f>
        <v/>
      </c>
      <c r="W146">
        <f>HYPERLINK("https://klasma.github.io/Logging_VETLANDA/klagomålsmail/A 11495-2019.docx", "A 11495-2019")</f>
        <v/>
      </c>
      <c r="X146">
        <f>HYPERLINK("https://klasma.github.io/Logging_VETLANDA/tillsyn/A 11495-2019.docx", "A 11495-2019")</f>
        <v/>
      </c>
      <c r="Y146">
        <f>HYPERLINK("https://klasma.github.io/Logging_VETLANDA/tillsynsmail/A 11495-2019.docx", "A 11495-2019")</f>
        <v/>
      </c>
    </row>
    <row r="147" ht="15" customHeight="1">
      <c r="A147" t="inlineStr">
        <is>
          <t>A 12981-2019</t>
        </is>
      </c>
      <c r="B147" s="1" t="n">
        <v>43527</v>
      </c>
      <c r="C147" s="1" t="n">
        <v>45186</v>
      </c>
      <c r="D147" t="inlineStr">
        <is>
          <t>JÖNKÖPINGS LÄN</t>
        </is>
      </c>
      <c r="E147" t="inlineStr">
        <is>
          <t>VETLANDA</t>
        </is>
      </c>
      <c r="G147" t="n">
        <v>13.9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Västlig hakmossa</t>
        </is>
      </c>
      <c r="S147">
        <f>HYPERLINK("https://klasma.github.io/Logging_VETLANDA/artfynd/A 12981-2019.xlsx", "A 12981-2019")</f>
        <v/>
      </c>
      <c r="T147">
        <f>HYPERLINK("https://klasma.github.io/Logging_VETLANDA/kartor/A 12981-2019.png", "A 12981-2019")</f>
        <v/>
      </c>
      <c r="V147">
        <f>HYPERLINK("https://klasma.github.io/Logging_VETLANDA/klagomål/A 12981-2019.docx", "A 12981-2019")</f>
        <v/>
      </c>
      <c r="W147">
        <f>HYPERLINK("https://klasma.github.io/Logging_VETLANDA/klagomålsmail/A 12981-2019.docx", "A 12981-2019")</f>
        <v/>
      </c>
      <c r="X147">
        <f>HYPERLINK("https://klasma.github.io/Logging_VETLANDA/tillsyn/A 12981-2019.docx", "A 12981-2019")</f>
        <v/>
      </c>
      <c r="Y147">
        <f>HYPERLINK("https://klasma.github.io/Logging_VETLANDA/tillsynsmail/A 12981-2019.docx", "A 12981-2019")</f>
        <v/>
      </c>
    </row>
    <row r="148" ht="15" customHeight="1">
      <c r="A148" t="inlineStr">
        <is>
          <t>A 20306-2019</t>
        </is>
      </c>
      <c r="B148" s="1" t="n">
        <v>43571</v>
      </c>
      <c r="C148" s="1" t="n">
        <v>45186</v>
      </c>
      <c r="D148" t="inlineStr">
        <is>
          <t>JÖNKÖPINGS LÄN</t>
        </is>
      </c>
      <c r="E148" t="inlineStr">
        <is>
          <t>VETLANDA</t>
        </is>
      </c>
      <c r="G148" t="n">
        <v>8.800000000000001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Orange taggsvamp</t>
        </is>
      </c>
      <c r="S148">
        <f>HYPERLINK("https://klasma.github.io/Logging_VETLANDA/artfynd/A 20306-2019.xlsx", "A 20306-2019")</f>
        <v/>
      </c>
      <c r="T148">
        <f>HYPERLINK("https://klasma.github.io/Logging_VETLANDA/kartor/A 20306-2019.png", "A 20306-2019")</f>
        <v/>
      </c>
      <c r="V148">
        <f>HYPERLINK("https://klasma.github.io/Logging_VETLANDA/klagomål/A 20306-2019.docx", "A 20306-2019")</f>
        <v/>
      </c>
      <c r="W148">
        <f>HYPERLINK("https://klasma.github.io/Logging_VETLANDA/klagomålsmail/A 20306-2019.docx", "A 20306-2019")</f>
        <v/>
      </c>
      <c r="X148">
        <f>HYPERLINK("https://klasma.github.io/Logging_VETLANDA/tillsyn/A 20306-2019.docx", "A 20306-2019")</f>
        <v/>
      </c>
      <c r="Y148">
        <f>HYPERLINK("https://klasma.github.io/Logging_VETLANDA/tillsynsmail/A 20306-2019.docx", "A 20306-2019")</f>
        <v/>
      </c>
    </row>
    <row r="149" ht="15" customHeight="1">
      <c r="A149" t="inlineStr">
        <is>
          <t>A 20308-2019</t>
        </is>
      </c>
      <c r="B149" s="1" t="n">
        <v>43571</v>
      </c>
      <c r="C149" s="1" t="n">
        <v>45186</v>
      </c>
      <c r="D149" t="inlineStr">
        <is>
          <t>JÖNKÖPINGS LÄN</t>
        </is>
      </c>
      <c r="E149" t="inlineStr">
        <is>
          <t>VETLANDA</t>
        </is>
      </c>
      <c r="G149" t="n">
        <v>7.1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HYPERLINK("https://klasma.github.io/Logging_VETLANDA/artfynd/A 20308-2019.xlsx", "A 20308-2019")</f>
        <v/>
      </c>
      <c r="T149">
        <f>HYPERLINK("https://klasma.github.io/Logging_VETLANDA/kartor/A 20308-2019.png", "A 20308-2019")</f>
        <v/>
      </c>
      <c r="U149">
        <f>HYPERLINK("https://klasma.github.io/Logging_VETLANDA/knärot/A 20308-2019.png", "A 20308-2019")</f>
        <v/>
      </c>
      <c r="V149">
        <f>HYPERLINK("https://klasma.github.io/Logging_VETLANDA/klagomål/A 20308-2019.docx", "A 20308-2019")</f>
        <v/>
      </c>
      <c r="W149">
        <f>HYPERLINK("https://klasma.github.io/Logging_VETLANDA/klagomålsmail/A 20308-2019.docx", "A 20308-2019")</f>
        <v/>
      </c>
      <c r="X149">
        <f>HYPERLINK("https://klasma.github.io/Logging_VETLANDA/tillsyn/A 20308-2019.docx", "A 20308-2019")</f>
        <v/>
      </c>
      <c r="Y149">
        <f>HYPERLINK("https://klasma.github.io/Logging_VETLANDA/tillsynsmail/A 20308-2019.docx", "A 20308-2019")</f>
        <v/>
      </c>
    </row>
    <row r="150" ht="15" customHeight="1">
      <c r="A150" t="inlineStr">
        <is>
          <t>A 22477-2019</t>
        </is>
      </c>
      <c r="B150" s="1" t="n">
        <v>43587</v>
      </c>
      <c r="C150" s="1" t="n">
        <v>45186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HYPERLINK("https://klasma.github.io/Logging_TRANAS/artfynd/A 22477-2019.xlsx", "A 22477-2019")</f>
        <v/>
      </c>
      <c r="T150">
        <f>HYPERLINK("https://klasma.github.io/Logging_TRANAS/kartor/A 22477-2019.png", "A 22477-2019")</f>
        <v/>
      </c>
      <c r="V150">
        <f>HYPERLINK("https://klasma.github.io/Logging_TRANAS/klagomål/A 22477-2019.docx", "A 22477-2019")</f>
        <v/>
      </c>
      <c r="W150">
        <f>HYPERLINK("https://klasma.github.io/Logging_TRANAS/klagomålsmail/A 22477-2019.docx", "A 22477-2019")</f>
        <v/>
      </c>
      <c r="X150">
        <f>HYPERLINK("https://klasma.github.io/Logging_TRANAS/tillsyn/A 22477-2019.docx", "A 22477-2019")</f>
        <v/>
      </c>
      <c r="Y150">
        <f>HYPERLINK("https://klasma.github.io/Logging_TRANAS/tillsynsmail/A 22477-2019.docx", "A 22477-2019")</f>
        <v/>
      </c>
    </row>
    <row r="151" ht="15" customHeight="1">
      <c r="A151" t="inlineStr">
        <is>
          <t>A 23988-2019</t>
        </is>
      </c>
      <c r="B151" s="1" t="n">
        <v>43595</v>
      </c>
      <c r="C151" s="1" t="n">
        <v>45186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HYPERLINK("https://klasma.github.io/Logging_VETLANDA/artfynd/A 23988-2019.xlsx", "A 23988-2019")</f>
        <v/>
      </c>
      <c r="T151">
        <f>HYPERLINK("https://klasma.github.io/Logging_VETLANDA/kartor/A 23988-2019.png", "A 23988-2019")</f>
        <v/>
      </c>
      <c r="V151">
        <f>HYPERLINK("https://klasma.github.io/Logging_VETLANDA/klagomål/A 23988-2019.docx", "A 23988-2019")</f>
        <v/>
      </c>
      <c r="W151">
        <f>HYPERLINK("https://klasma.github.io/Logging_VETLANDA/klagomålsmail/A 23988-2019.docx", "A 23988-2019")</f>
        <v/>
      </c>
      <c r="X151">
        <f>HYPERLINK("https://klasma.github.io/Logging_VETLANDA/tillsyn/A 23988-2019.docx", "A 23988-2019")</f>
        <v/>
      </c>
      <c r="Y151">
        <f>HYPERLINK("https://klasma.github.io/Logging_VETLANDA/tillsynsmail/A 23988-2019.docx", "A 23988-2019")</f>
        <v/>
      </c>
    </row>
    <row r="152" ht="15" customHeight="1">
      <c r="A152" t="inlineStr">
        <is>
          <t>A 25880-2019</t>
        </is>
      </c>
      <c r="B152" s="1" t="n">
        <v>43605</v>
      </c>
      <c r="C152" s="1" t="n">
        <v>45186</v>
      </c>
      <c r="D152" t="inlineStr">
        <is>
          <t>JÖNKÖPINGS LÄN</t>
        </is>
      </c>
      <c r="E152" t="inlineStr">
        <is>
          <t>VETLANDA</t>
        </is>
      </c>
      <c r="F152" t="inlineStr">
        <is>
          <t>Kommuner</t>
        </is>
      </c>
      <c r="G152" t="n">
        <v>4.8</v>
      </c>
      <c r="H152" t="n">
        <v>1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Knärot</t>
        </is>
      </c>
      <c r="S152">
        <f>HYPERLINK("https://klasma.github.io/Logging_VETLANDA/artfynd/A 25880-2019.xlsx", "A 25880-2019")</f>
        <v/>
      </c>
      <c r="T152">
        <f>HYPERLINK("https://klasma.github.io/Logging_VETLANDA/kartor/A 25880-2019.png", "A 25880-2019")</f>
        <v/>
      </c>
      <c r="U152">
        <f>HYPERLINK("https://klasma.github.io/Logging_VETLANDA/knärot/A 25880-2019.png", "A 25880-2019")</f>
        <v/>
      </c>
      <c r="V152">
        <f>HYPERLINK("https://klasma.github.io/Logging_VETLANDA/klagomål/A 25880-2019.docx", "A 25880-2019")</f>
        <v/>
      </c>
      <c r="W152">
        <f>HYPERLINK("https://klasma.github.io/Logging_VETLANDA/klagomålsmail/A 25880-2019.docx", "A 25880-2019")</f>
        <v/>
      </c>
      <c r="X152">
        <f>HYPERLINK("https://klasma.github.io/Logging_VETLANDA/tillsyn/A 25880-2019.docx", "A 25880-2019")</f>
        <v/>
      </c>
      <c r="Y152">
        <f>HYPERLINK("https://klasma.github.io/Logging_VETLANDA/tillsynsmail/A 25880-2019.docx", "A 25880-2019")</f>
        <v/>
      </c>
    </row>
    <row r="153" ht="15" customHeight="1">
      <c r="A153" t="inlineStr">
        <is>
          <t>A 25827-2019</t>
        </is>
      </c>
      <c r="B153" s="1" t="n">
        <v>43608</v>
      </c>
      <c r="C153" s="1" t="n">
        <v>45186</v>
      </c>
      <c r="D153" t="inlineStr">
        <is>
          <t>JÖNKÖPINGS LÄN</t>
        </is>
      </c>
      <c r="E153" t="inlineStr">
        <is>
          <t>NÄSSJÖ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Åkerrättika</t>
        </is>
      </c>
      <c r="S153">
        <f>HYPERLINK("https://klasma.github.io/Logging_NASSJO/artfynd/A 25827-2019.xlsx", "A 25827-2019")</f>
        <v/>
      </c>
      <c r="T153">
        <f>HYPERLINK("https://klasma.github.io/Logging_NASSJO/kartor/A 25827-2019.png", "A 25827-2019")</f>
        <v/>
      </c>
      <c r="V153">
        <f>HYPERLINK("https://klasma.github.io/Logging_NASSJO/klagomål/A 25827-2019.docx", "A 25827-2019")</f>
        <v/>
      </c>
      <c r="W153">
        <f>HYPERLINK("https://klasma.github.io/Logging_NASSJO/klagomålsmail/A 25827-2019.docx", "A 25827-2019")</f>
        <v/>
      </c>
      <c r="X153">
        <f>HYPERLINK("https://klasma.github.io/Logging_NASSJO/tillsyn/A 25827-2019.docx", "A 25827-2019")</f>
        <v/>
      </c>
      <c r="Y153">
        <f>HYPERLINK("https://klasma.github.io/Logging_NASSJO/tillsynsmail/A 25827-2019.docx", "A 25827-2019")</f>
        <v/>
      </c>
    </row>
    <row r="154" ht="15" customHeight="1">
      <c r="A154" t="inlineStr">
        <is>
          <t>A 26905-2019</t>
        </is>
      </c>
      <c r="B154" s="1" t="n">
        <v>43609</v>
      </c>
      <c r="C154" s="1" t="n">
        <v>45186</v>
      </c>
      <c r="D154" t="inlineStr">
        <is>
          <t>JÖNKÖPINGS LÄN</t>
        </is>
      </c>
      <c r="E154" t="inlineStr">
        <is>
          <t>JÖNKÖPING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Kustdaggkåpa</t>
        </is>
      </c>
      <c r="S154">
        <f>HYPERLINK("https://klasma.github.io/Logging_JONKOPING/artfynd/A 26905-2019.xlsx", "A 26905-2019")</f>
        <v/>
      </c>
      <c r="T154">
        <f>HYPERLINK("https://klasma.github.io/Logging_JONKOPING/kartor/A 26905-2019.png", "A 26905-2019")</f>
        <v/>
      </c>
      <c r="V154">
        <f>HYPERLINK("https://klasma.github.io/Logging_JONKOPING/klagomål/A 26905-2019.docx", "A 26905-2019")</f>
        <v/>
      </c>
      <c r="W154">
        <f>HYPERLINK("https://klasma.github.io/Logging_JONKOPING/klagomålsmail/A 26905-2019.docx", "A 26905-2019")</f>
        <v/>
      </c>
      <c r="X154">
        <f>HYPERLINK("https://klasma.github.io/Logging_JONKOPING/tillsyn/A 26905-2019.docx", "A 26905-2019")</f>
        <v/>
      </c>
      <c r="Y154">
        <f>HYPERLINK("https://klasma.github.io/Logging_JONKOPING/tillsynsmail/A 26905-2019.docx", "A 26905-2019")</f>
        <v/>
      </c>
    </row>
    <row r="155" ht="15" customHeight="1">
      <c r="A155" t="inlineStr">
        <is>
          <t>A 26629-2019</t>
        </is>
      </c>
      <c r="B155" s="1" t="n">
        <v>43612</v>
      </c>
      <c r="C155" s="1" t="n">
        <v>45186</v>
      </c>
      <c r="D155" t="inlineStr">
        <is>
          <t>JÖNKÖPINGS LÄN</t>
        </is>
      </c>
      <c r="E155" t="inlineStr">
        <is>
          <t>TRANÅS</t>
        </is>
      </c>
      <c r="G155" t="n">
        <v>11.2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Tallticka</t>
        </is>
      </c>
      <c r="S155">
        <f>HYPERLINK("https://klasma.github.io/Logging_TRANAS/artfynd/A 26629-2019.xlsx", "A 26629-2019")</f>
        <v/>
      </c>
      <c r="T155">
        <f>HYPERLINK("https://klasma.github.io/Logging_TRANAS/kartor/A 26629-2019.png", "A 26629-2019")</f>
        <v/>
      </c>
      <c r="V155">
        <f>HYPERLINK("https://klasma.github.io/Logging_TRANAS/klagomål/A 26629-2019.docx", "A 26629-2019")</f>
        <v/>
      </c>
      <c r="W155">
        <f>HYPERLINK("https://klasma.github.io/Logging_TRANAS/klagomålsmail/A 26629-2019.docx", "A 26629-2019")</f>
        <v/>
      </c>
      <c r="X155">
        <f>HYPERLINK("https://klasma.github.io/Logging_TRANAS/tillsyn/A 26629-2019.docx", "A 26629-2019")</f>
        <v/>
      </c>
      <c r="Y155">
        <f>HYPERLINK("https://klasma.github.io/Logging_TRANAS/tillsynsmail/A 26629-2019.docx", "A 26629-2019")</f>
        <v/>
      </c>
    </row>
    <row r="156" ht="15" customHeight="1">
      <c r="A156" t="inlineStr">
        <is>
          <t>A 26583-2019</t>
        </is>
      </c>
      <c r="B156" s="1" t="n">
        <v>43612</v>
      </c>
      <c r="C156" s="1" t="n">
        <v>45186</v>
      </c>
      <c r="D156" t="inlineStr">
        <is>
          <t>JÖNKÖPINGS LÄN</t>
        </is>
      </c>
      <c r="E156" t="inlineStr">
        <is>
          <t>ANEBY</t>
        </is>
      </c>
      <c r="G156" t="n">
        <v>5.8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HYPERLINK("https://klasma.github.io/Logging_ANEBY/artfynd/A 26583-2019.xlsx", "A 26583-2019")</f>
        <v/>
      </c>
      <c r="T156">
        <f>HYPERLINK("https://klasma.github.io/Logging_ANEBY/kartor/A 26583-2019.png", "A 26583-2019")</f>
        <v/>
      </c>
      <c r="V156">
        <f>HYPERLINK("https://klasma.github.io/Logging_ANEBY/klagomål/A 26583-2019.docx", "A 26583-2019")</f>
        <v/>
      </c>
      <c r="W156">
        <f>HYPERLINK("https://klasma.github.io/Logging_ANEBY/klagomålsmail/A 26583-2019.docx", "A 26583-2019")</f>
        <v/>
      </c>
      <c r="X156">
        <f>HYPERLINK("https://klasma.github.io/Logging_ANEBY/tillsyn/A 26583-2019.docx", "A 26583-2019")</f>
        <v/>
      </c>
      <c r="Y156">
        <f>HYPERLINK("https://klasma.github.io/Logging_ANEBY/tillsynsmail/A 26583-2019.docx", "A 26583-2019")</f>
        <v/>
      </c>
    </row>
    <row r="157" ht="15" customHeight="1">
      <c r="A157" t="inlineStr">
        <is>
          <t>A 28694-2019</t>
        </is>
      </c>
      <c r="B157" s="1" t="n">
        <v>43614</v>
      </c>
      <c r="C157" s="1" t="n">
        <v>45186</v>
      </c>
      <c r="D157" t="inlineStr">
        <is>
          <t>JÖNKÖPINGS LÄN</t>
        </is>
      </c>
      <c r="E157" t="inlineStr">
        <is>
          <t>JÖNKÖPING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HYPERLINK("https://klasma.github.io/Logging_JONKOPING/artfynd/A 28694-2019.xlsx", "A 28694-2019")</f>
        <v/>
      </c>
      <c r="T157">
        <f>HYPERLINK("https://klasma.github.io/Logging_JONKOPING/kartor/A 28694-2019.png", "A 28694-2019")</f>
        <v/>
      </c>
      <c r="U157">
        <f>HYPERLINK("https://klasma.github.io/Logging_JONKOPING/knärot/A 28694-2019.png", "A 28694-2019")</f>
        <v/>
      </c>
      <c r="V157">
        <f>HYPERLINK("https://klasma.github.io/Logging_JONKOPING/klagomål/A 28694-2019.docx", "A 28694-2019")</f>
        <v/>
      </c>
      <c r="W157">
        <f>HYPERLINK("https://klasma.github.io/Logging_JONKOPING/klagomålsmail/A 28694-2019.docx", "A 28694-2019")</f>
        <v/>
      </c>
      <c r="X157">
        <f>HYPERLINK("https://klasma.github.io/Logging_JONKOPING/tillsyn/A 28694-2019.docx", "A 28694-2019")</f>
        <v/>
      </c>
      <c r="Y157">
        <f>HYPERLINK("https://klasma.github.io/Logging_JONKOPING/tillsynsmail/A 28694-2019.docx", "A 28694-2019")</f>
        <v/>
      </c>
    </row>
    <row r="158" ht="15" customHeight="1">
      <c r="A158" t="inlineStr">
        <is>
          <t>A 28682-2019</t>
        </is>
      </c>
      <c r="B158" s="1" t="n">
        <v>43627</v>
      </c>
      <c r="C158" s="1" t="n">
        <v>45186</v>
      </c>
      <c r="D158" t="inlineStr">
        <is>
          <t>JÖNKÖPINGS LÄN</t>
        </is>
      </c>
      <c r="E158" t="inlineStr">
        <is>
          <t>JÖNKÖPING</t>
        </is>
      </c>
      <c r="G158" t="n">
        <v>8.9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Grönvit nattviol</t>
        </is>
      </c>
      <c r="S158">
        <f>HYPERLINK("https://klasma.github.io/Logging_JONKOPING/artfynd/A 28682-2019.xlsx", "A 28682-2019")</f>
        <v/>
      </c>
      <c r="T158">
        <f>HYPERLINK("https://klasma.github.io/Logging_JONKOPING/kartor/A 28682-2019.png", "A 28682-2019")</f>
        <v/>
      </c>
      <c r="V158">
        <f>HYPERLINK("https://klasma.github.io/Logging_JONKOPING/klagomål/A 28682-2019.docx", "A 28682-2019")</f>
        <v/>
      </c>
      <c r="W158">
        <f>HYPERLINK("https://klasma.github.io/Logging_JONKOPING/klagomålsmail/A 28682-2019.docx", "A 28682-2019")</f>
        <v/>
      </c>
      <c r="X158">
        <f>HYPERLINK("https://klasma.github.io/Logging_JONKOPING/tillsyn/A 28682-2019.docx", "A 28682-2019")</f>
        <v/>
      </c>
      <c r="Y158">
        <f>HYPERLINK("https://klasma.github.io/Logging_JONKOPING/tillsynsmail/A 28682-2019.docx", "A 28682-2019")</f>
        <v/>
      </c>
    </row>
    <row r="159" ht="15" customHeight="1">
      <c r="A159" t="inlineStr">
        <is>
          <t>A 29578-2019</t>
        </is>
      </c>
      <c r="B159" s="1" t="n">
        <v>43627</v>
      </c>
      <c r="C159" s="1" t="n">
        <v>45186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Trollfibbla</t>
        </is>
      </c>
      <c r="S159">
        <f>HYPERLINK("https://klasma.github.io/Logging_VETLANDA/artfynd/A 29578-2019.xlsx", "A 29578-2019")</f>
        <v/>
      </c>
      <c r="T159">
        <f>HYPERLINK("https://klasma.github.io/Logging_VETLANDA/kartor/A 29578-2019.png", "A 29578-2019")</f>
        <v/>
      </c>
      <c r="U159">
        <f>HYPERLINK("https://klasma.github.io/Logging_VETLANDA/knärot/A 29578-2019.png", "A 29578-2019")</f>
        <v/>
      </c>
      <c r="V159">
        <f>HYPERLINK("https://klasma.github.io/Logging_VETLANDA/klagomål/A 29578-2019.docx", "A 29578-2019")</f>
        <v/>
      </c>
      <c r="W159">
        <f>HYPERLINK("https://klasma.github.io/Logging_VETLANDA/klagomålsmail/A 29578-2019.docx", "A 29578-2019")</f>
        <v/>
      </c>
      <c r="X159">
        <f>HYPERLINK("https://klasma.github.io/Logging_VETLANDA/tillsyn/A 29578-2019.docx", "A 29578-2019")</f>
        <v/>
      </c>
      <c r="Y159">
        <f>HYPERLINK("https://klasma.github.io/Logging_VETLANDA/tillsynsmail/A 29578-2019.docx", "A 29578-2019")</f>
        <v/>
      </c>
    </row>
    <row r="160" ht="15" customHeight="1">
      <c r="A160" t="inlineStr">
        <is>
          <t>A 29990-2019</t>
        </is>
      </c>
      <c r="B160" s="1" t="n">
        <v>43633</v>
      </c>
      <c r="C160" s="1" t="n">
        <v>45186</v>
      </c>
      <c r="D160" t="inlineStr">
        <is>
          <t>JÖNKÖPINGS LÄN</t>
        </is>
      </c>
      <c r="E160" t="inlineStr">
        <is>
          <t>TRANÅS</t>
        </is>
      </c>
      <c r="G160" t="n">
        <v>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HYPERLINK("https://klasma.github.io/Logging_TRANAS/artfynd/A 29990-2019.xlsx", "A 29990-2019")</f>
        <v/>
      </c>
      <c r="T160">
        <f>HYPERLINK("https://klasma.github.io/Logging_TRANAS/kartor/A 29990-2019.png", "A 29990-2019")</f>
        <v/>
      </c>
      <c r="V160">
        <f>HYPERLINK("https://klasma.github.io/Logging_TRANAS/klagomål/A 29990-2019.docx", "A 29990-2019")</f>
        <v/>
      </c>
      <c r="W160">
        <f>HYPERLINK("https://klasma.github.io/Logging_TRANAS/klagomålsmail/A 29990-2019.docx", "A 29990-2019")</f>
        <v/>
      </c>
      <c r="X160">
        <f>HYPERLINK("https://klasma.github.io/Logging_TRANAS/tillsyn/A 29990-2019.docx", "A 29990-2019")</f>
        <v/>
      </c>
      <c r="Y160">
        <f>HYPERLINK("https://klasma.github.io/Logging_TRANAS/tillsynsmail/A 29990-2019.docx", "A 29990-2019")</f>
        <v/>
      </c>
    </row>
    <row r="161" ht="15" customHeight="1">
      <c r="A161" t="inlineStr">
        <is>
          <t>A 30971-2019</t>
        </is>
      </c>
      <c r="B161" s="1" t="n">
        <v>43639</v>
      </c>
      <c r="C161" s="1" t="n">
        <v>45186</v>
      </c>
      <c r="D161" t="inlineStr">
        <is>
          <t>JÖNKÖPINGS LÄN</t>
        </is>
      </c>
      <c r="E161" t="inlineStr">
        <is>
          <t>VETLANDA</t>
        </is>
      </c>
      <c r="G161" t="n">
        <v>10.7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Vanlig padda</t>
        </is>
      </c>
      <c r="S161">
        <f>HYPERLINK("https://klasma.github.io/Logging_VETLANDA/artfynd/A 30971-2019.xlsx", "A 30971-2019")</f>
        <v/>
      </c>
      <c r="T161">
        <f>HYPERLINK("https://klasma.github.io/Logging_VETLANDA/kartor/A 30971-2019.png", "A 30971-2019")</f>
        <v/>
      </c>
      <c r="V161">
        <f>HYPERLINK("https://klasma.github.io/Logging_VETLANDA/klagomål/A 30971-2019.docx", "A 30971-2019")</f>
        <v/>
      </c>
      <c r="W161">
        <f>HYPERLINK("https://klasma.github.io/Logging_VETLANDA/klagomålsmail/A 30971-2019.docx", "A 30971-2019")</f>
        <v/>
      </c>
      <c r="X161">
        <f>HYPERLINK("https://klasma.github.io/Logging_VETLANDA/tillsyn/A 30971-2019.docx", "A 30971-2019")</f>
        <v/>
      </c>
      <c r="Y161">
        <f>HYPERLINK("https://klasma.github.io/Logging_VETLANDA/tillsynsmail/A 30971-2019.docx", "A 30971-2019")</f>
        <v/>
      </c>
    </row>
    <row r="162" ht="15" customHeight="1">
      <c r="A162" t="inlineStr">
        <is>
          <t>A 34059-2019</t>
        </is>
      </c>
      <c r="B162" s="1" t="n">
        <v>43654</v>
      </c>
      <c r="C162" s="1" t="n">
        <v>45186</v>
      </c>
      <c r="D162" t="inlineStr">
        <is>
          <t>JÖNKÖPINGS LÄN</t>
        </is>
      </c>
      <c r="E162" t="inlineStr">
        <is>
          <t>MULLSJÖ</t>
        </is>
      </c>
      <c r="G162" t="n">
        <v>4.6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Spillkråka</t>
        </is>
      </c>
      <c r="S162">
        <f>HYPERLINK("https://klasma.github.io/Logging_MULLSJO/artfynd/A 34059-2019.xlsx", "A 34059-2019")</f>
        <v/>
      </c>
      <c r="T162">
        <f>HYPERLINK("https://klasma.github.io/Logging_MULLSJO/kartor/A 34059-2019.png", "A 34059-2019")</f>
        <v/>
      </c>
      <c r="V162">
        <f>HYPERLINK("https://klasma.github.io/Logging_MULLSJO/klagomål/A 34059-2019.docx", "A 34059-2019")</f>
        <v/>
      </c>
      <c r="W162">
        <f>HYPERLINK("https://klasma.github.io/Logging_MULLSJO/klagomålsmail/A 34059-2019.docx", "A 34059-2019")</f>
        <v/>
      </c>
      <c r="X162">
        <f>HYPERLINK("https://klasma.github.io/Logging_MULLSJO/tillsyn/A 34059-2019.docx", "A 34059-2019")</f>
        <v/>
      </c>
      <c r="Y162">
        <f>HYPERLINK("https://klasma.github.io/Logging_MULLSJO/tillsynsmail/A 34059-2019.docx", "A 34059-2019")</f>
        <v/>
      </c>
    </row>
    <row r="163" ht="15" customHeight="1">
      <c r="A163" t="inlineStr">
        <is>
          <t>A 35825-2019</t>
        </is>
      </c>
      <c r="B163" s="1" t="n">
        <v>43665</v>
      </c>
      <c r="C163" s="1" t="n">
        <v>45186</v>
      </c>
      <c r="D163" t="inlineStr">
        <is>
          <t>JÖNKÖPINGS LÄN</t>
        </is>
      </c>
      <c r="E163" t="inlineStr">
        <is>
          <t>JÖNKÖPING</t>
        </is>
      </c>
      <c r="G163" t="n">
        <v>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HYPERLINK("https://klasma.github.io/Logging_JONKOPING/artfynd/A 35825-2019.xlsx", "A 35825-2019")</f>
        <v/>
      </c>
      <c r="T163">
        <f>HYPERLINK("https://klasma.github.io/Logging_JONKOPING/kartor/A 35825-2019.png", "A 35825-2019")</f>
        <v/>
      </c>
      <c r="U163">
        <f>HYPERLINK("https://klasma.github.io/Logging_JONKOPING/knärot/A 35825-2019.png", "A 35825-2019")</f>
        <v/>
      </c>
      <c r="V163">
        <f>HYPERLINK("https://klasma.github.io/Logging_JONKOPING/klagomål/A 35825-2019.docx", "A 35825-2019")</f>
        <v/>
      </c>
      <c r="W163">
        <f>HYPERLINK("https://klasma.github.io/Logging_JONKOPING/klagomålsmail/A 35825-2019.docx", "A 35825-2019")</f>
        <v/>
      </c>
      <c r="X163">
        <f>HYPERLINK("https://klasma.github.io/Logging_JONKOPING/tillsyn/A 35825-2019.docx", "A 35825-2019")</f>
        <v/>
      </c>
      <c r="Y163">
        <f>HYPERLINK("https://klasma.github.io/Logging_JONKOPING/tillsynsmail/A 35825-2019.docx", "A 35825-2019")</f>
        <v/>
      </c>
    </row>
    <row r="164" ht="15" customHeight="1">
      <c r="A164" t="inlineStr">
        <is>
          <t>A 36920-2019</t>
        </is>
      </c>
      <c r="B164" s="1" t="n">
        <v>43675</v>
      </c>
      <c r="C164" s="1" t="n">
        <v>45186</v>
      </c>
      <c r="D164" t="inlineStr">
        <is>
          <t>JÖNKÖPINGS LÄN</t>
        </is>
      </c>
      <c r="E164" t="inlineStr">
        <is>
          <t>SÄVSJÖ</t>
        </is>
      </c>
      <c r="F164" t="inlineStr">
        <is>
          <t>Kyrkan</t>
        </is>
      </c>
      <c r="G164" t="n">
        <v>6.2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Vanlig padda</t>
        </is>
      </c>
      <c r="S164">
        <f>HYPERLINK("https://klasma.github.io/Logging_SAVSJO/artfynd/A 36920-2019.xlsx", "A 36920-2019")</f>
        <v/>
      </c>
      <c r="T164">
        <f>HYPERLINK("https://klasma.github.io/Logging_SAVSJO/kartor/A 36920-2019.png", "A 36920-2019")</f>
        <v/>
      </c>
      <c r="V164">
        <f>HYPERLINK("https://klasma.github.io/Logging_SAVSJO/klagomål/A 36920-2019.docx", "A 36920-2019")</f>
        <v/>
      </c>
      <c r="W164">
        <f>HYPERLINK("https://klasma.github.io/Logging_SAVSJO/klagomålsmail/A 36920-2019.docx", "A 36920-2019")</f>
        <v/>
      </c>
      <c r="X164">
        <f>HYPERLINK("https://klasma.github.io/Logging_SAVSJO/tillsyn/A 36920-2019.docx", "A 36920-2019")</f>
        <v/>
      </c>
      <c r="Y164">
        <f>HYPERLINK("https://klasma.github.io/Logging_SAVSJO/tillsynsmail/A 36920-2019.docx", "A 36920-2019")</f>
        <v/>
      </c>
    </row>
    <row r="165" ht="15" customHeight="1">
      <c r="A165" t="inlineStr">
        <is>
          <t>A 38365-2019</t>
        </is>
      </c>
      <c r="B165" s="1" t="n">
        <v>43685</v>
      </c>
      <c r="C165" s="1" t="n">
        <v>45186</v>
      </c>
      <c r="D165" t="inlineStr">
        <is>
          <t>JÖNKÖPINGS LÄN</t>
        </is>
      </c>
      <c r="E165" t="inlineStr">
        <is>
          <t>EKSJÖ</t>
        </is>
      </c>
      <c r="G165" t="n">
        <v>1.8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HYPERLINK("https://klasma.github.io/Logging_EKSJO/artfynd/A 38365-2019.xlsx", "A 38365-2019")</f>
        <v/>
      </c>
      <c r="T165">
        <f>HYPERLINK("https://klasma.github.io/Logging_EKSJO/kartor/A 38365-2019.png", "A 38365-2019")</f>
        <v/>
      </c>
      <c r="U165">
        <f>HYPERLINK("https://klasma.github.io/Logging_EKSJO/knärot/A 38365-2019.png", "A 38365-2019")</f>
        <v/>
      </c>
      <c r="V165">
        <f>HYPERLINK("https://klasma.github.io/Logging_EKSJO/klagomål/A 38365-2019.docx", "A 38365-2019")</f>
        <v/>
      </c>
      <c r="W165">
        <f>HYPERLINK("https://klasma.github.io/Logging_EKSJO/klagomålsmail/A 38365-2019.docx", "A 38365-2019")</f>
        <v/>
      </c>
      <c r="X165">
        <f>HYPERLINK("https://klasma.github.io/Logging_EKSJO/tillsyn/A 38365-2019.docx", "A 38365-2019")</f>
        <v/>
      </c>
      <c r="Y165">
        <f>HYPERLINK("https://klasma.github.io/Logging_EKSJO/tillsynsmail/A 38365-2019.docx", "A 38365-2019")</f>
        <v/>
      </c>
    </row>
    <row r="166" ht="15" customHeight="1">
      <c r="A166" t="inlineStr">
        <is>
          <t>A 40949-2019</t>
        </is>
      </c>
      <c r="B166" s="1" t="n">
        <v>43697</v>
      </c>
      <c r="C166" s="1" t="n">
        <v>45186</v>
      </c>
      <c r="D166" t="inlineStr">
        <is>
          <t>JÖNKÖPINGS LÄN</t>
        </is>
      </c>
      <c r="E166" t="inlineStr">
        <is>
          <t>TRANÅS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HYPERLINK("https://klasma.github.io/Logging_TRANAS/artfynd/A 40949-2019.xlsx", "A 40949-2019")</f>
        <v/>
      </c>
      <c r="T166">
        <f>HYPERLINK("https://klasma.github.io/Logging_TRANAS/kartor/A 40949-2019.png", "A 40949-2019")</f>
        <v/>
      </c>
      <c r="U166">
        <f>HYPERLINK("https://klasma.github.io/Logging_TRANAS/knärot/A 40949-2019.png", "A 40949-2019")</f>
        <v/>
      </c>
      <c r="V166">
        <f>HYPERLINK("https://klasma.github.io/Logging_TRANAS/klagomål/A 40949-2019.docx", "A 40949-2019")</f>
        <v/>
      </c>
      <c r="W166">
        <f>HYPERLINK("https://klasma.github.io/Logging_TRANAS/klagomålsmail/A 40949-2019.docx", "A 40949-2019")</f>
        <v/>
      </c>
      <c r="X166">
        <f>HYPERLINK("https://klasma.github.io/Logging_TRANAS/tillsyn/A 40949-2019.docx", "A 40949-2019")</f>
        <v/>
      </c>
      <c r="Y166">
        <f>HYPERLINK("https://klasma.github.io/Logging_TRANAS/tillsynsmail/A 40949-2019.docx", "A 40949-2019")</f>
        <v/>
      </c>
    </row>
    <row r="167" ht="15" customHeight="1">
      <c r="A167" t="inlineStr">
        <is>
          <t>A 41226-2019</t>
        </is>
      </c>
      <c r="B167" s="1" t="n">
        <v>43698</v>
      </c>
      <c r="C167" s="1" t="n">
        <v>45186</v>
      </c>
      <c r="D167" t="inlineStr">
        <is>
          <t>JÖNKÖPINGS LÄN</t>
        </is>
      </c>
      <c r="E167" t="inlineStr">
        <is>
          <t>VAGGERYD</t>
        </is>
      </c>
      <c r="G167" t="n">
        <v>2.2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Gullviva</t>
        </is>
      </c>
      <c r="S167">
        <f>HYPERLINK("https://klasma.github.io/Logging_VAGGERYD/artfynd/A 41226-2019.xlsx", "A 41226-2019")</f>
        <v/>
      </c>
      <c r="T167">
        <f>HYPERLINK("https://klasma.github.io/Logging_VAGGERYD/kartor/A 41226-2019.png", "A 41226-2019")</f>
        <v/>
      </c>
      <c r="V167">
        <f>HYPERLINK("https://klasma.github.io/Logging_VAGGERYD/klagomål/A 41226-2019.docx", "A 41226-2019")</f>
        <v/>
      </c>
      <c r="W167">
        <f>HYPERLINK("https://klasma.github.io/Logging_VAGGERYD/klagomålsmail/A 41226-2019.docx", "A 41226-2019")</f>
        <v/>
      </c>
      <c r="X167">
        <f>HYPERLINK("https://klasma.github.io/Logging_VAGGERYD/tillsyn/A 41226-2019.docx", "A 41226-2019")</f>
        <v/>
      </c>
      <c r="Y167">
        <f>HYPERLINK("https://klasma.github.io/Logging_VAGGERYD/tillsynsmail/A 41226-2019.docx", "A 41226-2019")</f>
        <v/>
      </c>
    </row>
    <row r="168" ht="15" customHeight="1">
      <c r="A168" t="inlineStr">
        <is>
          <t>A 42132-2019</t>
        </is>
      </c>
      <c r="B168" s="1" t="n">
        <v>43703</v>
      </c>
      <c r="C168" s="1" t="n">
        <v>45186</v>
      </c>
      <c r="D168" t="inlineStr">
        <is>
          <t>JÖNKÖPINGS LÄN</t>
        </is>
      </c>
      <c r="E168" t="inlineStr">
        <is>
          <t>VAGGERYD</t>
        </is>
      </c>
      <c r="G168" t="n">
        <v>5.9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Fläcknycklar</t>
        </is>
      </c>
      <c r="S168">
        <f>HYPERLINK("https://klasma.github.io/Logging_VAGGERYD/artfynd/A 42132-2019.xlsx", "A 42132-2019")</f>
        <v/>
      </c>
      <c r="T168">
        <f>HYPERLINK("https://klasma.github.io/Logging_VAGGERYD/kartor/A 42132-2019.png", "A 42132-2019")</f>
        <v/>
      </c>
      <c r="V168">
        <f>HYPERLINK("https://klasma.github.io/Logging_VAGGERYD/klagomål/A 42132-2019.docx", "A 42132-2019")</f>
        <v/>
      </c>
      <c r="W168">
        <f>HYPERLINK("https://klasma.github.io/Logging_VAGGERYD/klagomålsmail/A 42132-2019.docx", "A 42132-2019")</f>
        <v/>
      </c>
      <c r="X168">
        <f>HYPERLINK("https://klasma.github.io/Logging_VAGGERYD/tillsyn/A 42132-2019.docx", "A 42132-2019")</f>
        <v/>
      </c>
      <c r="Y168">
        <f>HYPERLINK("https://klasma.github.io/Logging_VAGGERYD/tillsynsmail/A 42132-2019.docx", "A 42132-2019")</f>
        <v/>
      </c>
    </row>
    <row r="169" ht="15" customHeight="1">
      <c r="A169" t="inlineStr">
        <is>
          <t>A 45093-2019</t>
        </is>
      </c>
      <c r="B169" s="1" t="n">
        <v>43713</v>
      </c>
      <c r="C169" s="1" t="n">
        <v>45186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Dvärghäxört</t>
        </is>
      </c>
      <c r="S169">
        <f>HYPERLINK("https://klasma.github.io/Logging_VETLANDA/artfynd/A 45093-2019.xlsx", "A 45093-2019")</f>
        <v/>
      </c>
      <c r="T169">
        <f>HYPERLINK("https://klasma.github.io/Logging_VETLANDA/kartor/A 45093-2019.png", "A 45093-2019")</f>
        <v/>
      </c>
      <c r="V169">
        <f>HYPERLINK("https://klasma.github.io/Logging_VETLANDA/klagomål/A 45093-2019.docx", "A 45093-2019")</f>
        <v/>
      </c>
      <c r="W169">
        <f>HYPERLINK("https://klasma.github.io/Logging_VETLANDA/klagomålsmail/A 45093-2019.docx", "A 45093-2019")</f>
        <v/>
      </c>
      <c r="X169">
        <f>HYPERLINK("https://klasma.github.io/Logging_VETLANDA/tillsyn/A 45093-2019.docx", "A 45093-2019")</f>
        <v/>
      </c>
      <c r="Y169">
        <f>HYPERLINK("https://klasma.github.io/Logging_VETLANDA/tillsynsmail/A 45093-2019.docx", "A 45093-2019")</f>
        <v/>
      </c>
    </row>
    <row r="170" ht="15" customHeight="1">
      <c r="A170" t="inlineStr">
        <is>
          <t>A 46208-2019</t>
        </is>
      </c>
      <c r="B170" s="1" t="n">
        <v>43718</v>
      </c>
      <c r="C170" s="1" t="n">
        <v>45186</v>
      </c>
      <c r="D170" t="inlineStr">
        <is>
          <t>JÖNKÖPINGS LÄN</t>
        </is>
      </c>
      <c r="E170" t="inlineStr">
        <is>
          <t>VETLANDA</t>
        </is>
      </c>
      <c r="G170" t="n">
        <v>2.7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Blomkålssvamp</t>
        </is>
      </c>
      <c r="S170">
        <f>HYPERLINK("https://klasma.github.io/Logging_VETLANDA/artfynd/A 46208-2019.xlsx", "A 46208-2019")</f>
        <v/>
      </c>
      <c r="T170">
        <f>HYPERLINK("https://klasma.github.io/Logging_VETLANDA/kartor/A 46208-2019.png", "A 46208-2019")</f>
        <v/>
      </c>
      <c r="V170">
        <f>HYPERLINK("https://klasma.github.io/Logging_VETLANDA/klagomål/A 46208-2019.docx", "A 46208-2019")</f>
        <v/>
      </c>
      <c r="W170">
        <f>HYPERLINK("https://klasma.github.io/Logging_VETLANDA/klagomålsmail/A 46208-2019.docx", "A 46208-2019")</f>
        <v/>
      </c>
      <c r="X170">
        <f>HYPERLINK("https://klasma.github.io/Logging_VETLANDA/tillsyn/A 46208-2019.docx", "A 46208-2019")</f>
        <v/>
      </c>
      <c r="Y170">
        <f>HYPERLINK("https://klasma.github.io/Logging_VETLANDA/tillsynsmail/A 46208-2019.docx", "A 46208-2019")</f>
        <v/>
      </c>
    </row>
    <row r="171" ht="15" customHeight="1">
      <c r="A171" t="inlineStr">
        <is>
          <t>A 47251-2019</t>
        </is>
      </c>
      <c r="B171" s="1" t="n">
        <v>43721</v>
      </c>
      <c r="C171" s="1" t="n">
        <v>45186</v>
      </c>
      <c r="D171" t="inlineStr">
        <is>
          <t>JÖNKÖPINGS LÄN</t>
        </is>
      </c>
      <c r="E171" t="inlineStr">
        <is>
          <t>VETLANDA</t>
        </is>
      </c>
      <c r="F171" t="inlineStr">
        <is>
          <t>Kommuner</t>
        </is>
      </c>
      <c r="G171" t="n">
        <v>1.4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HYPERLINK("https://klasma.github.io/Logging_VETLANDA/artfynd/A 47251-2019.xlsx", "A 47251-2019")</f>
        <v/>
      </c>
      <c r="T171">
        <f>HYPERLINK("https://klasma.github.io/Logging_VETLANDA/kartor/A 47251-2019.png", "A 47251-2019")</f>
        <v/>
      </c>
      <c r="U171">
        <f>HYPERLINK("https://klasma.github.io/Logging_VETLANDA/knärot/A 47251-2019.png", "A 47251-2019")</f>
        <v/>
      </c>
      <c r="V171">
        <f>HYPERLINK("https://klasma.github.io/Logging_VETLANDA/klagomål/A 47251-2019.docx", "A 47251-2019")</f>
        <v/>
      </c>
      <c r="W171">
        <f>HYPERLINK("https://klasma.github.io/Logging_VETLANDA/klagomålsmail/A 47251-2019.docx", "A 47251-2019")</f>
        <v/>
      </c>
      <c r="X171">
        <f>HYPERLINK("https://klasma.github.io/Logging_VETLANDA/tillsyn/A 47251-2019.docx", "A 47251-2019")</f>
        <v/>
      </c>
      <c r="Y171">
        <f>HYPERLINK("https://klasma.github.io/Logging_VETLANDA/tillsynsmail/A 47251-2019.docx", "A 47251-2019")</f>
        <v/>
      </c>
    </row>
    <row r="172" ht="15" customHeight="1">
      <c r="A172" t="inlineStr">
        <is>
          <t>A 48689-2019</t>
        </is>
      </c>
      <c r="B172" s="1" t="n">
        <v>43727</v>
      </c>
      <c r="C172" s="1" t="n">
        <v>45186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5.3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Större vattensalamander</t>
        </is>
      </c>
      <c r="S172">
        <f>HYPERLINK("https://klasma.github.io/Logging_JONKOPING/artfynd/A 48689-2019.xlsx", "A 48689-2019")</f>
        <v/>
      </c>
      <c r="T172">
        <f>HYPERLINK("https://klasma.github.io/Logging_JONKOPING/kartor/A 48689-2019.png", "A 48689-2019")</f>
        <v/>
      </c>
      <c r="V172">
        <f>HYPERLINK("https://klasma.github.io/Logging_JONKOPING/klagomål/A 48689-2019.docx", "A 48689-2019")</f>
        <v/>
      </c>
      <c r="W172">
        <f>HYPERLINK("https://klasma.github.io/Logging_JONKOPING/klagomålsmail/A 48689-2019.docx", "A 48689-2019")</f>
        <v/>
      </c>
      <c r="X172">
        <f>HYPERLINK("https://klasma.github.io/Logging_JONKOPING/tillsyn/A 48689-2019.docx", "A 48689-2019")</f>
        <v/>
      </c>
      <c r="Y172">
        <f>HYPERLINK("https://klasma.github.io/Logging_JONKOPING/tillsynsmail/A 48689-2019.docx", "A 48689-2019")</f>
        <v/>
      </c>
    </row>
    <row r="173" ht="15" customHeight="1">
      <c r="A173" t="inlineStr">
        <is>
          <t>A 53433-2019</t>
        </is>
      </c>
      <c r="B173" s="1" t="n">
        <v>43748</v>
      </c>
      <c r="C173" s="1" t="n">
        <v>45186</v>
      </c>
      <c r="D173" t="inlineStr">
        <is>
          <t>JÖNKÖPINGS LÄN</t>
        </is>
      </c>
      <c r="E173" t="inlineStr">
        <is>
          <t>VETLANDA</t>
        </is>
      </c>
      <c r="G173" t="n">
        <v>3.3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Slåtterfibbla</t>
        </is>
      </c>
      <c r="S173">
        <f>HYPERLINK("https://klasma.github.io/Logging_VETLANDA/artfynd/A 53433-2019.xlsx", "A 53433-2019")</f>
        <v/>
      </c>
      <c r="T173">
        <f>HYPERLINK("https://klasma.github.io/Logging_VETLANDA/kartor/A 53433-2019.png", "A 53433-2019")</f>
        <v/>
      </c>
      <c r="V173">
        <f>HYPERLINK("https://klasma.github.io/Logging_VETLANDA/klagomål/A 53433-2019.docx", "A 53433-2019")</f>
        <v/>
      </c>
      <c r="W173">
        <f>HYPERLINK("https://klasma.github.io/Logging_VETLANDA/klagomålsmail/A 53433-2019.docx", "A 53433-2019")</f>
        <v/>
      </c>
      <c r="X173">
        <f>HYPERLINK("https://klasma.github.io/Logging_VETLANDA/tillsyn/A 53433-2019.docx", "A 53433-2019")</f>
        <v/>
      </c>
      <c r="Y173">
        <f>HYPERLINK("https://klasma.github.io/Logging_VETLANDA/tillsynsmail/A 53433-2019.docx", "A 53433-2019")</f>
        <v/>
      </c>
    </row>
    <row r="174" ht="15" customHeight="1">
      <c r="A174" t="inlineStr">
        <is>
          <t>A 54655-2019</t>
        </is>
      </c>
      <c r="B174" s="1" t="n">
        <v>43754</v>
      </c>
      <c r="C174" s="1" t="n">
        <v>45186</v>
      </c>
      <c r="D174" t="inlineStr">
        <is>
          <t>JÖNKÖPINGS LÄN</t>
        </is>
      </c>
      <c r="E174" t="inlineStr">
        <is>
          <t>TRANÅS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HYPERLINK("https://klasma.github.io/Logging_TRANAS/artfynd/A 54655-2019.xlsx", "A 54655-2019")</f>
        <v/>
      </c>
      <c r="T174">
        <f>HYPERLINK("https://klasma.github.io/Logging_TRANAS/kartor/A 54655-2019.png", "A 54655-2019")</f>
        <v/>
      </c>
      <c r="V174">
        <f>HYPERLINK("https://klasma.github.io/Logging_TRANAS/klagomål/A 54655-2019.docx", "A 54655-2019")</f>
        <v/>
      </c>
      <c r="W174">
        <f>HYPERLINK("https://klasma.github.io/Logging_TRANAS/klagomålsmail/A 54655-2019.docx", "A 54655-2019")</f>
        <v/>
      </c>
      <c r="X174">
        <f>HYPERLINK("https://klasma.github.io/Logging_TRANAS/tillsyn/A 54655-2019.docx", "A 54655-2019")</f>
        <v/>
      </c>
      <c r="Y174">
        <f>HYPERLINK("https://klasma.github.io/Logging_TRANAS/tillsynsmail/A 54655-2019.docx", "A 54655-2019")</f>
        <v/>
      </c>
    </row>
    <row r="175" ht="15" customHeight="1">
      <c r="A175" t="inlineStr">
        <is>
          <t>A 56126-2019</t>
        </is>
      </c>
      <c r="B175" s="1" t="n">
        <v>43761</v>
      </c>
      <c r="C175" s="1" t="n">
        <v>45186</v>
      </c>
      <c r="D175" t="inlineStr">
        <is>
          <t>JÖNKÖPINGS LÄN</t>
        </is>
      </c>
      <c r="E175" t="inlineStr">
        <is>
          <t>VAGGERYD</t>
        </is>
      </c>
      <c r="G175" t="n">
        <v>2.4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HYPERLINK("https://klasma.github.io/Logging_VAGGERYD/artfynd/A 56126-2019.xlsx", "A 56126-2019")</f>
        <v/>
      </c>
      <c r="T175">
        <f>HYPERLINK("https://klasma.github.io/Logging_VAGGERYD/kartor/A 56126-2019.png", "A 56126-2019")</f>
        <v/>
      </c>
      <c r="U175">
        <f>HYPERLINK("https://klasma.github.io/Logging_VAGGERYD/knärot/A 56126-2019.png", "A 56126-2019")</f>
        <v/>
      </c>
      <c r="V175">
        <f>HYPERLINK("https://klasma.github.io/Logging_VAGGERYD/klagomål/A 56126-2019.docx", "A 56126-2019")</f>
        <v/>
      </c>
      <c r="W175">
        <f>HYPERLINK("https://klasma.github.io/Logging_VAGGERYD/klagomålsmail/A 56126-2019.docx", "A 56126-2019")</f>
        <v/>
      </c>
      <c r="X175">
        <f>HYPERLINK("https://klasma.github.io/Logging_VAGGERYD/tillsyn/A 56126-2019.docx", "A 56126-2019")</f>
        <v/>
      </c>
      <c r="Y175">
        <f>HYPERLINK("https://klasma.github.io/Logging_VAGGERYD/tillsynsmail/A 56126-2019.docx", "A 56126-2019")</f>
        <v/>
      </c>
    </row>
    <row r="176" ht="15" customHeight="1">
      <c r="A176" t="inlineStr">
        <is>
          <t>A 62740-2019</t>
        </is>
      </c>
      <c r="B176" s="1" t="n">
        <v>43790</v>
      </c>
      <c r="C176" s="1" t="n">
        <v>45186</v>
      </c>
      <c r="D176" t="inlineStr">
        <is>
          <t>JÖNKÖPINGS LÄN</t>
        </is>
      </c>
      <c r="E176" t="inlineStr">
        <is>
          <t>TRANÅS</t>
        </is>
      </c>
      <c r="G176" t="n">
        <v>1.5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Kandelabersvamp</t>
        </is>
      </c>
      <c r="S176">
        <f>HYPERLINK("https://klasma.github.io/Logging_TRANAS/artfynd/A 62740-2019.xlsx", "A 62740-2019")</f>
        <v/>
      </c>
      <c r="T176">
        <f>HYPERLINK("https://klasma.github.io/Logging_TRANAS/kartor/A 62740-2019.png", "A 62740-2019")</f>
        <v/>
      </c>
      <c r="V176">
        <f>HYPERLINK("https://klasma.github.io/Logging_TRANAS/klagomål/A 62740-2019.docx", "A 62740-2019")</f>
        <v/>
      </c>
      <c r="W176">
        <f>HYPERLINK("https://klasma.github.io/Logging_TRANAS/klagomålsmail/A 62740-2019.docx", "A 62740-2019")</f>
        <v/>
      </c>
      <c r="X176">
        <f>HYPERLINK("https://klasma.github.io/Logging_TRANAS/tillsyn/A 62740-2019.docx", "A 62740-2019")</f>
        <v/>
      </c>
      <c r="Y176">
        <f>HYPERLINK("https://klasma.github.io/Logging_TRANAS/tillsynsmail/A 62740-2019.docx", "A 62740-2019")</f>
        <v/>
      </c>
    </row>
    <row r="177" ht="15" customHeight="1">
      <c r="A177" t="inlineStr">
        <is>
          <t>A 67740-2019</t>
        </is>
      </c>
      <c r="B177" s="1" t="n">
        <v>43809</v>
      </c>
      <c r="C177" s="1" t="n">
        <v>45186</v>
      </c>
      <c r="D177" t="inlineStr">
        <is>
          <t>JÖNKÖPINGS LÄN</t>
        </is>
      </c>
      <c r="E177" t="inlineStr">
        <is>
          <t>TRANÅS</t>
        </is>
      </c>
      <c r="G177" t="n">
        <v>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Blåsippa</t>
        </is>
      </c>
      <c r="S177">
        <f>HYPERLINK("https://klasma.github.io/Logging_TRANAS/artfynd/A 67740-2019.xlsx", "A 67740-2019")</f>
        <v/>
      </c>
      <c r="T177">
        <f>HYPERLINK("https://klasma.github.io/Logging_TRANAS/kartor/A 67740-2019.png", "A 67740-2019")</f>
        <v/>
      </c>
      <c r="V177">
        <f>HYPERLINK("https://klasma.github.io/Logging_TRANAS/klagomål/A 67740-2019.docx", "A 67740-2019")</f>
        <v/>
      </c>
      <c r="W177">
        <f>HYPERLINK("https://klasma.github.io/Logging_TRANAS/klagomålsmail/A 67740-2019.docx", "A 67740-2019")</f>
        <v/>
      </c>
      <c r="X177">
        <f>HYPERLINK("https://klasma.github.io/Logging_TRANAS/tillsyn/A 67740-2019.docx", "A 67740-2019")</f>
        <v/>
      </c>
      <c r="Y177">
        <f>HYPERLINK("https://klasma.github.io/Logging_TRANAS/tillsynsmail/A 67740-2019.docx", "A 67740-2019")</f>
        <v/>
      </c>
    </row>
    <row r="178" ht="15" customHeight="1">
      <c r="A178" t="inlineStr">
        <is>
          <t>A 67742-2019</t>
        </is>
      </c>
      <c r="B178" s="1" t="n">
        <v>43809</v>
      </c>
      <c r="C178" s="1" t="n">
        <v>45186</v>
      </c>
      <c r="D178" t="inlineStr">
        <is>
          <t>JÖNKÖPINGS LÄN</t>
        </is>
      </c>
      <c r="E178" t="inlineStr">
        <is>
          <t>TRANÅS</t>
        </is>
      </c>
      <c r="G178" t="n">
        <v>1.9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Tibast</t>
        </is>
      </c>
      <c r="S178">
        <f>HYPERLINK("https://klasma.github.io/Logging_TRANAS/artfynd/A 67742-2019.xlsx", "A 67742-2019")</f>
        <v/>
      </c>
      <c r="T178">
        <f>HYPERLINK("https://klasma.github.io/Logging_TRANAS/kartor/A 67742-2019.png", "A 67742-2019")</f>
        <v/>
      </c>
      <c r="V178">
        <f>HYPERLINK("https://klasma.github.io/Logging_TRANAS/klagomål/A 67742-2019.docx", "A 67742-2019")</f>
        <v/>
      </c>
      <c r="W178">
        <f>HYPERLINK("https://klasma.github.io/Logging_TRANAS/klagomålsmail/A 67742-2019.docx", "A 67742-2019")</f>
        <v/>
      </c>
      <c r="X178">
        <f>HYPERLINK("https://klasma.github.io/Logging_TRANAS/tillsyn/A 67742-2019.docx", "A 67742-2019")</f>
        <v/>
      </c>
      <c r="Y178">
        <f>HYPERLINK("https://klasma.github.io/Logging_TRANAS/tillsynsmail/A 67742-2019.docx", "A 67742-2019")</f>
        <v/>
      </c>
    </row>
    <row r="179" ht="15" customHeight="1">
      <c r="A179" t="inlineStr">
        <is>
          <t>A 67950-2019</t>
        </is>
      </c>
      <c r="B179" s="1" t="n">
        <v>43811</v>
      </c>
      <c r="C179" s="1" t="n">
        <v>45186</v>
      </c>
      <c r="D179" t="inlineStr">
        <is>
          <t>JÖNKÖPINGS LÄN</t>
        </is>
      </c>
      <c r="E179" t="inlineStr">
        <is>
          <t>VETLANDA</t>
        </is>
      </c>
      <c r="G179" t="n">
        <v>10.9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HYPERLINK("https://klasma.github.io/Logging_VETLANDA/artfynd/A 67950-2019.xlsx", "A 67950-2019")</f>
        <v/>
      </c>
      <c r="T179">
        <f>HYPERLINK("https://klasma.github.io/Logging_VETLANDA/kartor/A 67950-2019.png", "A 67950-2019")</f>
        <v/>
      </c>
      <c r="U179">
        <f>HYPERLINK("https://klasma.github.io/Logging_VETLANDA/knärot/A 67950-2019.png", "A 67950-2019")</f>
        <v/>
      </c>
      <c r="V179">
        <f>HYPERLINK("https://klasma.github.io/Logging_VETLANDA/klagomål/A 67950-2019.docx", "A 67950-2019")</f>
        <v/>
      </c>
      <c r="W179">
        <f>HYPERLINK("https://klasma.github.io/Logging_VETLANDA/klagomålsmail/A 67950-2019.docx", "A 67950-2019")</f>
        <v/>
      </c>
      <c r="X179">
        <f>HYPERLINK("https://klasma.github.io/Logging_VETLANDA/tillsyn/A 67950-2019.docx", "A 67950-2019")</f>
        <v/>
      </c>
      <c r="Y179">
        <f>HYPERLINK("https://klasma.github.io/Logging_VETLANDA/tillsynsmail/A 67950-2019.docx", "A 67950-2019")</f>
        <v/>
      </c>
    </row>
    <row r="180" ht="15" customHeight="1">
      <c r="A180" t="inlineStr">
        <is>
          <t>A 6334-2020</t>
        </is>
      </c>
      <c r="B180" s="1" t="n">
        <v>43866</v>
      </c>
      <c r="C180" s="1" t="n">
        <v>45186</v>
      </c>
      <c r="D180" t="inlineStr">
        <is>
          <t>JÖNKÖPINGS LÄN</t>
        </is>
      </c>
      <c r="E180" t="inlineStr">
        <is>
          <t>TRANÅS</t>
        </is>
      </c>
      <c r="G180" t="n">
        <v>0.6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Klasefibbla</t>
        </is>
      </c>
      <c r="S180">
        <f>HYPERLINK("https://klasma.github.io/Logging_TRANAS/artfynd/A 6334-2020.xlsx", "A 6334-2020")</f>
        <v/>
      </c>
      <c r="T180">
        <f>HYPERLINK("https://klasma.github.io/Logging_TRANAS/kartor/A 6334-2020.png", "A 6334-2020")</f>
        <v/>
      </c>
      <c r="V180">
        <f>HYPERLINK("https://klasma.github.io/Logging_TRANAS/klagomål/A 6334-2020.docx", "A 6334-2020")</f>
        <v/>
      </c>
      <c r="W180">
        <f>HYPERLINK("https://klasma.github.io/Logging_TRANAS/klagomålsmail/A 6334-2020.docx", "A 6334-2020")</f>
        <v/>
      </c>
      <c r="X180">
        <f>HYPERLINK("https://klasma.github.io/Logging_TRANAS/tillsyn/A 6334-2020.docx", "A 6334-2020")</f>
        <v/>
      </c>
      <c r="Y180">
        <f>HYPERLINK("https://klasma.github.io/Logging_TRANAS/tillsynsmail/A 6334-2020.docx", "A 6334-2020")</f>
        <v/>
      </c>
    </row>
    <row r="181" ht="15" customHeight="1">
      <c r="A181" t="inlineStr">
        <is>
          <t>A 7860-2020</t>
        </is>
      </c>
      <c r="B181" s="1" t="n">
        <v>43873</v>
      </c>
      <c r="C181" s="1" t="n">
        <v>45186</v>
      </c>
      <c r="D181" t="inlineStr">
        <is>
          <t>JÖNKÖPINGS LÄN</t>
        </is>
      </c>
      <c r="E181" t="inlineStr">
        <is>
          <t>VÄRNAMO</t>
        </is>
      </c>
      <c r="G181" t="n">
        <v>3.8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Plattlummer</t>
        </is>
      </c>
      <c r="S181">
        <f>HYPERLINK("https://klasma.github.io/Logging_VARNAMO/artfynd/A 7860-2020.xlsx", "A 7860-2020")</f>
        <v/>
      </c>
      <c r="T181">
        <f>HYPERLINK("https://klasma.github.io/Logging_VARNAMO/kartor/A 7860-2020.png", "A 7860-2020")</f>
        <v/>
      </c>
      <c r="V181">
        <f>HYPERLINK("https://klasma.github.io/Logging_VARNAMO/klagomål/A 7860-2020.docx", "A 7860-2020")</f>
        <v/>
      </c>
      <c r="W181">
        <f>HYPERLINK("https://klasma.github.io/Logging_VARNAMO/klagomålsmail/A 7860-2020.docx", "A 7860-2020")</f>
        <v/>
      </c>
      <c r="X181">
        <f>HYPERLINK("https://klasma.github.io/Logging_VARNAMO/tillsyn/A 7860-2020.docx", "A 7860-2020")</f>
        <v/>
      </c>
      <c r="Y181">
        <f>HYPERLINK("https://klasma.github.io/Logging_VARNAMO/tillsynsmail/A 7860-2020.docx", "A 7860-2020")</f>
        <v/>
      </c>
    </row>
    <row r="182" ht="15" customHeight="1">
      <c r="A182" t="inlineStr">
        <is>
          <t>A 12704-2020</t>
        </is>
      </c>
      <c r="B182" s="1" t="n">
        <v>43899</v>
      </c>
      <c r="C182" s="1" t="n">
        <v>45186</v>
      </c>
      <c r="D182" t="inlineStr">
        <is>
          <t>JÖNKÖPINGS LÄN</t>
        </is>
      </c>
      <c r="E182" t="inlineStr">
        <is>
          <t>JÖNKÖPING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HYPERLINK("https://klasma.github.io/Logging_JONKOPING/artfynd/A 12704-2020.xlsx", "A 12704-2020")</f>
        <v/>
      </c>
      <c r="T182">
        <f>HYPERLINK("https://klasma.github.io/Logging_JONKOPING/kartor/A 12704-2020.png", "A 12704-2020")</f>
        <v/>
      </c>
      <c r="V182">
        <f>HYPERLINK("https://klasma.github.io/Logging_JONKOPING/klagomål/A 12704-2020.docx", "A 12704-2020")</f>
        <v/>
      </c>
      <c r="W182">
        <f>HYPERLINK("https://klasma.github.io/Logging_JONKOPING/klagomålsmail/A 12704-2020.docx", "A 12704-2020")</f>
        <v/>
      </c>
      <c r="X182">
        <f>HYPERLINK("https://klasma.github.io/Logging_JONKOPING/tillsyn/A 12704-2020.docx", "A 12704-2020")</f>
        <v/>
      </c>
      <c r="Y182">
        <f>HYPERLINK("https://klasma.github.io/Logging_JONKOPING/tillsynsmail/A 12704-2020.docx", "A 12704-2020")</f>
        <v/>
      </c>
    </row>
    <row r="183" ht="15" customHeight="1">
      <c r="A183" t="inlineStr">
        <is>
          <t>A 13949-2020</t>
        </is>
      </c>
      <c r="B183" s="1" t="n">
        <v>43906</v>
      </c>
      <c r="C183" s="1" t="n">
        <v>45186</v>
      </c>
      <c r="D183" t="inlineStr">
        <is>
          <t>JÖNKÖPINGS LÄN</t>
        </is>
      </c>
      <c r="E183" t="inlineStr">
        <is>
          <t>MULLSJÖ</t>
        </is>
      </c>
      <c r="G183" t="n">
        <v>4.8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Backsippa</t>
        </is>
      </c>
      <c r="S183">
        <f>HYPERLINK("https://klasma.github.io/Logging_MULLSJO/artfynd/A 13949-2020.xlsx", "A 13949-2020")</f>
        <v/>
      </c>
      <c r="T183">
        <f>HYPERLINK("https://klasma.github.io/Logging_MULLSJO/kartor/A 13949-2020.png", "A 13949-2020")</f>
        <v/>
      </c>
      <c r="V183">
        <f>HYPERLINK("https://klasma.github.io/Logging_MULLSJO/klagomål/A 13949-2020.docx", "A 13949-2020")</f>
        <v/>
      </c>
      <c r="W183">
        <f>HYPERLINK("https://klasma.github.io/Logging_MULLSJO/klagomålsmail/A 13949-2020.docx", "A 13949-2020")</f>
        <v/>
      </c>
      <c r="X183">
        <f>HYPERLINK("https://klasma.github.io/Logging_MULLSJO/tillsyn/A 13949-2020.docx", "A 13949-2020")</f>
        <v/>
      </c>
      <c r="Y183">
        <f>HYPERLINK("https://klasma.github.io/Logging_MULLSJO/tillsynsmail/A 13949-2020.docx", "A 13949-2020")</f>
        <v/>
      </c>
    </row>
    <row r="184" ht="15" customHeight="1">
      <c r="A184" t="inlineStr">
        <is>
          <t>A 15058-2020</t>
        </is>
      </c>
      <c r="B184" s="1" t="n">
        <v>43910</v>
      </c>
      <c r="C184" s="1" t="n">
        <v>45186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4.3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Gränsticka</t>
        </is>
      </c>
      <c r="S184">
        <f>HYPERLINK("https://klasma.github.io/Logging_EKSJO/artfynd/A 15058-2020.xlsx", "A 15058-2020")</f>
        <v/>
      </c>
      <c r="T184">
        <f>HYPERLINK("https://klasma.github.io/Logging_EKSJO/kartor/A 15058-2020.png", "A 15058-2020")</f>
        <v/>
      </c>
      <c r="V184">
        <f>HYPERLINK("https://klasma.github.io/Logging_EKSJO/klagomål/A 15058-2020.docx", "A 15058-2020")</f>
        <v/>
      </c>
      <c r="W184">
        <f>HYPERLINK("https://klasma.github.io/Logging_EKSJO/klagomålsmail/A 15058-2020.docx", "A 15058-2020")</f>
        <v/>
      </c>
      <c r="X184">
        <f>HYPERLINK("https://klasma.github.io/Logging_EKSJO/tillsyn/A 15058-2020.docx", "A 15058-2020")</f>
        <v/>
      </c>
      <c r="Y184">
        <f>HYPERLINK("https://klasma.github.io/Logging_EKSJO/tillsynsmail/A 15058-2020.docx", "A 15058-2020")</f>
        <v/>
      </c>
    </row>
    <row r="185" ht="15" customHeight="1">
      <c r="A185" t="inlineStr">
        <is>
          <t>A 17322-2020</t>
        </is>
      </c>
      <c r="B185" s="1" t="n">
        <v>43922</v>
      </c>
      <c r="C185" s="1" t="n">
        <v>45186</v>
      </c>
      <c r="D185" t="inlineStr">
        <is>
          <t>JÖNKÖPINGS LÄN</t>
        </is>
      </c>
      <c r="E185" t="inlineStr">
        <is>
          <t>GNOSJÖ</t>
        </is>
      </c>
      <c r="G185" t="n">
        <v>1.4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HYPERLINK("https://klasma.github.io/Logging_GNOSJO/artfynd/A 17322-2020.xlsx", "A 17322-2020")</f>
        <v/>
      </c>
      <c r="T185">
        <f>HYPERLINK("https://klasma.github.io/Logging_GNOSJO/kartor/A 17322-2020.png", "A 17322-2020")</f>
        <v/>
      </c>
      <c r="V185">
        <f>HYPERLINK("https://klasma.github.io/Logging_GNOSJO/klagomål/A 17322-2020.docx", "A 17322-2020")</f>
        <v/>
      </c>
      <c r="W185">
        <f>HYPERLINK("https://klasma.github.io/Logging_GNOSJO/klagomålsmail/A 17322-2020.docx", "A 17322-2020")</f>
        <v/>
      </c>
      <c r="X185">
        <f>HYPERLINK("https://klasma.github.io/Logging_GNOSJO/tillsyn/A 17322-2020.docx", "A 17322-2020")</f>
        <v/>
      </c>
      <c r="Y185">
        <f>HYPERLINK("https://klasma.github.io/Logging_GNOSJO/tillsynsmail/A 17322-2020.docx", "A 17322-2020")</f>
        <v/>
      </c>
    </row>
    <row r="186" ht="15" customHeight="1">
      <c r="A186" t="inlineStr">
        <is>
          <t>A 26543-2020</t>
        </is>
      </c>
      <c r="B186" s="1" t="n">
        <v>43987</v>
      </c>
      <c r="C186" s="1" t="n">
        <v>45186</v>
      </c>
      <c r="D186" t="inlineStr">
        <is>
          <t>JÖNKÖPINGS LÄN</t>
        </is>
      </c>
      <c r="E186" t="inlineStr">
        <is>
          <t>NÄSSJÖ</t>
        </is>
      </c>
      <c r="G186" t="n">
        <v>5.4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Tibast</t>
        </is>
      </c>
      <c r="S186">
        <f>HYPERLINK("https://klasma.github.io/Logging_NASSJO/artfynd/A 26543-2020.xlsx", "A 26543-2020")</f>
        <v/>
      </c>
      <c r="T186">
        <f>HYPERLINK("https://klasma.github.io/Logging_NASSJO/kartor/A 26543-2020.png", "A 26543-2020")</f>
        <v/>
      </c>
      <c r="V186">
        <f>HYPERLINK("https://klasma.github.io/Logging_NASSJO/klagomål/A 26543-2020.docx", "A 26543-2020")</f>
        <v/>
      </c>
      <c r="W186">
        <f>HYPERLINK("https://klasma.github.io/Logging_NASSJO/klagomålsmail/A 26543-2020.docx", "A 26543-2020")</f>
        <v/>
      </c>
      <c r="X186">
        <f>HYPERLINK("https://klasma.github.io/Logging_NASSJO/tillsyn/A 26543-2020.docx", "A 26543-2020")</f>
        <v/>
      </c>
      <c r="Y186">
        <f>HYPERLINK("https://klasma.github.io/Logging_NASSJO/tillsynsmail/A 26543-2020.docx", "A 26543-2020")</f>
        <v/>
      </c>
    </row>
    <row r="187" ht="15" customHeight="1">
      <c r="A187" t="inlineStr">
        <is>
          <t>A 27698-2020</t>
        </is>
      </c>
      <c r="B187" s="1" t="n">
        <v>43994</v>
      </c>
      <c r="C187" s="1" t="n">
        <v>45186</v>
      </c>
      <c r="D187" t="inlineStr">
        <is>
          <t>JÖNKÖPINGS LÄN</t>
        </is>
      </c>
      <c r="E187" t="inlineStr">
        <is>
          <t>EKSJÖ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Gullklöver</t>
        </is>
      </c>
      <c r="S187">
        <f>HYPERLINK("https://klasma.github.io/Logging_EKSJO/artfynd/A 27698-2020.xlsx", "A 27698-2020")</f>
        <v/>
      </c>
      <c r="T187">
        <f>HYPERLINK("https://klasma.github.io/Logging_EKSJO/kartor/A 27698-2020.png", "A 27698-2020")</f>
        <v/>
      </c>
      <c r="V187">
        <f>HYPERLINK("https://klasma.github.io/Logging_EKSJO/klagomål/A 27698-2020.docx", "A 27698-2020")</f>
        <v/>
      </c>
      <c r="W187">
        <f>HYPERLINK("https://klasma.github.io/Logging_EKSJO/klagomålsmail/A 27698-2020.docx", "A 27698-2020")</f>
        <v/>
      </c>
      <c r="X187">
        <f>HYPERLINK("https://klasma.github.io/Logging_EKSJO/tillsyn/A 27698-2020.docx", "A 27698-2020")</f>
        <v/>
      </c>
      <c r="Y187">
        <f>HYPERLINK("https://klasma.github.io/Logging_EKSJO/tillsynsmail/A 27698-2020.docx", "A 27698-2020")</f>
        <v/>
      </c>
    </row>
    <row r="188" ht="15" customHeight="1">
      <c r="A188" t="inlineStr">
        <is>
          <t>A 36238-2020</t>
        </is>
      </c>
      <c r="B188" s="1" t="n">
        <v>44018</v>
      </c>
      <c r="C188" s="1" t="n">
        <v>45186</v>
      </c>
      <c r="D188" t="inlineStr">
        <is>
          <t>JÖNKÖPINGS LÄN</t>
        </is>
      </c>
      <c r="E188" t="inlineStr">
        <is>
          <t>JÖNKÖPING</t>
        </is>
      </c>
      <c r="G188" t="n">
        <v>15.6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Revlummer</t>
        </is>
      </c>
      <c r="S188">
        <f>HYPERLINK("https://klasma.github.io/Logging_JONKOPING/artfynd/A 36238-2020.xlsx", "A 36238-2020")</f>
        <v/>
      </c>
      <c r="T188">
        <f>HYPERLINK("https://klasma.github.io/Logging_JONKOPING/kartor/A 36238-2020.png", "A 36238-2020")</f>
        <v/>
      </c>
      <c r="V188">
        <f>HYPERLINK("https://klasma.github.io/Logging_JONKOPING/klagomål/A 36238-2020.docx", "A 36238-2020")</f>
        <v/>
      </c>
      <c r="W188">
        <f>HYPERLINK("https://klasma.github.io/Logging_JONKOPING/klagomålsmail/A 36238-2020.docx", "A 36238-2020")</f>
        <v/>
      </c>
      <c r="X188">
        <f>HYPERLINK("https://klasma.github.io/Logging_JONKOPING/tillsyn/A 36238-2020.docx", "A 36238-2020")</f>
        <v/>
      </c>
      <c r="Y188">
        <f>HYPERLINK("https://klasma.github.io/Logging_JONKOPING/tillsynsmail/A 36238-2020.docx", "A 36238-2020")</f>
        <v/>
      </c>
    </row>
    <row r="189" ht="15" customHeight="1">
      <c r="A189" t="inlineStr">
        <is>
          <t>A 36801-2020</t>
        </is>
      </c>
      <c r="B189" s="1" t="n">
        <v>44053</v>
      </c>
      <c r="C189" s="1" t="n">
        <v>45186</v>
      </c>
      <c r="D189" t="inlineStr">
        <is>
          <t>JÖNKÖPINGS LÄN</t>
        </is>
      </c>
      <c r="E189" t="inlineStr">
        <is>
          <t>VETLANDA</t>
        </is>
      </c>
      <c r="G189" t="n">
        <v>2.4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HYPERLINK("https://klasma.github.io/Logging_VETLANDA/artfynd/A 36801-2020.xlsx", "A 36801-2020")</f>
        <v/>
      </c>
      <c r="T189">
        <f>HYPERLINK("https://klasma.github.io/Logging_VETLANDA/kartor/A 36801-2020.png", "A 36801-2020")</f>
        <v/>
      </c>
      <c r="V189">
        <f>HYPERLINK("https://klasma.github.io/Logging_VETLANDA/klagomål/A 36801-2020.docx", "A 36801-2020")</f>
        <v/>
      </c>
      <c r="W189">
        <f>HYPERLINK("https://klasma.github.io/Logging_VETLANDA/klagomålsmail/A 36801-2020.docx", "A 36801-2020")</f>
        <v/>
      </c>
      <c r="X189">
        <f>HYPERLINK("https://klasma.github.io/Logging_VETLANDA/tillsyn/A 36801-2020.docx", "A 36801-2020")</f>
        <v/>
      </c>
      <c r="Y189">
        <f>HYPERLINK("https://klasma.github.io/Logging_VETLANDA/tillsynsmail/A 36801-2020.docx", "A 36801-2020")</f>
        <v/>
      </c>
    </row>
    <row r="190" ht="15" customHeight="1">
      <c r="A190" t="inlineStr">
        <is>
          <t>A 39588-2020</t>
        </is>
      </c>
      <c r="B190" s="1" t="n">
        <v>44064</v>
      </c>
      <c r="C190" s="1" t="n">
        <v>45186</v>
      </c>
      <c r="D190" t="inlineStr">
        <is>
          <t>JÖNKÖPINGS LÄN</t>
        </is>
      </c>
      <c r="E190" t="inlineStr">
        <is>
          <t>VETLANDA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HYPERLINK("https://klasma.github.io/Logging_VETLANDA/artfynd/A 39588-2020.xlsx", "A 39588-2020")</f>
        <v/>
      </c>
      <c r="T190">
        <f>HYPERLINK("https://klasma.github.io/Logging_VETLANDA/kartor/A 39588-2020.png", "A 39588-2020")</f>
        <v/>
      </c>
      <c r="V190">
        <f>HYPERLINK("https://klasma.github.io/Logging_VETLANDA/klagomål/A 39588-2020.docx", "A 39588-2020")</f>
        <v/>
      </c>
      <c r="W190">
        <f>HYPERLINK("https://klasma.github.io/Logging_VETLANDA/klagomålsmail/A 39588-2020.docx", "A 39588-2020")</f>
        <v/>
      </c>
      <c r="X190">
        <f>HYPERLINK("https://klasma.github.io/Logging_VETLANDA/tillsyn/A 39588-2020.docx", "A 39588-2020")</f>
        <v/>
      </c>
      <c r="Y190">
        <f>HYPERLINK("https://klasma.github.io/Logging_VETLANDA/tillsynsmail/A 39588-2020.docx", "A 39588-2020")</f>
        <v/>
      </c>
    </row>
    <row r="191" ht="15" customHeight="1">
      <c r="A191" t="inlineStr">
        <is>
          <t>A 44144-2020</t>
        </is>
      </c>
      <c r="B191" s="1" t="n">
        <v>44083</v>
      </c>
      <c r="C191" s="1" t="n">
        <v>45186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Kommuner</t>
        </is>
      </c>
      <c r="G191" t="n">
        <v>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HYPERLINK("https://klasma.github.io/Logging_JONKOPING/artfynd/A 44144-2020.xlsx", "A 44144-2020")</f>
        <v/>
      </c>
      <c r="T191">
        <f>HYPERLINK("https://klasma.github.io/Logging_JONKOPING/kartor/A 44144-2020.png", "A 44144-2020")</f>
        <v/>
      </c>
      <c r="V191">
        <f>HYPERLINK("https://klasma.github.io/Logging_JONKOPING/klagomål/A 44144-2020.docx", "A 44144-2020")</f>
        <v/>
      </c>
      <c r="W191">
        <f>HYPERLINK("https://klasma.github.io/Logging_JONKOPING/klagomålsmail/A 44144-2020.docx", "A 44144-2020")</f>
        <v/>
      </c>
      <c r="X191">
        <f>HYPERLINK("https://klasma.github.io/Logging_JONKOPING/tillsyn/A 44144-2020.docx", "A 44144-2020")</f>
        <v/>
      </c>
      <c r="Y191">
        <f>HYPERLINK("https://klasma.github.io/Logging_JONKOPING/tillsynsmail/A 44144-2020.docx", "A 44144-2020")</f>
        <v/>
      </c>
    </row>
    <row r="192" ht="15" customHeight="1">
      <c r="A192" t="inlineStr">
        <is>
          <t>A 46552-2020</t>
        </is>
      </c>
      <c r="B192" s="1" t="n">
        <v>44095</v>
      </c>
      <c r="C192" s="1" t="n">
        <v>45186</v>
      </c>
      <c r="D192" t="inlineStr">
        <is>
          <t>JÖNKÖPINGS LÄN</t>
        </is>
      </c>
      <c r="E192" t="inlineStr">
        <is>
          <t>JÖNKÖPING</t>
        </is>
      </c>
      <c r="G192" t="n">
        <v>1.8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Granspira</t>
        </is>
      </c>
      <c r="S192">
        <f>HYPERLINK("https://klasma.github.io/Logging_JONKOPING/artfynd/A 46552-2020.xlsx", "A 46552-2020")</f>
        <v/>
      </c>
      <c r="T192">
        <f>HYPERLINK("https://klasma.github.io/Logging_JONKOPING/kartor/A 46552-2020.png", "A 46552-2020")</f>
        <v/>
      </c>
      <c r="V192">
        <f>HYPERLINK("https://klasma.github.io/Logging_JONKOPING/klagomål/A 46552-2020.docx", "A 46552-2020")</f>
        <v/>
      </c>
      <c r="W192">
        <f>HYPERLINK("https://klasma.github.io/Logging_JONKOPING/klagomålsmail/A 46552-2020.docx", "A 46552-2020")</f>
        <v/>
      </c>
      <c r="X192">
        <f>HYPERLINK("https://klasma.github.io/Logging_JONKOPING/tillsyn/A 46552-2020.docx", "A 46552-2020")</f>
        <v/>
      </c>
      <c r="Y192">
        <f>HYPERLINK("https://klasma.github.io/Logging_JONKOPING/tillsynsmail/A 46552-2020.docx", "A 46552-2020")</f>
        <v/>
      </c>
    </row>
    <row r="193" ht="15" customHeight="1">
      <c r="A193" t="inlineStr">
        <is>
          <t>A 51106-2020</t>
        </is>
      </c>
      <c r="B193" s="1" t="n">
        <v>44112</v>
      </c>
      <c r="C193" s="1" t="n">
        <v>45186</v>
      </c>
      <c r="D193" t="inlineStr">
        <is>
          <t>JÖNKÖPINGS LÄN</t>
        </is>
      </c>
      <c r="E193" t="inlineStr">
        <is>
          <t>ANEBY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Ögonpyrola</t>
        </is>
      </c>
      <c r="S193">
        <f>HYPERLINK("https://klasma.github.io/Logging_ANEBY/artfynd/A 51106-2020.xlsx", "A 51106-2020")</f>
        <v/>
      </c>
      <c r="T193">
        <f>HYPERLINK("https://klasma.github.io/Logging_ANEBY/kartor/A 51106-2020.png", "A 51106-2020")</f>
        <v/>
      </c>
      <c r="V193">
        <f>HYPERLINK("https://klasma.github.io/Logging_ANEBY/klagomål/A 51106-2020.docx", "A 51106-2020")</f>
        <v/>
      </c>
      <c r="W193">
        <f>HYPERLINK("https://klasma.github.io/Logging_ANEBY/klagomålsmail/A 51106-2020.docx", "A 51106-2020")</f>
        <v/>
      </c>
      <c r="X193">
        <f>HYPERLINK("https://klasma.github.io/Logging_ANEBY/tillsyn/A 51106-2020.docx", "A 51106-2020")</f>
        <v/>
      </c>
      <c r="Y193">
        <f>HYPERLINK("https://klasma.github.io/Logging_ANEBY/tillsynsmail/A 51106-2020.docx", "A 51106-2020")</f>
        <v/>
      </c>
    </row>
    <row r="194" ht="15" customHeight="1">
      <c r="A194" t="inlineStr">
        <is>
          <t>A 56911-2020</t>
        </is>
      </c>
      <c r="B194" s="1" t="n">
        <v>44138</v>
      </c>
      <c r="C194" s="1" t="n">
        <v>45186</v>
      </c>
      <c r="D194" t="inlineStr">
        <is>
          <t>JÖNKÖPINGS LÄN</t>
        </is>
      </c>
      <c r="E194" t="inlineStr">
        <is>
          <t>VAGGERYD</t>
        </is>
      </c>
      <c r="F194" t="inlineStr">
        <is>
          <t>Övriga statliga verk och myndigheter</t>
        </is>
      </c>
      <c r="G194" t="n">
        <v>11.4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Kopparödla</t>
        </is>
      </c>
      <c r="S194">
        <f>HYPERLINK("https://klasma.github.io/Logging_VAGGERYD/artfynd/A 56911-2020.xlsx", "A 56911-2020")</f>
        <v/>
      </c>
      <c r="T194">
        <f>HYPERLINK("https://klasma.github.io/Logging_VAGGERYD/kartor/A 56911-2020.png", "A 56911-2020")</f>
        <v/>
      </c>
      <c r="V194">
        <f>HYPERLINK("https://klasma.github.io/Logging_VAGGERYD/klagomål/A 56911-2020.docx", "A 56911-2020")</f>
        <v/>
      </c>
      <c r="W194">
        <f>HYPERLINK("https://klasma.github.io/Logging_VAGGERYD/klagomålsmail/A 56911-2020.docx", "A 56911-2020")</f>
        <v/>
      </c>
      <c r="X194">
        <f>HYPERLINK("https://klasma.github.io/Logging_VAGGERYD/tillsyn/A 56911-2020.docx", "A 56911-2020")</f>
        <v/>
      </c>
      <c r="Y194">
        <f>HYPERLINK("https://klasma.github.io/Logging_VAGGERYD/tillsynsmail/A 56911-2020.docx", "A 56911-2020")</f>
        <v/>
      </c>
    </row>
    <row r="195" ht="15" customHeight="1">
      <c r="A195" t="inlineStr">
        <is>
          <t>A 60658-2020</t>
        </is>
      </c>
      <c r="B195" s="1" t="n">
        <v>44153</v>
      </c>
      <c r="C195" s="1" t="n">
        <v>45186</v>
      </c>
      <c r="D195" t="inlineStr">
        <is>
          <t>JÖNKÖPINGS LÄN</t>
        </is>
      </c>
      <c r="E195" t="inlineStr">
        <is>
          <t>TRANÅS</t>
        </is>
      </c>
      <c r="G195" t="n">
        <v>2.1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HYPERLINK("https://klasma.github.io/Logging_TRANAS/artfynd/A 60658-2020.xlsx", "A 60658-2020")</f>
        <v/>
      </c>
      <c r="T195">
        <f>HYPERLINK("https://klasma.github.io/Logging_TRANAS/kartor/A 60658-2020.png", "A 60658-2020")</f>
        <v/>
      </c>
      <c r="V195">
        <f>HYPERLINK("https://klasma.github.io/Logging_TRANAS/klagomål/A 60658-2020.docx", "A 60658-2020")</f>
        <v/>
      </c>
      <c r="W195">
        <f>HYPERLINK("https://klasma.github.io/Logging_TRANAS/klagomålsmail/A 60658-2020.docx", "A 60658-2020")</f>
        <v/>
      </c>
      <c r="X195">
        <f>HYPERLINK("https://klasma.github.io/Logging_TRANAS/tillsyn/A 60658-2020.docx", "A 60658-2020")</f>
        <v/>
      </c>
      <c r="Y195">
        <f>HYPERLINK("https://klasma.github.io/Logging_TRANAS/tillsynsmail/A 60658-2020.docx", "A 60658-2020")</f>
        <v/>
      </c>
    </row>
    <row r="196" ht="15" customHeight="1">
      <c r="A196" t="inlineStr">
        <is>
          <t>A 66211-2020</t>
        </is>
      </c>
      <c r="B196" s="1" t="n">
        <v>44175</v>
      </c>
      <c r="C196" s="1" t="n">
        <v>45186</v>
      </c>
      <c r="D196" t="inlineStr">
        <is>
          <t>JÖNKÖPINGS LÄN</t>
        </is>
      </c>
      <c r="E196" t="inlineStr">
        <is>
          <t>GNOSJÖ</t>
        </is>
      </c>
      <c r="G196" t="n">
        <v>2.2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Lopplummer</t>
        </is>
      </c>
      <c r="S196">
        <f>HYPERLINK("https://klasma.github.io/Logging_GNOSJO/artfynd/A 66211-2020.xlsx", "A 66211-2020")</f>
        <v/>
      </c>
      <c r="T196">
        <f>HYPERLINK("https://klasma.github.io/Logging_GNOSJO/kartor/A 66211-2020.png", "A 66211-2020")</f>
        <v/>
      </c>
      <c r="V196">
        <f>HYPERLINK("https://klasma.github.io/Logging_GNOSJO/klagomål/A 66211-2020.docx", "A 66211-2020")</f>
        <v/>
      </c>
      <c r="W196">
        <f>HYPERLINK("https://klasma.github.io/Logging_GNOSJO/klagomålsmail/A 66211-2020.docx", "A 66211-2020")</f>
        <v/>
      </c>
      <c r="X196">
        <f>HYPERLINK("https://klasma.github.io/Logging_GNOSJO/tillsyn/A 66211-2020.docx", "A 66211-2020")</f>
        <v/>
      </c>
      <c r="Y196">
        <f>HYPERLINK("https://klasma.github.io/Logging_GNOSJO/tillsynsmail/A 66211-2020.docx", "A 66211-2020")</f>
        <v/>
      </c>
    </row>
    <row r="197" ht="15" customHeight="1">
      <c r="A197" t="inlineStr">
        <is>
          <t>A 69070-2020</t>
        </is>
      </c>
      <c r="B197" s="1" t="n">
        <v>44187</v>
      </c>
      <c r="C197" s="1" t="n">
        <v>45186</v>
      </c>
      <c r="D197" t="inlineStr">
        <is>
          <t>JÖNKÖPINGS LÄN</t>
        </is>
      </c>
      <c r="E197" t="inlineStr">
        <is>
          <t>VETLANDA</t>
        </is>
      </c>
      <c r="G197" t="n">
        <v>4.2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Gropticka</t>
        </is>
      </c>
      <c r="S197">
        <f>HYPERLINK("https://klasma.github.io/Logging_VETLANDA/artfynd/A 69070-2020.xlsx", "A 69070-2020")</f>
        <v/>
      </c>
      <c r="T197">
        <f>HYPERLINK("https://klasma.github.io/Logging_VETLANDA/kartor/A 69070-2020.png", "A 69070-2020")</f>
        <v/>
      </c>
      <c r="V197">
        <f>HYPERLINK("https://klasma.github.io/Logging_VETLANDA/klagomål/A 69070-2020.docx", "A 69070-2020")</f>
        <v/>
      </c>
      <c r="W197">
        <f>HYPERLINK("https://klasma.github.io/Logging_VETLANDA/klagomålsmail/A 69070-2020.docx", "A 69070-2020")</f>
        <v/>
      </c>
      <c r="X197">
        <f>HYPERLINK("https://klasma.github.io/Logging_VETLANDA/tillsyn/A 69070-2020.docx", "A 69070-2020")</f>
        <v/>
      </c>
      <c r="Y197">
        <f>HYPERLINK("https://klasma.github.io/Logging_VETLANDA/tillsynsmail/A 69070-2020.docx", "A 69070-2020")</f>
        <v/>
      </c>
    </row>
    <row r="198" ht="15" customHeight="1">
      <c r="A198" t="inlineStr">
        <is>
          <t>A 1319-2021</t>
        </is>
      </c>
      <c r="B198" s="1" t="n">
        <v>44208</v>
      </c>
      <c r="C198" s="1" t="n">
        <v>45186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Backtimjan</t>
        </is>
      </c>
      <c r="S198">
        <f>HYPERLINK("https://klasma.github.io/Logging_GISLAVED/artfynd/A 1319-2021.xlsx", "A 1319-2021")</f>
        <v/>
      </c>
      <c r="T198">
        <f>HYPERLINK("https://klasma.github.io/Logging_GISLAVED/kartor/A 1319-2021.png", "A 1319-2021")</f>
        <v/>
      </c>
      <c r="V198">
        <f>HYPERLINK("https://klasma.github.io/Logging_GISLAVED/klagomål/A 1319-2021.docx", "A 1319-2021")</f>
        <v/>
      </c>
      <c r="W198">
        <f>HYPERLINK("https://klasma.github.io/Logging_GISLAVED/klagomålsmail/A 1319-2021.docx", "A 1319-2021")</f>
        <v/>
      </c>
      <c r="X198">
        <f>HYPERLINK("https://klasma.github.io/Logging_GISLAVED/tillsyn/A 1319-2021.docx", "A 1319-2021")</f>
        <v/>
      </c>
      <c r="Y198">
        <f>HYPERLINK("https://klasma.github.io/Logging_GISLAVED/tillsynsmail/A 1319-2021.docx", "A 1319-2021")</f>
        <v/>
      </c>
    </row>
    <row r="199" ht="15" customHeight="1">
      <c r="A199" t="inlineStr">
        <is>
          <t>A 1512-2021</t>
        </is>
      </c>
      <c r="B199" s="1" t="n">
        <v>44209</v>
      </c>
      <c r="C199" s="1" t="n">
        <v>45186</v>
      </c>
      <c r="D199" t="inlineStr">
        <is>
          <t>JÖNKÖPINGS LÄN</t>
        </is>
      </c>
      <c r="E199" t="inlineStr">
        <is>
          <t>NÄSSJÖ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Månlåsbräken</t>
        </is>
      </c>
      <c r="S199">
        <f>HYPERLINK("https://klasma.github.io/Logging_NASSJO/artfynd/A 1512-2021.xlsx", "A 1512-2021")</f>
        <v/>
      </c>
      <c r="T199">
        <f>HYPERLINK("https://klasma.github.io/Logging_NASSJO/kartor/A 1512-2021.png", "A 1512-2021")</f>
        <v/>
      </c>
      <c r="V199">
        <f>HYPERLINK("https://klasma.github.io/Logging_NASSJO/klagomål/A 1512-2021.docx", "A 1512-2021")</f>
        <v/>
      </c>
      <c r="W199">
        <f>HYPERLINK("https://klasma.github.io/Logging_NASSJO/klagomålsmail/A 1512-2021.docx", "A 1512-2021")</f>
        <v/>
      </c>
      <c r="X199">
        <f>HYPERLINK("https://klasma.github.io/Logging_NASSJO/tillsyn/A 1512-2021.docx", "A 1512-2021")</f>
        <v/>
      </c>
      <c r="Y199">
        <f>HYPERLINK("https://klasma.github.io/Logging_NASSJO/tillsynsmail/A 1512-2021.docx", "A 1512-2021")</f>
        <v/>
      </c>
    </row>
    <row r="200" ht="15" customHeight="1">
      <c r="A200" t="inlineStr">
        <is>
          <t>A 7365-2021</t>
        </is>
      </c>
      <c r="B200" s="1" t="n">
        <v>44239</v>
      </c>
      <c r="C200" s="1" t="n">
        <v>45186</v>
      </c>
      <c r="D200" t="inlineStr">
        <is>
          <t>JÖNKÖPINGS LÄN</t>
        </is>
      </c>
      <c r="E200" t="inlineStr">
        <is>
          <t>TRANÅS</t>
        </is>
      </c>
      <c r="G200" t="n">
        <v>5.2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HYPERLINK("https://klasma.github.io/Logging_TRANAS/artfynd/A 7365-2021.xlsx", "A 7365-2021")</f>
        <v/>
      </c>
      <c r="T200">
        <f>HYPERLINK("https://klasma.github.io/Logging_TRANAS/kartor/A 7365-2021.png", "A 7365-2021")</f>
        <v/>
      </c>
      <c r="V200">
        <f>HYPERLINK("https://klasma.github.io/Logging_TRANAS/klagomål/A 7365-2021.docx", "A 7365-2021")</f>
        <v/>
      </c>
      <c r="W200">
        <f>HYPERLINK("https://klasma.github.io/Logging_TRANAS/klagomålsmail/A 7365-2021.docx", "A 7365-2021")</f>
        <v/>
      </c>
      <c r="X200">
        <f>HYPERLINK("https://klasma.github.io/Logging_TRANAS/tillsyn/A 7365-2021.docx", "A 7365-2021")</f>
        <v/>
      </c>
      <c r="Y200">
        <f>HYPERLINK("https://klasma.github.io/Logging_TRANAS/tillsynsmail/A 7365-2021.docx", "A 7365-2021")</f>
        <v/>
      </c>
    </row>
    <row r="201" ht="15" customHeight="1">
      <c r="A201" t="inlineStr">
        <is>
          <t>A 11278-2021</t>
        </is>
      </c>
      <c r="B201" s="1" t="n">
        <v>44262</v>
      </c>
      <c r="C201" s="1" t="n">
        <v>45186</v>
      </c>
      <c r="D201" t="inlineStr">
        <is>
          <t>JÖNKÖPINGS LÄN</t>
        </is>
      </c>
      <c r="E201" t="inlineStr">
        <is>
          <t>TRANÅS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Skogsalm</t>
        </is>
      </c>
      <c r="S201">
        <f>HYPERLINK("https://klasma.github.io/Logging_TRANAS/artfynd/A 11278-2021.xlsx", "A 11278-2021")</f>
        <v/>
      </c>
      <c r="T201">
        <f>HYPERLINK("https://klasma.github.io/Logging_TRANAS/kartor/A 11278-2021.png", "A 11278-2021")</f>
        <v/>
      </c>
      <c r="V201">
        <f>HYPERLINK("https://klasma.github.io/Logging_TRANAS/klagomål/A 11278-2021.docx", "A 11278-2021")</f>
        <v/>
      </c>
      <c r="W201">
        <f>HYPERLINK("https://klasma.github.io/Logging_TRANAS/klagomålsmail/A 11278-2021.docx", "A 11278-2021")</f>
        <v/>
      </c>
      <c r="X201">
        <f>HYPERLINK("https://klasma.github.io/Logging_TRANAS/tillsyn/A 11278-2021.docx", "A 11278-2021")</f>
        <v/>
      </c>
      <c r="Y201">
        <f>HYPERLINK("https://klasma.github.io/Logging_TRANAS/tillsynsmail/A 11278-2021.docx", "A 11278-2021")</f>
        <v/>
      </c>
    </row>
    <row r="202" ht="15" customHeight="1">
      <c r="A202" t="inlineStr">
        <is>
          <t>A 14138-2021</t>
        </is>
      </c>
      <c r="B202" s="1" t="n">
        <v>44278</v>
      </c>
      <c r="C202" s="1" t="n">
        <v>45186</v>
      </c>
      <c r="D202" t="inlineStr">
        <is>
          <t>JÖNKÖPINGS LÄN</t>
        </is>
      </c>
      <c r="E202" t="inlineStr">
        <is>
          <t>JÖNKÖPING</t>
        </is>
      </c>
      <c r="G202" t="n">
        <v>1.2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Svart trolldruva</t>
        </is>
      </c>
      <c r="S202">
        <f>HYPERLINK("https://klasma.github.io/Logging_JONKOPING/artfynd/A 14138-2021.xlsx", "A 14138-2021")</f>
        <v/>
      </c>
      <c r="T202">
        <f>HYPERLINK("https://klasma.github.io/Logging_JONKOPING/kartor/A 14138-2021.png", "A 14138-2021")</f>
        <v/>
      </c>
      <c r="V202">
        <f>HYPERLINK("https://klasma.github.io/Logging_JONKOPING/klagomål/A 14138-2021.docx", "A 14138-2021")</f>
        <v/>
      </c>
      <c r="W202">
        <f>HYPERLINK("https://klasma.github.io/Logging_JONKOPING/klagomålsmail/A 14138-2021.docx", "A 14138-2021")</f>
        <v/>
      </c>
      <c r="X202">
        <f>HYPERLINK("https://klasma.github.io/Logging_JONKOPING/tillsyn/A 14138-2021.docx", "A 14138-2021")</f>
        <v/>
      </c>
      <c r="Y202">
        <f>HYPERLINK("https://klasma.github.io/Logging_JONKOPING/tillsynsmail/A 14138-2021.docx", "A 14138-2021")</f>
        <v/>
      </c>
    </row>
    <row r="203" ht="15" customHeight="1">
      <c r="A203" t="inlineStr">
        <is>
          <t>A 14385-2021</t>
        </is>
      </c>
      <c r="B203" s="1" t="n">
        <v>44279</v>
      </c>
      <c r="C203" s="1" t="n">
        <v>45186</v>
      </c>
      <c r="D203" t="inlineStr">
        <is>
          <t>JÖNKÖPINGS LÄN</t>
        </is>
      </c>
      <c r="E203" t="inlineStr">
        <is>
          <t>VETLANDA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HYPERLINK("https://klasma.github.io/Logging_VETLANDA/artfynd/A 14385-2021.xlsx", "A 14385-2021")</f>
        <v/>
      </c>
      <c r="T203">
        <f>HYPERLINK("https://klasma.github.io/Logging_VETLANDA/kartor/A 14385-2021.png", "A 14385-2021")</f>
        <v/>
      </c>
      <c r="V203">
        <f>HYPERLINK("https://klasma.github.io/Logging_VETLANDA/klagomål/A 14385-2021.docx", "A 14385-2021")</f>
        <v/>
      </c>
      <c r="W203">
        <f>HYPERLINK("https://klasma.github.io/Logging_VETLANDA/klagomålsmail/A 14385-2021.docx", "A 14385-2021")</f>
        <v/>
      </c>
      <c r="X203">
        <f>HYPERLINK("https://klasma.github.io/Logging_VETLANDA/tillsyn/A 14385-2021.docx", "A 14385-2021")</f>
        <v/>
      </c>
      <c r="Y203">
        <f>HYPERLINK("https://klasma.github.io/Logging_VETLANDA/tillsynsmail/A 14385-2021.docx", "A 14385-2021")</f>
        <v/>
      </c>
    </row>
    <row r="204" ht="15" customHeight="1">
      <c r="A204" t="inlineStr">
        <is>
          <t>A 18270-2021</t>
        </is>
      </c>
      <c r="B204" s="1" t="n">
        <v>44305</v>
      </c>
      <c r="C204" s="1" t="n">
        <v>45186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Ögonpyrola</t>
        </is>
      </c>
      <c r="S204">
        <f>HYPERLINK("https://klasma.github.io/Logging_VETLANDA/artfynd/A 18270-2021.xlsx", "A 18270-2021")</f>
        <v/>
      </c>
      <c r="T204">
        <f>HYPERLINK("https://klasma.github.io/Logging_VETLANDA/kartor/A 18270-2021.png", "A 18270-2021")</f>
        <v/>
      </c>
      <c r="V204">
        <f>HYPERLINK("https://klasma.github.io/Logging_VETLANDA/klagomål/A 18270-2021.docx", "A 18270-2021")</f>
        <v/>
      </c>
      <c r="W204">
        <f>HYPERLINK("https://klasma.github.io/Logging_VETLANDA/klagomålsmail/A 18270-2021.docx", "A 18270-2021")</f>
        <v/>
      </c>
      <c r="X204">
        <f>HYPERLINK("https://klasma.github.io/Logging_VETLANDA/tillsyn/A 18270-2021.docx", "A 18270-2021")</f>
        <v/>
      </c>
      <c r="Y204">
        <f>HYPERLINK("https://klasma.github.io/Logging_VETLANDA/tillsynsmail/A 18270-2021.docx", "A 18270-2021")</f>
        <v/>
      </c>
    </row>
    <row r="205" ht="15" customHeight="1">
      <c r="A205" t="inlineStr">
        <is>
          <t>A 26049-2021</t>
        </is>
      </c>
      <c r="B205" s="1" t="n">
        <v>44344</v>
      </c>
      <c r="C205" s="1" t="n">
        <v>45186</v>
      </c>
      <c r="D205" t="inlineStr">
        <is>
          <t>JÖNKÖPINGS LÄN</t>
        </is>
      </c>
      <c r="E205" t="inlineStr">
        <is>
          <t>VAGGERYD</t>
        </is>
      </c>
      <c r="G205" t="n">
        <v>7.1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Kungsörn</t>
        </is>
      </c>
      <c r="S205">
        <f>HYPERLINK("https://klasma.github.io/Logging_VAGGERYD/artfynd/A 26049-2021.xlsx", "A 26049-2021")</f>
        <v/>
      </c>
      <c r="T205">
        <f>HYPERLINK("https://klasma.github.io/Logging_VAGGERYD/kartor/A 26049-2021.png", "A 26049-2021")</f>
        <v/>
      </c>
      <c r="V205">
        <f>HYPERLINK("https://klasma.github.io/Logging_VAGGERYD/klagomål/A 26049-2021.docx", "A 26049-2021")</f>
        <v/>
      </c>
      <c r="W205">
        <f>HYPERLINK("https://klasma.github.io/Logging_VAGGERYD/klagomålsmail/A 26049-2021.docx", "A 26049-2021")</f>
        <v/>
      </c>
      <c r="X205">
        <f>HYPERLINK("https://klasma.github.io/Logging_VAGGERYD/tillsyn/A 26049-2021.docx", "A 26049-2021")</f>
        <v/>
      </c>
      <c r="Y205">
        <f>HYPERLINK("https://klasma.github.io/Logging_VAGGERYD/tillsynsmail/A 26049-2021.docx", "A 26049-2021")</f>
        <v/>
      </c>
    </row>
    <row r="206" ht="15" customHeight="1">
      <c r="A206" t="inlineStr">
        <is>
          <t>A 32245-2021</t>
        </is>
      </c>
      <c r="B206" s="1" t="n">
        <v>44371</v>
      </c>
      <c r="C206" s="1" t="n">
        <v>45186</v>
      </c>
      <c r="D206" t="inlineStr">
        <is>
          <t>JÖNKÖPINGS LÄN</t>
        </is>
      </c>
      <c r="E206" t="inlineStr">
        <is>
          <t>NÄSSJÖ</t>
        </is>
      </c>
      <c r="F206" t="inlineStr">
        <is>
          <t>Kommuner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HYPERLINK("https://klasma.github.io/Logging_NASSJO/artfynd/A 32245-2021.xlsx", "A 32245-2021")</f>
        <v/>
      </c>
      <c r="T206">
        <f>HYPERLINK("https://klasma.github.io/Logging_NASSJO/kartor/A 32245-2021.png", "A 32245-2021")</f>
        <v/>
      </c>
      <c r="V206">
        <f>HYPERLINK("https://klasma.github.io/Logging_NASSJO/klagomål/A 32245-2021.docx", "A 32245-2021")</f>
        <v/>
      </c>
      <c r="W206">
        <f>HYPERLINK("https://klasma.github.io/Logging_NASSJO/klagomålsmail/A 32245-2021.docx", "A 32245-2021")</f>
        <v/>
      </c>
      <c r="X206">
        <f>HYPERLINK("https://klasma.github.io/Logging_NASSJO/tillsyn/A 32245-2021.docx", "A 32245-2021")</f>
        <v/>
      </c>
      <c r="Y206">
        <f>HYPERLINK("https://klasma.github.io/Logging_NASSJO/tillsynsmail/A 32245-2021.docx", "A 32245-2021")</f>
        <v/>
      </c>
    </row>
    <row r="207" ht="15" customHeight="1">
      <c r="A207" t="inlineStr">
        <is>
          <t>A 40268-2021</t>
        </is>
      </c>
      <c r="B207" s="1" t="n">
        <v>44419</v>
      </c>
      <c r="C207" s="1" t="n">
        <v>45186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Strutbräken</t>
        </is>
      </c>
      <c r="S207">
        <f>HYPERLINK("https://klasma.github.io/Logging_JONKOPING/artfynd/A 40268-2021.xlsx", "A 40268-2021")</f>
        <v/>
      </c>
      <c r="T207">
        <f>HYPERLINK("https://klasma.github.io/Logging_JONKOPING/kartor/A 40268-2021.png", "A 40268-2021")</f>
        <v/>
      </c>
      <c r="V207">
        <f>HYPERLINK("https://klasma.github.io/Logging_JONKOPING/klagomål/A 40268-2021.docx", "A 40268-2021")</f>
        <v/>
      </c>
      <c r="W207">
        <f>HYPERLINK("https://klasma.github.io/Logging_JONKOPING/klagomålsmail/A 40268-2021.docx", "A 40268-2021")</f>
        <v/>
      </c>
      <c r="X207">
        <f>HYPERLINK("https://klasma.github.io/Logging_JONKOPING/tillsyn/A 40268-2021.docx", "A 40268-2021")</f>
        <v/>
      </c>
      <c r="Y207">
        <f>HYPERLINK("https://klasma.github.io/Logging_JONKOPING/tillsynsmail/A 40268-2021.docx", "A 40268-2021")</f>
        <v/>
      </c>
    </row>
    <row r="208" ht="15" customHeight="1">
      <c r="A208" t="inlineStr">
        <is>
          <t>A 44177-2021</t>
        </is>
      </c>
      <c r="B208" s="1" t="n">
        <v>44434</v>
      </c>
      <c r="C208" s="1" t="n">
        <v>45186</v>
      </c>
      <c r="D208" t="inlineStr">
        <is>
          <t>JÖNKÖPINGS LÄN</t>
        </is>
      </c>
      <c r="E208" t="inlineStr">
        <is>
          <t>VETLANDA</t>
        </is>
      </c>
      <c r="G208" t="n">
        <v>2.6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Solvända</t>
        </is>
      </c>
      <c r="S208">
        <f>HYPERLINK("https://klasma.github.io/Logging_VETLANDA/artfynd/A 44177-2021.xlsx", "A 44177-2021")</f>
        <v/>
      </c>
      <c r="T208">
        <f>HYPERLINK("https://klasma.github.io/Logging_VETLANDA/kartor/A 44177-2021.png", "A 44177-2021")</f>
        <v/>
      </c>
      <c r="V208">
        <f>HYPERLINK("https://klasma.github.io/Logging_VETLANDA/klagomål/A 44177-2021.docx", "A 44177-2021")</f>
        <v/>
      </c>
      <c r="W208">
        <f>HYPERLINK("https://klasma.github.io/Logging_VETLANDA/klagomålsmail/A 44177-2021.docx", "A 44177-2021")</f>
        <v/>
      </c>
      <c r="X208">
        <f>HYPERLINK("https://klasma.github.io/Logging_VETLANDA/tillsyn/A 44177-2021.docx", "A 44177-2021")</f>
        <v/>
      </c>
      <c r="Y208">
        <f>HYPERLINK("https://klasma.github.io/Logging_VETLANDA/tillsynsmail/A 44177-2021.docx", "A 44177-2021")</f>
        <v/>
      </c>
    </row>
    <row r="209" ht="15" customHeight="1">
      <c r="A209" t="inlineStr">
        <is>
          <t>A 46862-2021</t>
        </is>
      </c>
      <c r="B209" s="1" t="n">
        <v>44446</v>
      </c>
      <c r="C209" s="1" t="n">
        <v>45186</v>
      </c>
      <c r="D209" t="inlineStr">
        <is>
          <t>JÖNKÖPINGS LÄN</t>
        </is>
      </c>
      <c r="E209" t="inlineStr">
        <is>
          <t>VETLANDA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HYPERLINK("https://klasma.github.io/Logging_VETLANDA/artfynd/A 46862-2021.xlsx", "A 46862-2021")</f>
        <v/>
      </c>
      <c r="T209">
        <f>HYPERLINK("https://klasma.github.io/Logging_VETLANDA/kartor/A 46862-2021.png", "A 46862-2021")</f>
        <v/>
      </c>
      <c r="V209">
        <f>HYPERLINK("https://klasma.github.io/Logging_VETLANDA/klagomål/A 46862-2021.docx", "A 46862-2021")</f>
        <v/>
      </c>
      <c r="W209">
        <f>HYPERLINK("https://klasma.github.io/Logging_VETLANDA/klagomålsmail/A 46862-2021.docx", "A 46862-2021")</f>
        <v/>
      </c>
      <c r="X209">
        <f>HYPERLINK("https://klasma.github.io/Logging_VETLANDA/tillsyn/A 46862-2021.docx", "A 46862-2021")</f>
        <v/>
      </c>
      <c r="Y209">
        <f>HYPERLINK("https://klasma.github.io/Logging_VETLANDA/tillsynsmail/A 46862-2021.docx", "A 46862-2021")</f>
        <v/>
      </c>
    </row>
    <row r="210" ht="15" customHeight="1">
      <c r="A210" t="inlineStr">
        <is>
          <t>A 48001-2021</t>
        </is>
      </c>
      <c r="B210" s="1" t="n">
        <v>44449</v>
      </c>
      <c r="C210" s="1" t="n">
        <v>45186</v>
      </c>
      <c r="D210" t="inlineStr">
        <is>
          <t>JÖNKÖPINGS LÄN</t>
        </is>
      </c>
      <c r="E210" t="inlineStr">
        <is>
          <t>JÖNKÖPING</t>
        </is>
      </c>
      <c r="G210" t="n">
        <v>3.1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Sågtandad mycelbagge</t>
        </is>
      </c>
      <c r="S210">
        <f>HYPERLINK("https://klasma.github.io/Logging_JONKOPING/artfynd/A 48001-2021.xlsx", "A 48001-2021")</f>
        <v/>
      </c>
      <c r="T210">
        <f>HYPERLINK("https://klasma.github.io/Logging_JONKOPING/kartor/A 48001-2021.png", "A 48001-2021")</f>
        <v/>
      </c>
      <c r="V210">
        <f>HYPERLINK("https://klasma.github.io/Logging_JONKOPING/klagomål/A 48001-2021.docx", "A 48001-2021")</f>
        <v/>
      </c>
      <c r="W210">
        <f>HYPERLINK("https://klasma.github.io/Logging_JONKOPING/klagomålsmail/A 48001-2021.docx", "A 48001-2021")</f>
        <v/>
      </c>
      <c r="X210">
        <f>HYPERLINK("https://klasma.github.io/Logging_JONKOPING/tillsyn/A 48001-2021.docx", "A 48001-2021")</f>
        <v/>
      </c>
      <c r="Y210">
        <f>HYPERLINK("https://klasma.github.io/Logging_JONKOPING/tillsynsmail/A 48001-2021.docx", "A 48001-2021")</f>
        <v/>
      </c>
    </row>
    <row r="211" ht="15" customHeight="1">
      <c r="A211" t="inlineStr">
        <is>
          <t>A 49388-2021</t>
        </is>
      </c>
      <c r="B211" s="1" t="n">
        <v>44454</v>
      </c>
      <c r="C211" s="1" t="n">
        <v>45186</v>
      </c>
      <c r="D211" t="inlineStr">
        <is>
          <t>JÖNKÖPINGS LÄN</t>
        </is>
      </c>
      <c r="E211" t="inlineStr">
        <is>
          <t>VETLANDA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HYPERLINK("https://klasma.github.io/Logging_VETLANDA/artfynd/A 49388-2021.xlsx", "A 49388-2021")</f>
        <v/>
      </c>
      <c r="T211">
        <f>HYPERLINK("https://klasma.github.io/Logging_VETLANDA/kartor/A 49388-2021.png", "A 49388-2021")</f>
        <v/>
      </c>
      <c r="V211">
        <f>HYPERLINK("https://klasma.github.io/Logging_VETLANDA/klagomål/A 49388-2021.docx", "A 49388-2021")</f>
        <v/>
      </c>
      <c r="W211">
        <f>HYPERLINK("https://klasma.github.io/Logging_VETLANDA/klagomålsmail/A 49388-2021.docx", "A 49388-2021")</f>
        <v/>
      </c>
      <c r="X211">
        <f>HYPERLINK("https://klasma.github.io/Logging_VETLANDA/tillsyn/A 49388-2021.docx", "A 49388-2021")</f>
        <v/>
      </c>
      <c r="Y211">
        <f>HYPERLINK("https://klasma.github.io/Logging_VETLANDA/tillsynsmail/A 49388-2021.docx", "A 49388-2021")</f>
        <v/>
      </c>
    </row>
    <row r="212" ht="15" customHeight="1">
      <c r="A212" t="inlineStr">
        <is>
          <t>A 51852-2021</t>
        </is>
      </c>
      <c r="B212" s="1" t="n">
        <v>44462</v>
      </c>
      <c r="C212" s="1" t="n">
        <v>45186</v>
      </c>
      <c r="D212" t="inlineStr">
        <is>
          <t>JÖNKÖPINGS LÄN</t>
        </is>
      </c>
      <c r="E212" t="inlineStr">
        <is>
          <t>VETLANDA</t>
        </is>
      </c>
      <c r="G212" t="n">
        <v>3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Revlummer</t>
        </is>
      </c>
      <c r="S212">
        <f>HYPERLINK("https://klasma.github.io/Logging_VETLANDA/artfynd/A 51852-2021.xlsx", "A 51852-2021")</f>
        <v/>
      </c>
      <c r="T212">
        <f>HYPERLINK("https://klasma.github.io/Logging_VETLANDA/kartor/A 51852-2021.png", "A 51852-2021")</f>
        <v/>
      </c>
      <c r="V212">
        <f>HYPERLINK("https://klasma.github.io/Logging_VETLANDA/klagomål/A 51852-2021.docx", "A 51852-2021")</f>
        <v/>
      </c>
      <c r="W212">
        <f>HYPERLINK("https://klasma.github.io/Logging_VETLANDA/klagomålsmail/A 51852-2021.docx", "A 51852-2021")</f>
        <v/>
      </c>
      <c r="X212">
        <f>HYPERLINK("https://klasma.github.io/Logging_VETLANDA/tillsyn/A 51852-2021.docx", "A 51852-2021")</f>
        <v/>
      </c>
      <c r="Y212">
        <f>HYPERLINK("https://klasma.github.io/Logging_VETLANDA/tillsynsmail/A 51852-2021.docx", "A 51852-2021")</f>
        <v/>
      </c>
    </row>
    <row r="213" ht="15" customHeight="1">
      <c r="A213" t="inlineStr">
        <is>
          <t>A 52023-2021</t>
        </is>
      </c>
      <c r="B213" s="1" t="n">
        <v>44463</v>
      </c>
      <c r="C213" s="1" t="n">
        <v>45186</v>
      </c>
      <c r="D213" t="inlineStr">
        <is>
          <t>JÖNKÖPINGS LÄN</t>
        </is>
      </c>
      <c r="E213" t="inlineStr">
        <is>
          <t>JÖNKÖPING</t>
        </is>
      </c>
      <c r="G213" t="n">
        <v>2.9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Springkorn</t>
        </is>
      </c>
      <c r="S213">
        <f>HYPERLINK("https://klasma.github.io/Logging_JONKOPING/artfynd/A 52023-2021.xlsx", "A 52023-2021")</f>
        <v/>
      </c>
      <c r="T213">
        <f>HYPERLINK("https://klasma.github.io/Logging_JONKOPING/kartor/A 52023-2021.png", "A 52023-2021")</f>
        <v/>
      </c>
      <c r="V213">
        <f>HYPERLINK("https://klasma.github.io/Logging_JONKOPING/klagomål/A 52023-2021.docx", "A 52023-2021")</f>
        <v/>
      </c>
      <c r="W213">
        <f>HYPERLINK("https://klasma.github.io/Logging_JONKOPING/klagomålsmail/A 52023-2021.docx", "A 52023-2021")</f>
        <v/>
      </c>
      <c r="X213">
        <f>HYPERLINK("https://klasma.github.io/Logging_JONKOPING/tillsyn/A 52023-2021.docx", "A 52023-2021")</f>
        <v/>
      </c>
      <c r="Y213">
        <f>HYPERLINK("https://klasma.github.io/Logging_JONKOPING/tillsynsmail/A 52023-2021.docx", "A 52023-2021")</f>
        <v/>
      </c>
    </row>
    <row r="214" ht="15" customHeight="1">
      <c r="A214" t="inlineStr">
        <is>
          <t>A 53025-2021</t>
        </is>
      </c>
      <c r="B214" s="1" t="n">
        <v>44467</v>
      </c>
      <c r="C214" s="1" t="n">
        <v>45186</v>
      </c>
      <c r="D214" t="inlineStr">
        <is>
          <t>JÖNKÖPINGS LÄN</t>
        </is>
      </c>
      <c r="E214" t="inlineStr">
        <is>
          <t>JÖNKÖPING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Slåttergubbe</t>
        </is>
      </c>
      <c r="S214">
        <f>HYPERLINK("https://klasma.github.io/Logging_JONKOPING/artfynd/A 53025-2021.xlsx", "A 53025-2021")</f>
        <v/>
      </c>
      <c r="T214">
        <f>HYPERLINK("https://klasma.github.io/Logging_JONKOPING/kartor/A 53025-2021.png", "A 53025-2021")</f>
        <v/>
      </c>
      <c r="V214">
        <f>HYPERLINK("https://klasma.github.io/Logging_JONKOPING/klagomål/A 53025-2021.docx", "A 53025-2021")</f>
        <v/>
      </c>
      <c r="W214">
        <f>HYPERLINK("https://klasma.github.io/Logging_JONKOPING/klagomålsmail/A 53025-2021.docx", "A 53025-2021")</f>
        <v/>
      </c>
      <c r="X214">
        <f>HYPERLINK("https://klasma.github.io/Logging_JONKOPING/tillsyn/A 53025-2021.docx", "A 53025-2021")</f>
        <v/>
      </c>
      <c r="Y214">
        <f>HYPERLINK("https://klasma.github.io/Logging_JONKOPING/tillsynsmail/A 53025-2021.docx", "A 53025-2021")</f>
        <v/>
      </c>
    </row>
    <row r="215" ht="15" customHeight="1">
      <c r="A215" t="inlineStr">
        <is>
          <t>A 53670-2021</t>
        </is>
      </c>
      <c r="B215" s="1" t="n">
        <v>44469</v>
      </c>
      <c r="C215" s="1" t="n">
        <v>45186</v>
      </c>
      <c r="D215" t="inlineStr">
        <is>
          <t>JÖNKÖPINGS LÄN</t>
        </is>
      </c>
      <c r="E215" t="inlineStr">
        <is>
          <t>JÖNKÖPING</t>
        </is>
      </c>
      <c r="G215" t="n">
        <v>4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HYPERLINK("https://klasma.github.io/Logging_JONKOPING/artfynd/A 53670-2021.xlsx", "A 53670-2021")</f>
        <v/>
      </c>
      <c r="T215">
        <f>HYPERLINK("https://klasma.github.io/Logging_JONKOPING/kartor/A 53670-2021.png", "A 53670-2021")</f>
        <v/>
      </c>
      <c r="U215">
        <f>HYPERLINK("https://klasma.github.io/Logging_JONKOPING/knärot/A 53670-2021.png", "A 53670-2021")</f>
        <v/>
      </c>
      <c r="V215">
        <f>HYPERLINK("https://klasma.github.io/Logging_JONKOPING/klagomål/A 53670-2021.docx", "A 53670-2021")</f>
        <v/>
      </c>
      <c r="W215">
        <f>HYPERLINK("https://klasma.github.io/Logging_JONKOPING/klagomålsmail/A 53670-2021.docx", "A 53670-2021")</f>
        <v/>
      </c>
      <c r="X215">
        <f>HYPERLINK("https://klasma.github.io/Logging_JONKOPING/tillsyn/A 53670-2021.docx", "A 53670-2021")</f>
        <v/>
      </c>
      <c r="Y215">
        <f>HYPERLINK("https://klasma.github.io/Logging_JONKOPING/tillsynsmail/A 53670-2021.docx", "A 53670-2021")</f>
        <v/>
      </c>
    </row>
    <row r="216" ht="15" customHeight="1">
      <c r="A216" t="inlineStr">
        <is>
          <t>A 61201-2021</t>
        </is>
      </c>
      <c r="B216" s="1" t="n">
        <v>44498</v>
      </c>
      <c r="C216" s="1" t="n">
        <v>45186</v>
      </c>
      <c r="D216" t="inlineStr">
        <is>
          <t>JÖNKÖPINGS LÄN</t>
        </is>
      </c>
      <c r="E216" t="inlineStr">
        <is>
          <t>NÄSSJÖ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HYPERLINK("https://klasma.github.io/Logging_NASSJO/artfynd/A 61201-2021.xlsx", "A 61201-2021")</f>
        <v/>
      </c>
      <c r="T216">
        <f>HYPERLINK("https://klasma.github.io/Logging_NASSJO/kartor/A 61201-2021.png", "A 61201-2021")</f>
        <v/>
      </c>
      <c r="V216">
        <f>HYPERLINK("https://klasma.github.io/Logging_NASSJO/klagomål/A 61201-2021.docx", "A 61201-2021")</f>
        <v/>
      </c>
      <c r="W216">
        <f>HYPERLINK("https://klasma.github.io/Logging_NASSJO/klagomålsmail/A 61201-2021.docx", "A 61201-2021")</f>
        <v/>
      </c>
      <c r="X216">
        <f>HYPERLINK("https://klasma.github.io/Logging_NASSJO/tillsyn/A 61201-2021.docx", "A 61201-2021")</f>
        <v/>
      </c>
      <c r="Y216">
        <f>HYPERLINK("https://klasma.github.io/Logging_NASSJO/tillsynsmail/A 61201-2021.docx", "A 61201-2021")</f>
        <v/>
      </c>
    </row>
    <row r="217" ht="15" customHeight="1">
      <c r="A217" t="inlineStr">
        <is>
          <t>A 63418-2021</t>
        </is>
      </c>
      <c r="B217" s="1" t="n">
        <v>44508</v>
      </c>
      <c r="C217" s="1" t="n">
        <v>45186</v>
      </c>
      <c r="D217" t="inlineStr">
        <is>
          <t>JÖNKÖPINGS LÄN</t>
        </is>
      </c>
      <c r="E217" t="inlineStr">
        <is>
          <t>VÄRNAMO</t>
        </is>
      </c>
      <c r="G217" t="n">
        <v>8.4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Motaggsvamp</t>
        </is>
      </c>
      <c r="S217">
        <f>HYPERLINK("https://klasma.github.io/Logging_VARNAMO/artfynd/A 63418-2021.xlsx", "A 63418-2021")</f>
        <v/>
      </c>
      <c r="T217">
        <f>HYPERLINK("https://klasma.github.io/Logging_VARNAMO/kartor/A 63418-2021.png", "A 63418-2021")</f>
        <v/>
      </c>
      <c r="V217">
        <f>HYPERLINK("https://klasma.github.io/Logging_VARNAMO/klagomål/A 63418-2021.docx", "A 63418-2021")</f>
        <v/>
      </c>
      <c r="W217">
        <f>HYPERLINK("https://klasma.github.io/Logging_VARNAMO/klagomålsmail/A 63418-2021.docx", "A 63418-2021")</f>
        <v/>
      </c>
      <c r="X217">
        <f>HYPERLINK("https://klasma.github.io/Logging_VARNAMO/tillsyn/A 63418-2021.docx", "A 63418-2021")</f>
        <v/>
      </c>
      <c r="Y217">
        <f>HYPERLINK("https://klasma.github.io/Logging_VARNAMO/tillsynsmail/A 63418-2021.docx", "A 63418-2021")</f>
        <v/>
      </c>
    </row>
    <row r="218" ht="15" customHeight="1">
      <c r="A218" t="inlineStr">
        <is>
          <t>A 63467-2021</t>
        </is>
      </c>
      <c r="B218" s="1" t="n">
        <v>44508</v>
      </c>
      <c r="C218" s="1" t="n">
        <v>45186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Åkerrättika</t>
        </is>
      </c>
      <c r="S218">
        <f>HYPERLINK("https://klasma.github.io/Logging_ANEBY/artfynd/A 63467-2021.xlsx", "A 63467-2021")</f>
        <v/>
      </c>
      <c r="T218">
        <f>HYPERLINK("https://klasma.github.io/Logging_ANEBY/kartor/A 63467-2021.png", "A 63467-2021")</f>
        <v/>
      </c>
      <c r="V218">
        <f>HYPERLINK("https://klasma.github.io/Logging_ANEBY/klagomål/A 63467-2021.docx", "A 63467-2021")</f>
        <v/>
      </c>
      <c r="W218">
        <f>HYPERLINK("https://klasma.github.io/Logging_ANEBY/klagomålsmail/A 63467-2021.docx", "A 63467-2021")</f>
        <v/>
      </c>
      <c r="X218">
        <f>HYPERLINK("https://klasma.github.io/Logging_ANEBY/tillsyn/A 63467-2021.docx", "A 63467-2021")</f>
        <v/>
      </c>
      <c r="Y218">
        <f>HYPERLINK("https://klasma.github.io/Logging_ANEBY/tillsynsmail/A 63467-2021.docx", "A 63467-2021")</f>
        <v/>
      </c>
    </row>
    <row r="219" ht="15" customHeight="1">
      <c r="A219" t="inlineStr">
        <is>
          <t>A 64995-2021</t>
        </is>
      </c>
      <c r="B219" s="1" t="n">
        <v>44514</v>
      </c>
      <c r="C219" s="1" t="n">
        <v>45186</v>
      </c>
      <c r="D219" t="inlineStr">
        <is>
          <t>JÖNKÖPINGS LÄN</t>
        </is>
      </c>
      <c r="E219" t="inlineStr">
        <is>
          <t>VETLANDA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Trollsmultron</t>
        </is>
      </c>
      <c r="S219">
        <f>HYPERLINK("https://klasma.github.io/Logging_VETLANDA/artfynd/A 64995-2021.xlsx", "A 64995-2021")</f>
        <v/>
      </c>
      <c r="T219">
        <f>HYPERLINK("https://klasma.github.io/Logging_VETLANDA/kartor/A 64995-2021.png", "A 64995-2021")</f>
        <v/>
      </c>
      <c r="V219">
        <f>HYPERLINK("https://klasma.github.io/Logging_VETLANDA/klagomål/A 64995-2021.docx", "A 64995-2021")</f>
        <v/>
      </c>
      <c r="W219">
        <f>HYPERLINK("https://klasma.github.io/Logging_VETLANDA/klagomålsmail/A 64995-2021.docx", "A 64995-2021")</f>
        <v/>
      </c>
      <c r="X219">
        <f>HYPERLINK("https://klasma.github.io/Logging_VETLANDA/tillsyn/A 64995-2021.docx", "A 64995-2021")</f>
        <v/>
      </c>
      <c r="Y219">
        <f>HYPERLINK("https://klasma.github.io/Logging_VETLANDA/tillsynsmail/A 64995-2021.docx", "A 64995-2021")</f>
        <v/>
      </c>
    </row>
    <row r="220" ht="15" customHeight="1">
      <c r="A220" t="inlineStr">
        <is>
          <t>A 68409-2021</t>
        </is>
      </c>
      <c r="B220" s="1" t="n">
        <v>44529</v>
      </c>
      <c r="C220" s="1" t="n">
        <v>45186</v>
      </c>
      <c r="D220" t="inlineStr">
        <is>
          <t>JÖNKÖPINGS LÄN</t>
        </is>
      </c>
      <c r="E220" t="inlineStr">
        <is>
          <t>NÄSSJÖ</t>
        </is>
      </c>
      <c r="G220" t="n">
        <v>3.8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Åkerkål</t>
        </is>
      </c>
      <c r="S220">
        <f>HYPERLINK("https://klasma.github.io/Logging_NASSJO/artfynd/A 68409-2021.xlsx", "A 68409-2021")</f>
        <v/>
      </c>
      <c r="T220">
        <f>HYPERLINK("https://klasma.github.io/Logging_NASSJO/kartor/A 68409-2021.png", "A 68409-2021")</f>
        <v/>
      </c>
      <c r="V220">
        <f>HYPERLINK("https://klasma.github.io/Logging_NASSJO/klagomål/A 68409-2021.docx", "A 68409-2021")</f>
        <v/>
      </c>
      <c r="W220">
        <f>HYPERLINK("https://klasma.github.io/Logging_NASSJO/klagomålsmail/A 68409-2021.docx", "A 68409-2021")</f>
        <v/>
      </c>
      <c r="X220">
        <f>HYPERLINK("https://klasma.github.io/Logging_NASSJO/tillsyn/A 68409-2021.docx", "A 68409-2021")</f>
        <v/>
      </c>
      <c r="Y220">
        <f>HYPERLINK("https://klasma.github.io/Logging_NASSJO/tillsynsmail/A 68409-2021.docx", "A 68409-2021")</f>
        <v/>
      </c>
    </row>
    <row r="221" ht="15" customHeight="1">
      <c r="A221" t="inlineStr">
        <is>
          <t>A 69075-2021</t>
        </is>
      </c>
      <c r="B221" s="1" t="n">
        <v>44530</v>
      </c>
      <c r="C221" s="1" t="n">
        <v>45186</v>
      </c>
      <c r="D221" t="inlineStr">
        <is>
          <t>JÖNKÖPINGS LÄN</t>
        </is>
      </c>
      <c r="E221" t="inlineStr">
        <is>
          <t>GISLAVED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Bredgentiana</t>
        </is>
      </c>
      <c r="S221">
        <f>HYPERLINK("https://klasma.github.io/Logging_GISLAVED/artfynd/A 69075-2021.xlsx", "A 69075-2021")</f>
        <v/>
      </c>
      <c r="T221">
        <f>HYPERLINK("https://klasma.github.io/Logging_GISLAVED/kartor/A 69075-2021.png", "A 69075-2021")</f>
        <v/>
      </c>
      <c r="V221">
        <f>HYPERLINK("https://klasma.github.io/Logging_GISLAVED/klagomål/A 69075-2021.docx", "A 69075-2021")</f>
        <v/>
      </c>
      <c r="W221">
        <f>HYPERLINK("https://klasma.github.io/Logging_GISLAVED/klagomålsmail/A 69075-2021.docx", "A 69075-2021")</f>
        <v/>
      </c>
      <c r="X221">
        <f>HYPERLINK("https://klasma.github.io/Logging_GISLAVED/tillsyn/A 69075-2021.docx", "A 69075-2021")</f>
        <v/>
      </c>
      <c r="Y221">
        <f>HYPERLINK("https://klasma.github.io/Logging_GISLAVED/tillsynsmail/A 69075-2021.docx", "A 69075-2021")</f>
        <v/>
      </c>
    </row>
    <row r="222" ht="15" customHeight="1">
      <c r="A222" t="inlineStr">
        <is>
          <t>A 70820-2021</t>
        </is>
      </c>
      <c r="B222" s="1" t="n">
        <v>44537</v>
      </c>
      <c r="C222" s="1" t="n">
        <v>45186</v>
      </c>
      <c r="D222" t="inlineStr">
        <is>
          <t>JÖNKÖPINGS LÄN</t>
        </is>
      </c>
      <c r="E222" t="inlineStr">
        <is>
          <t>NÄSSJÖ</t>
        </is>
      </c>
      <c r="G222" t="n">
        <v>5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Lappuggla</t>
        </is>
      </c>
      <c r="S222">
        <f>HYPERLINK("https://klasma.github.io/Logging_NASSJO/artfynd/A 70820-2021.xlsx", "A 70820-2021")</f>
        <v/>
      </c>
      <c r="T222">
        <f>HYPERLINK("https://klasma.github.io/Logging_NASSJO/kartor/A 70820-2021.png", "A 70820-2021")</f>
        <v/>
      </c>
      <c r="V222">
        <f>HYPERLINK("https://klasma.github.io/Logging_NASSJO/klagomål/A 70820-2021.docx", "A 70820-2021")</f>
        <v/>
      </c>
      <c r="W222">
        <f>HYPERLINK("https://klasma.github.io/Logging_NASSJO/klagomålsmail/A 70820-2021.docx", "A 70820-2021")</f>
        <v/>
      </c>
      <c r="X222">
        <f>HYPERLINK("https://klasma.github.io/Logging_NASSJO/tillsyn/A 70820-2021.docx", "A 70820-2021")</f>
        <v/>
      </c>
      <c r="Y222">
        <f>HYPERLINK("https://klasma.github.io/Logging_NASSJO/tillsynsmail/A 70820-2021.docx", "A 70820-2021")</f>
        <v/>
      </c>
    </row>
    <row r="223" ht="15" customHeight="1">
      <c r="A223" t="inlineStr">
        <is>
          <t>A 412-2022</t>
        </is>
      </c>
      <c r="B223" s="1" t="n">
        <v>44565</v>
      </c>
      <c r="C223" s="1" t="n">
        <v>45186</v>
      </c>
      <c r="D223" t="inlineStr">
        <is>
          <t>JÖNKÖPINGS LÄN</t>
        </is>
      </c>
      <c r="E223" t="inlineStr">
        <is>
          <t>ANEBY</t>
        </is>
      </c>
      <c r="G223" t="n">
        <v>6.7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Fläcknycklar</t>
        </is>
      </c>
      <c r="S223">
        <f>HYPERLINK("https://klasma.github.io/Logging_ANEBY/artfynd/A 412-2022.xlsx", "A 412-2022")</f>
        <v/>
      </c>
      <c r="T223">
        <f>HYPERLINK("https://klasma.github.io/Logging_ANEBY/kartor/A 412-2022.png", "A 412-2022")</f>
        <v/>
      </c>
      <c r="V223">
        <f>HYPERLINK("https://klasma.github.io/Logging_ANEBY/klagomål/A 412-2022.docx", "A 412-2022")</f>
        <v/>
      </c>
      <c r="W223">
        <f>HYPERLINK("https://klasma.github.io/Logging_ANEBY/klagomålsmail/A 412-2022.docx", "A 412-2022")</f>
        <v/>
      </c>
      <c r="X223">
        <f>HYPERLINK("https://klasma.github.io/Logging_ANEBY/tillsyn/A 412-2022.docx", "A 412-2022")</f>
        <v/>
      </c>
      <c r="Y223">
        <f>HYPERLINK("https://klasma.github.io/Logging_ANEBY/tillsynsmail/A 412-2022.docx", "A 412-2022")</f>
        <v/>
      </c>
    </row>
    <row r="224" ht="15" customHeight="1">
      <c r="A224" t="inlineStr">
        <is>
          <t>A 5498-2022</t>
        </is>
      </c>
      <c r="B224" s="1" t="n">
        <v>44595</v>
      </c>
      <c r="C224" s="1" t="n">
        <v>45186</v>
      </c>
      <c r="D224" t="inlineStr">
        <is>
          <t>JÖNKÖPINGS LÄN</t>
        </is>
      </c>
      <c r="E224" t="inlineStr">
        <is>
          <t>VETLANDA</t>
        </is>
      </c>
      <c r="G224" t="n">
        <v>3.5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HYPERLINK("https://klasma.github.io/Logging_VETLANDA/artfynd/A 5498-2022.xlsx", "A 5498-2022")</f>
        <v/>
      </c>
      <c r="T224">
        <f>HYPERLINK("https://klasma.github.io/Logging_VETLANDA/kartor/A 5498-2022.png", "A 5498-2022")</f>
        <v/>
      </c>
      <c r="V224">
        <f>HYPERLINK("https://klasma.github.io/Logging_VETLANDA/klagomål/A 5498-2022.docx", "A 5498-2022")</f>
        <v/>
      </c>
      <c r="W224">
        <f>HYPERLINK("https://klasma.github.io/Logging_VETLANDA/klagomålsmail/A 5498-2022.docx", "A 5498-2022")</f>
        <v/>
      </c>
      <c r="X224">
        <f>HYPERLINK("https://klasma.github.io/Logging_VETLANDA/tillsyn/A 5498-2022.docx", "A 5498-2022")</f>
        <v/>
      </c>
      <c r="Y224">
        <f>HYPERLINK("https://klasma.github.io/Logging_VETLANDA/tillsynsmail/A 5498-2022.docx", "A 5498-2022")</f>
        <v/>
      </c>
    </row>
    <row r="225" ht="15" customHeight="1">
      <c r="A225" t="inlineStr">
        <is>
          <t>A 13006-2022</t>
        </is>
      </c>
      <c r="B225" s="1" t="n">
        <v>44643</v>
      </c>
      <c r="C225" s="1" t="n">
        <v>45186</v>
      </c>
      <c r="D225" t="inlineStr">
        <is>
          <t>JÖNKÖPINGS LÄN</t>
        </is>
      </c>
      <c r="E225" t="inlineStr">
        <is>
          <t>VETLANDA</t>
        </is>
      </c>
      <c r="F225" t="inlineStr">
        <is>
          <t>Kommuner</t>
        </is>
      </c>
      <c r="G225" t="n">
        <v>12.5</v>
      </c>
      <c r="H225" t="n">
        <v>1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Knärot</t>
        </is>
      </c>
      <c r="S225">
        <f>HYPERLINK("https://klasma.github.io/Logging_VETLANDA/artfynd/A 13006-2022.xlsx", "A 13006-2022")</f>
        <v/>
      </c>
      <c r="T225">
        <f>HYPERLINK("https://klasma.github.io/Logging_VETLANDA/kartor/A 13006-2022.png", "A 13006-2022")</f>
        <v/>
      </c>
      <c r="U225">
        <f>HYPERLINK("https://klasma.github.io/Logging_VETLANDA/knärot/A 13006-2022.png", "A 13006-2022")</f>
        <v/>
      </c>
      <c r="V225">
        <f>HYPERLINK("https://klasma.github.io/Logging_VETLANDA/klagomål/A 13006-2022.docx", "A 13006-2022")</f>
        <v/>
      </c>
      <c r="W225">
        <f>HYPERLINK("https://klasma.github.io/Logging_VETLANDA/klagomålsmail/A 13006-2022.docx", "A 13006-2022")</f>
        <v/>
      </c>
      <c r="X225">
        <f>HYPERLINK("https://klasma.github.io/Logging_VETLANDA/tillsyn/A 13006-2022.docx", "A 13006-2022")</f>
        <v/>
      </c>
      <c r="Y225">
        <f>HYPERLINK("https://klasma.github.io/Logging_VETLANDA/tillsynsmail/A 13006-2022.docx", "A 13006-2022")</f>
        <v/>
      </c>
    </row>
    <row r="226" ht="15" customHeight="1">
      <c r="A226" t="inlineStr">
        <is>
          <t>A 26395-2022</t>
        </is>
      </c>
      <c r="B226" s="1" t="n">
        <v>44735</v>
      </c>
      <c r="C226" s="1" t="n">
        <v>45186</v>
      </c>
      <c r="D226" t="inlineStr">
        <is>
          <t>JÖNKÖPINGS LÄN</t>
        </is>
      </c>
      <c r="E226" t="inlineStr">
        <is>
          <t>TRANÅS</t>
        </is>
      </c>
      <c r="G226" t="n">
        <v>2.1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Ängsnycklar</t>
        </is>
      </c>
      <c r="S226">
        <f>HYPERLINK("https://klasma.github.io/Logging_TRANAS/artfynd/A 26395-2022.xlsx", "A 26395-2022")</f>
        <v/>
      </c>
      <c r="T226">
        <f>HYPERLINK("https://klasma.github.io/Logging_TRANAS/kartor/A 26395-2022.png", "A 26395-2022")</f>
        <v/>
      </c>
      <c r="V226">
        <f>HYPERLINK("https://klasma.github.io/Logging_TRANAS/klagomål/A 26395-2022.docx", "A 26395-2022")</f>
        <v/>
      </c>
      <c r="W226">
        <f>HYPERLINK("https://klasma.github.io/Logging_TRANAS/klagomålsmail/A 26395-2022.docx", "A 26395-2022")</f>
        <v/>
      </c>
      <c r="X226">
        <f>HYPERLINK("https://klasma.github.io/Logging_TRANAS/tillsyn/A 26395-2022.docx", "A 26395-2022")</f>
        <v/>
      </c>
      <c r="Y226">
        <f>HYPERLINK("https://klasma.github.io/Logging_TRANAS/tillsynsmail/A 26395-2022.docx", "A 26395-2022")</f>
        <v/>
      </c>
    </row>
    <row r="227" ht="15" customHeight="1">
      <c r="A227" t="inlineStr">
        <is>
          <t>A 26920-2022</t>
        </is>
      </c>
      <c r="B227" s="1" t="n">
        <v>44740</v>
      </c>
      <c r="C227" s="1" t="n">
        <v>45186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9.1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Adam och eva</t>
        </is>
      </c>
      <c r="S227">
        <f>HYPERLINK("https://klasma.github.io/Logging_VETLANDA/artfynd/A 26920-2022.xlsx", "A 26920-2022")</f>
        <v/>
      </c>
      <c r="T227">
        <f>HYPERLINK("https://klasma.github.io/Logging_VETLANDA/kartor/A 26920-2022.png", "A 26920-2022")</f>
        <v/>
      </c>
      <c r="V227">
        <f>HYPERLINK("https://klasma.github.io/Logging_VETLANDA/klagomål/A 26920-2022.docx", "A 26920-2022")</f>
        <v/>
      </c>
      <c r="W227">
        <f>HYPERLINK("https://klasma.github.io/Logging_VETLANDA/klagomålsmail/A 26920-2022.docx", "A 26920-2022")</f>
        <v/>
      </c>
      <c r="X227">
        <f>HYPERLINK("https://klasma.github.io/Logging_VETLANDA/tillsyn/A 26920-2022.docx", "A 26920-2022")</f>
        <v/>
      </c>
      <c r="Y227">
        <f>HYPERLINK("https://klasma.github.io/Logging_VETLANDA/tillsynsmail/A 26920-2022.docx", "A 26920-2022")</f>
        <v/>
      </c>
    </row>
    <row r="228" ht="15" customHeight="1">
      <c r="A228" t="inlineStr">
        <is>
          <t>A 28452-2022</t>
        </is>
      </c>
      <c r="B228" s="1" t="n">
        <v>44747</v>
      </c>
      <c r="C228" s="1" t="n">
        <v>45186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Odontocerum albicorne</t>
        </is>
      </c>
      <c r="S228">
        <f>HYPERLINK("https://klasma.github.io/Logging_ANEBY/artfynd/A 28452-2022.xlsx", "A 28452-2022")</f>
        <v/>
      </c>
      <c r="T228">
        <f>HYPERLINK("https://klasma.github.io/Logging_ANEBY/kartor/A 28452-2022.png", "A 28452-2022")</f>
        <v/>
      </c>
      <c r="V228">
        <f>HYPERLINK("https://klasma.github.io/Logging_ANEBY/klagomål/A 28452-2022.docx", "A 28452-2022")</f>
        <v/>
      </c>
      <c r="W228">
        <f>HYPERLINK("https://klasma.github.io/Logging_ANEBY/klagomålsmail/A 28452-2022.docx", "A 28452-2022")</f>
        <v/>
      </c>
      <c r="X228">
        <f>HYPERLINK("https://klasma.github.io/Logging_ANEBY/tillsyn/A 28452-2022.docx", "A 28452-2022")</f>
        <v/>
      </c>
      <c r="Y228">
        <f>HYPERLINK("https://klasma.github.io/Logging_ANEBY/tillsynsmail/A 28452-2022.docx", "A 28452-2022")</f>
        <v/>
      </c>
    </row>
    <row r="229" ht="15" customHeight="1">
      <c r="A229" t="inlineStr">
        <is>
          <t>A 28349-2022</t>
        </is>
      </c>
      <c r="B229" s="1" t="n">
        <v>44747</v>
      </c>
      <c r="C229" s="1" t="n">
        <v>45186</v>
      </c>
      <c r="D229" t="inlineStr">
        <is>
          <t>JÖNKÖPINGS LÄN</t>
        </is>
      </c>
      <c r="E229" t="inlineStr">
        <is>
          <t>VETLANDA</t>
        </is>
      </c>
      <c r="G229" t="n">
        <v>0.9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HYPERLINK("https://klasma.github.io/Logging_VETLANDA/artfynd/A 28349-2022.xlsx", "A 28349-2022")</f>
        <v/>
      </c>
      <c r="T229">
        <f>HYPERLINK("https://klasma.github.io/Logging_VETLANDA/kartor/A 28349-2022.png", "A 28349-2022")</f>
        <v/>
      </c>
      <c r="V229">
        <f>HYPERLINK("https://klasma.github.io/Logging_VETLANDA/klagomål/A 28349-2022.docx", "A 28349-2022")</f>
        <v/>
      </c>
      <c r="W229">
        <f>HYPERLINK("https://klasma.github.io/Logging_VETLANDA/klagomålsmail/A 28349-2022.docx", "A 28349-2022")</f>
        <v/>
      </c>
      <c r="X229">
        <f>HYPERLINK("https://klasma.github.io/Logging_VETLANDA/tillsyn/A 28349-2022.docx", "A 28349-2022")</f>
        <v/>
      </c>
      <c r="Y229">
        <f>HYPERLINK("https://klasma.github.io/Logging_VETLANDA/tillsynsmail/A 28349-2022.docx", "A 28349-2022")</f>
        <v/>
      </c>
    </row>
    <row r="230" ht="15" customHeight="1">
      <c r="A230" t="inlineStr">
        <is>
          <t>A 29382-2022</t>
        </is>
      </c>
      <c r="B230" s="1" t="n">
        <v>44753</v>
      </c>
      <c r="C230" s="1" t="n">
        <v>45186</v>
      </c>
      <c r="D230" t="inlineStr">
        <is>
          <t>JÖNKÖPINGS LÄN</t>
        </is>
      </c>
      <c r="E230" t="inlineStr">
        <is>
          <t>TRANÅS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HYPERLINK("https://klasma.github.io/Logging_TRANAS/artfynd/A 29382-2022.xlsx", "A 29382-2022")</f>
        <v/>
      </c>
      <c r="T230">
        <f>HYPERLINK("https://klasma.github.io/Logging_TRANAS/kartor/A 29382-2022.png", "A 29382-2022")</f>
        <v/>
      </c>
      <c r="V230">
        <f>HYPERLINK("https://klasma.github.io/Logging_TRANAS/klagomål/A 29382-2022.docx", "A 29382-2022")</f>
        <v/>
      </c>
      <c r="W230">
        <f>HYPERLINK("https://klasma.github.io/Logging_TRANAS/klagomålsmail/A 29382-2022.docx", "A 29382-2022")</f>
        <v/>
      </c>
      <c r="X230">
        <f>HYPERLINK("https://klasma.github.io/Logging_TRANAS/tillsyn/A 29382-2022.docx", "A 29382-2022")</f>
        <v/>
      </c>
      <c r="Y230">
        <f>HYPERLINK("https://klasma.github.io/Logging_TRANAS/tillsynsmail/A 29382-2022.docx", "A 29382-2022")</f>
        <v/>
      </c>
    </row>
    <row r="231" ht="15" customHeight="1">
      <c r="A231" t="inlineStr">
        <is>
          <t>A 30362-2022</t>
        </is>
      </c>
      <c r="B231" s="1" t="n">
        <v>44760</v>
      </c>
      <c r="C231" s="1" t="n">
        <v>45186</v>
      </c>
      <c r="D231" t="inlineStr">
        <is>
          <t>JÖNKÖPINGS LÄN</t>
        </is>
      </c>
      <c r="E231" t="inlineStr">
        <is>
          <t>GISLAVED</t>
        </is>
      </c>
      <c r="G231" t="n">
        <v>3.1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HYPERLINK("https://klasma.github.io/Logging_GISLAVED/artfynd/A 30362-2022.xlsx", "A 30362-2022")</f>
        <v/>
      </c>
      <c r="T231">
        <f>HYPERLINK("https://klasma.github.io/Logging_GISLAVED/kartor/A 30362-2022.png", "A 30362-2022")</f>
        <v/>
      </c>
      <c r="U231">
        <f>HYPERLINK("https://klasma.github.io/Logging_GISLAVED/knärot/A 30362-2022.png", "A 30362-2022")</f>
        <v/>
      </c>
      <c r="V231">
        <f>HYPERLINK("https://klasma.github.io/Logging_GISLAVED/klagomål/A 30362-2022.docx", "A 30362-2022")</f>
        <v/>
      </c>
      <c r="W231">
        <f>HYPERLINK("https://klasma.github.io/Logging_GISLAVED/klagomålsmail/A 30362-2022.docx", "A 30362-2022")</f>
        <v/>
      </c>
      <c r="X231">
        <f>HYPERLINK("https://klasma.github.io/Logging_GISLAVED/tillsyn/A 30362-2022.docx", "A 30362-2022")</f>
        <v/>
      </c>
      <c r="Y231">
        <f>HYPERLINK("https://klasma.github.io/Logging_GISLAVED/tillsynsmail/A 30362-2022.docx", "A 30362-2022")</f>
        <v/>
      </c>
    </row>
    <row r="232" ht="15" customHeight="1">
      <c r="A232" t="inlineStr">
        <is>
          <t>A 35548-2022</t>
        </is>
      </c>
      <c r="B232" s="1" t="n">
        <v>44799</v>
      </c>
      <c r="C232" s="1" t="n">
        <v>45186</v>
      </c>
      <c r="D232" t="inlineStr">
        <is>
          <t>JÖNKÖPINGS LÄN</t>
        </is>
      </c>
      <c r="E232" t="inlineStr">
        <is>
          <t>EKSJÖ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Bandnate</t>
        </is>
      </c>
      <c r="S232">
        <f>HYPERLINK("https://klasma.github.io/Logging_EKSJO/artfynd/A 35548-2022.xlsx", "A 35548-2022")</f>
        <v/>
      </c>
      <c r="T232">
        <f>HYPERLINK("https://klasma.github.io/Logging_EKSJO/kartor/A 35548-2022.png", "A 35548-2022")</f>
        <v/>
      </c>
      <c r="V232">
        <f>HYPERLINK("https://klasma.github.io/Logging_EKSJO/klagomål/A 35548-2022.docx", "A 35548-2022")</f>
        <v/>
      </c>
      <c r="W232">
        <f>HYPERLINK("https://klasma.github.io/Logging_EKSJO/klagomålsmail/A 35548-2022.docx", "A 35548-2022")</f>
        <v/>
      </c>
      <c r="X232">
        <f>HYPERLINK("https://klasma.github.io/Logging_EKSJO/tillsyn/A 35548-2022.docx", "A 35548-2022")</f>
        <v/>
      </c>
      <c r="Y232">
        <f>HYPERLINK("https://klasma.github.io/Logging_EKSJO/tillsynsmail/A 35548-2022.docx", "A 35548-2022")</f>
        <v/>
      </c>
    </row>
    <row r="233" ht="15" customHeight="1">
      <c r="A233" t="inlineStr">
        <is>
          <t>A 39612-2022</t>
        </is>
      </c>
      <c r="B233" s="1" t="n">
        <v>44818</v>
      </c>
      <c r="C233" s="1" t="n">
        <v>45186</v>
      </c>
      <c r="D233" t="inlineStr">
        <is>
          <t>JÖNKÖPINGS LÄN</t>
        </is>
      </c>
      <c r="E233" t="inlineStr">
        <is>
          <t>VETLANDA</t>
        </is>
      </c>
      <c r="G233" t="n">
        <v>7.6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Revlummer</t>
        </is>
      </c>
      <c r="S233">
        <f>HYPERLINK("https://klasma.github.io/Logging_VETLANDA/artfynd/A 39612-2022.xlsx", "A 39612-2022")</f>
        <v/>
      </c>
      <c r="T233">
        <f>HYPERLINK("https://klasma.github.io/Logging_VETLANDA/kartor/A 39612-2022.png", "A 39612-2022")</f>
        <v/>
      </c>
      <c r="V233">
        <f>HYPERLINK("https://klasma.github.io/Logging_VETLANDA/klagomål/A 39612-2022.docx", "A 39612-2022")</f>
        <v/>
      </c>
      <c r="W233">
        <f>HYPERLINK("https://klasma.github.io/Logging_VETLANDA/klagomålsmail/A 39612-2022.docx", "A 39612-2022")</f>
        <v/>
      </c>
      <c r="X233">
        <f>HYPERLINK("https://klasma.github.io/Logging_VETLANDA/tillsyn/A 39612-2022.docx", "A 39612-2022")</f>
        <v/>
      </c>
      <c r="Y233">
        <f>HYPERLINK("https://klasma.github.io/Logging_VETLANDA/tillsynsmail/A 39612-2022.docx", "A 39612-2022")</f>
        <v/>
      </c>
    </row>
    <row r="234" ht="15" customHeight="1">
      <c r="A234" t="inlineStr">
        <is>
          <t>A 39857-2022</t>
        </is>
      </c>
      <c r="B234" s="1" t="n">
        <v>44819</v>
      </c>
      <c r="C234" s="1" t="n">
        <v>45186</v>
      </c>
      <c r="D234" t="inlineStr">
        <is>
          <t>JÖNKÖPINGS LÄN</t>
        </is>
      </c>
      <c r="E234" t="inlineStr">
        <is>
          <t>VETLANDA</t>
        </is>
      </c>
      <c r="G234" t="n">
        <v>11.8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Grönpyrola</t>
        </is>
      </c>
      <c r="S234">
        <f>HYPERLINK("https://klasma.github.io/Logging_VETLANDA/artfynd/A 39857-2022.xlsx", "A 39857-2022")</f>
        <v/>
      </c>
      <c r="T234">
        <f>HYPERLINK("https://klasma.github.io/Logging_VETLANDA/kartor/A 39857-2022.png", "A 39857-2022")</f>
        <v/>
      </c>
      <c r="V234">
        <f>HYPERLINK("https://klasma.github.io/Logging_VETLANDA/klagomål/A 39857-2022.docx", "A 39857-2022")</f>
        <v/>
      </c>
      <c r="W234">
        <f>HYPERLINK("https://klasma.github.io/Logging_VETLANDA/klagomålsmail/A 39857-2022.docx", "A 39857-2022")</f>
        <v/>
      </c>
      <c r="X234">
        <f>HYPERLINK("https://klasma.github.io/Logging_VETLANDA/tillsyn/A 39857-2022.docx", "A 39857-2022")</f>
        <v/>
      </c>
      <c r="Y234">
        <f>HYPERLINK("https://klasma.github.io/Logging_VETLANDA/tillsynsmail/A 39857-2022.docx", "A 39857-2022")</f>
        <v/>
      </c>
    </row>
    <row r="235" ht="15" customHeight="1">
      <c r="A235" t="inlineStr">
        <is>
          <t>A 40772-2022</t>
        </is>
      </c>
      <c r="B235" s="1" t="n">
        <v>44824</v>
      </c>
      <c r="C235" s="1" t="n">
        <v>45186</v>
      </c>
      <c r="D235" t="inlineStr">
        <is>
          <t>JÖNKÖPINGS LÄN</t>
        </is>
      </c>
      <c r="E235" t="inlineStr">
        <is>
          <t>JÖNKÖPING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HYPERLINK("https://klasma.github.io/Logging_JONKOPING/artfynd/A 40772-2022.xlsx", "A 40772-2022")</f>
        <v/>
      </c>
      <c r="T235">
        <f>HYPERLINK("https://klasma.github.io/Logging_JONKOPING/kartor/A 40772-2022.png", "A 40772-2022")</f>
        <v/>
      </c>
      <c r="V235">
        <f>HYPERLINK("https://klasma.github.io/Logging_JONKOPING/klagomål/A 40772-2022.docx", "A 40772-2022")</f>
        <v/>
      </c>
      <c r="W235">
        <f>HYPERLINK("https://klasma.github.io/Logging_JONKOPING/klagomålsmail/A 40772-2022.docx", "A 40772-2022")</f>
        <v/>
      </c>
      <c r="X235">
        <f>HYPERLINK("https://klasma.github.io/Logging_JONKOPING/tillsyn/A 40772-2022.docx", "A 40772-2022")</f>
        <v/>
      </c>
      <c r="Y235">
        <f>HYPERLINK("https://klasma.github.io/Logging_JONKOPING/tillsynsmail/A 40772-2022.docx", "A 40772-2022")</f>
        <v/>
      </c>
    </row>
    <row r="236" ht="15" customHeight="1">
      <c r="A236" t="inlineStr">
        <is>
          <t>A 42142-2022</t>
        </is>
      </c>
      <c r="B236" s="1" t="n">
        <v>44830</v>
      </c>
      <c r="C236" s="1" t="n">
        <v>45186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42142-2022.xlsx", "A 42142-2022")</f>
        <v/>
      </c>
      <c r="T236">
        <f>HYPERLINK("https://klasma.github.io/Logging_VETLANDA/kartor/A 42142-2022.png", "A 42142-2022")</f>
        <v/>
      </c>
      <c r="V236">
        <f>HYPERLINK("https://klasma.github.io/Logging_VETLANDA/klagomål/A 42142-2022.docx", "A 42142-2022")</f>
        <v/>
      </c>
      <c r="W236">
        <f>HYPERLINK("https://klasma.github.io/Logging_VETLANDA/klagomålsmail/A 42142-2022.docx", "A 42142-2022")</f>
        <v/>
      </c>
      <c r="X236">
        <f>HYPERLINK("https://klasma.github.io/Logging_VETLANDA/tillsyn/A 42142-2022.docx", "A 42142-2022")</f>
        <v/>
      </c>
      <c r="Y236">
        <f>HYPERLINK("https://klasma.github.io/Logging_VETLANDA/tillsynsmail/A 42142-2022.docx", "A 42142-2022")</f>
        <v/>
      </c>
    </row>
    <row r="237" ht="15" customHeight="1">
      <c r="A237" t="inlineStr">
        <is>
          <t>A 43385-2022</t>
        </is>
      </c>
      <c r="B237" s="1" t="n">
        <v>44834</v>
      </c>
      <c r="C237" s="1" t="n">
        <v>45186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43385-2022.xlsx", "A 43385-2022")</f>
        <v/>
      </c>
      <c r="T237">
        <f>HYPERLINK("https://klasma.github.io/Logging_VETLANDA/kartor/A 43385-2022.png", "A 43385-2022")</f>
        <v/>
      </c>
      <c r="V237">
        <f>HYPERLINK("https://klasma.github.io/Logging_VETLANDA/klagomål/A 43385-2022.docx", "A 43385-2022")</f>
        <v/>
      </c>
      <c r="W237">
        <f>HYPERLINK("https://klasma.github.io/Logging_VETLANDA/klagomålsmail/A 43385-2022.docx", "A 43385-2022")</f>
        <v/>
      </c>
      <c r="X237">
        <f>HYPERLINK("https://klasma.github.io/Logging_VETLANDA/tillsyn/A 43385-2022.docx", "A 43385-2022")</f>
        <v/>
      </c>
      <c r="Y237">
        <f>HYPERLINK("https://klasma.github.io/Logging_VETLANDA/tillsynsmail/A 43385-2022.docx", "A 43385-2022")</f>
        <v/>
      </c>
    </row>
    <row r="238" ht="15" customHeight="1">
      <c r="A238" t="inlineStr">
        <is>
          <t>A 44455-2022</t>
        </is>
      </c>
      <c r="B238" s="1" t="n">
        <v>44839</v>
      </c>
      <c r="C238" s="1" t="n">
        <v>45186</v>
      </c>
      <c r="D238" t="inlineStr">
        <is>
          <t>JÖNKÖPINGS LÄN</t>
        </is>
      </c>
      <c r="E238" t="inlineStr">
        <is>
          <t>NÄSSJÖ</t>
        </is>
      </c>
      <c r="G238" t="n">
        <v>5.3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44455-2022.xlsx", "A 44455-2022")</f>
        <v/>
      </c>
      <c r="T238">
        <f>HYPERLINK("https://klasma.github.io/Logging_NASSJO/kartor/A 44455-2022.png", "A 44455-2022")</f>
        <v/>
      </c>
      <c r="U238">
        <f>HYPERLINK("https://klasma.github.io/Logging_NASSJO/knärot/A 44455-2022.png", "A 44455-2022")</f>
        <v/>
      </c>
      <c r="V238">
        <f>HYPERLINK("https://klasma.github.io/Logging_NASSJO/klagomål/A 44455-2022.docx", "A 44455-2022")</f>
        <v/>
      </c>
      <c r="W238">
        <f>HYPERLINK("https://klasma.github.io/Logging_NASSJO/klagomålsmail/A 44455-2022.docx", "A 44455-2022")</f>
        <v/>
      </c>
      <c r="X238">
        <f>HYPERLINK("https://klasma.github.io/Logging_NASSJO/tillsyn/A 44455-2022.docx", "A 44455-2022")</f>
        <v/>
      </c>
      <c r="Y238">
        <f>HYPERLINK("https://klasma.github.io/Logging_NASSJO/tillsynsmail/A 44455-2022.docx", "A 44455-2022")</f>
        <v/>
      </c>
    </row>
    <row r="239" ht="15" customHeight="1">
      <c r="A239" t="inlineStr">
        <is>
          <t>A 44129-2022</t>
        </is>
      </c>
      <c r="B239" s="1" t="n">
        <v>44839</v>
      </c>
      <c r="C239" s="1" t="n">
        <v>45186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44129-2022.xlsx", "A 44129-2022")</f>
        <v/>
      </c>
      <c r="T239">
        <f>HYPERLINK("https://klasma.github.io/Logging_NASSJO/kartor/A 44129-2022.png", "A 44129-2022")</f>
        <v/>
      </c>
      <c r="U239">
        <f>HYPERLINK("https://klasma.github.io/Logging_NASSJO/knärot/A 44129-2022.png", "A 44129-2022")</f>
        <v/>
      </c>
      <c r="V239">
        <f>HYPERLINK("https://klasma.github.io/Logging_NASSJO/klagomål/A 44129-2022.docx", "A 44129-2022")</f>
        <v/>
      </c>
      <c r="W239">
        <f>HYPERLINK("https://klasma.github.io/Logging_NASSJO/klagomålsmail/A 44129-2022.docx", "A 44129-2022")</f>
        <v/>
      </c>
      <c r="X239">
        <f>HYPERLINK("https://klasma.github.io/Logging_NASSJO/tillsyn/A 44129-2022.docx", "A 44129-2022")</f>
        <v/>
      </c>
      <c r="Y239">
        <f>HYPERLINK("https://klasma.github.io/Logging_NASSJO/tillsynsmail/A 44129-2022.docx", "A 44129-2022")</f>
        <v/>
      </c>
    </row>
    <row r="240" ht="15" customHeight="1">
      <c r="A240" t="inlineStr">
        <is>
          <t>A 45366-2022</t>
        </is>
      </c>
      <c r="B240" s="1" t="n">
        <v>44840</v>
      </c>
      <c r="C240" s="1" t="n">
        <v>45186</v>
      </c>
      <c r="D240" t="inlineStr">
        <is>
          <t>JÖNKÖPINGS LÄN</t>
        </is>
      </c>
      <c r="E240" t="inlineStr">
        <is>
          <t>JÖNKÖPING</t>
        </is>
      </c>
      <c r="G240" t="n">
        <v>3.2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Mörk husmossa</t>
        </is>
      </c>
      <c r="S240">
        <f>HYPERLINK("https://klasma.github.io/Logging_JONKOPING/artfynd/A 45366-2022.xlsx", "A 45366-2022")</f>
        <v/>
      </c>
      <c r="T240">
        <f>HYPERLINK("https://klasma.github.io/Logging_JONKOPING/kartor/A 45366-2022.png", "A 45366-2022")</f>
        <v/>
      </c>
      <c r="V240">
        <f>HYPERLINK("https://klasma.github.io/Logging_JONKOPING/klagomål/A 45366-2022.docx", "A 45366-2022")</f>
        <v/>
      </c>
      <c r="W240">
        <f>HYPERLINK("https://klasma.github.io/Logging_JONKOPING/klagomålsmail/A 45366-2022.docx", "A 45366-2022")</f>
        <v/>
      </c>
      <c r="X240">
        <f>HYPERLINK("https://klasma.github.io/Logging_JONKOPING/tillsyn/A 45366-2022.docx", "A 45366-2022")</f>
        <v/>
      </c>
      <c r="Y240">
        <f>HYPERLINK("https://klasma.github.io/Logging_JONKOPING/tillsynsmail/A 45366-2022.docx", "A 45366-2022")</f>
        <v/>
      </c>
    </row>
    <row r="241" ht="15" customHeight="1">
      <c r="A241" t="inlineStr">
        <is>
          <t>A 53298-2022</t>
        </is>
      </c>
      <c r="B241" s="1" t="n">
        <v>44877</v>
      </c>
      <c r="C241" s="1" t="n">
        <v>45186</v>
      </c>
      <c r="D241" t="inlineStr">
        <is>
          <t>JÖNKÖPINGS LÄN</t>
        </is>
      </c>
      <c r="E241" t="inlineStr">
        <is>
          <t>HABO</t>
        </is>
      </c>
      <c r="G241" t="n">
        <v>2.5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Skarp dropptaggsvamp</t>
        </is>
      </c>
      <c r="S241">
        <f>HYPERLINK("https://klasma.github.io/Logging_HABO/artfynd/A 53298-2022.xlsx", "A 53298-2022")</f>
        <v/>
      </c>
      <c r="T241">
        <f>HYPERLINK("https://klasma.github.io/Logging_HABO/kartor/A 53298-2022.png", "A 53298-2022")</f>
        <v/>
      </c>
      <c r="V241">
        <f>HYPERLINK("https://klasma.github.io/Logging_HABO/klagomål/A 53298-2022.docx", "A 53298-2022")</f>
        <v/>
      </c>
      <c r="W241">
        <f>HYPERLINK("https://klasma.github.io/Logging_HABO/klagomålsmail/A 53298-2022.docx", "A 53298-2022")</f>
        <v/>
      </c>
      <c r="X241">
        <f>HYPERLINK("https://klasma.github.io/Logging_HABO/tillsyn/A 53298-2022.docx", "A 53298-2022")</f>
        <v/>
      </c>
      <c r="Y241">
        <f>HYPERLINK("https://klasma.github.io/Logging_HABO/tillsynsmail/A 53298-2022.docx", "A 53298-2022")</f>
        <v/>
      </c>
    </row>
    <row r="242" ht="15" customHeight="1">
      <c r="A242" t="inlineStr">
        <is>
          <t>A 53601-2022</t>
        </is>
      </c>
      <c r="B242" s="1" t="n">
        <v>44879</v>
      </c>
      <c r="C242" s="1" t="n">
        <v>45186</v>
      </c>
      <c r="D242" t="inlineStr">
        <is>
          <t>JÖNKÖPINGS LÄN</t>
        </is>
      </c>
      <c r="E242" t="inlineStr">
        <is>
          <t>JÖNKÖPING</t>
        </is>
      </c>
      <c r="G242" t="n">
        <v>3.8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HYPERLINK("https://klasma.github.io/Logging_JONKOPING/artfynd/A 53601-2022.xlsx", "A 53601-2022")</f>
        <v/>
      </c>
      <c r="T242">
        <f>HYPERLINK("https://klasma.github.io/Logging_JONKOPING/kartor/A 53601-2022.png", "A 53601-2022")</f>
        <v/>
      </c>
      <c r="U242">
        <f>HYPERLINK("https://klasma.github.io/Logging_JONKOPING/knärot/A 53601-2022.png", "A 53601-2022")</f>
        <v/>
      </c>
      <c r="V242">
        <f>HYPERLINK("https://klasma.github.io/Logging_JONKOPING/klagomål/A 53601-2022.docx", "A 53601-2022")</f>
        <v/>
      </c>
      <c r="W242">
        <f>HYPERLINK("https://klasma.github.io/Logging_JONKOPING/klagomålsmail/A 53601-2022.docx", "A 53601-2022")</f>
        <v/>
      </c>
      <c r="X242">
        <f>HYPERLINK("https://klasma.github.io/Logging_JONKOPING/tillsyn/A 53601-2022.docx", "A 53601-2022")</f>
        <v/>
      </c>
      <c r="Y242">
        <f>HYPERLINK("https://klasma.github.io/Logging_JONKOPING/tillsynsmail/A 53601-2022.docx", "A 53601-2022")</f>
        <v/>
      </c>
    </row>
    <row r="243" ht="15" customHeight="1">
      <c r="A243" t="inlineStr">
        <is>
          <t>A 53585-2022</t>
        </is>
      </c>
      <c r="B243" s="1" t="n">
        <v>44879</v>
      </c>
      <c r="C243" s="1" t="n">
        <v>45186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Ängsstarr</t>
        </is>
      </c>
      <c r="S243">
        <f>HYPERLINK("https://klasma.github.io/Logging_VARNAMO/artfynd/A 53585-2022.xlsx", "A 53585-2022")</f>
        <v/>
      </c>
      <c r="T243">
        <f>HYPERLINK("https://klasma.github.io/Logging_VARNAMO/kartor/A 53585-2022.png", "A 53585-2022")</f>
        <v/>
      </c>
      <c r="V243">
        <f>HYPERLINK("https://klasma.github.io/Logging_VARNAMO/klagomål/A 53585-2022.docx", "A 53585-2022")</f>
        <v/>
      </c>
      <c r="W243">
        <f>HYPERLINK("https://klasma.github.io/Logging_VARNAMO/klagomålsmail/A 53585-2022.docx", "A 53585-2022")</f>
        <v/>
      </c>
      <c r="X243">
        <f>HYPERLINK("https://klasma.github.io/Logging_VARNAMO/tillsyn/A 53585-2022.docx", "A 53585-2022")</f>
        <v/>
      </c>
      <c r="Y243">
        <f>HYPERLINK("https://klasma.github.io/Logging_VARNAMO/tillsynsmail/A 53585-2022.docx", "A 53585-2022")</f>
        <v/>
      </c>
    </row>
    <row r="244" ht="15" customHeight="1">
      <c r="A244" t="inlineStr">
        <is>
          <t>A 53741-2022</t>
        </is>
      </c>
      <c r="B244" s="1" t="n">
        <v>44880</v>
      </c>
      <c r="C244" s="1" t="n">
        <v>45186</v>
      </c>
      <c r="D244" t="inlineStr">
        <is>
          <t>JÖNKÖPINGS LÄN</t>
        </is>
      </c>
      <c r="E244" t="inlineStr">
        <is>
          <t>VETLANDA</t>
        </is>
      </c>
      <c r="G244" t="n">
        <v>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Sommarfibbla</t>
        </is>
      </c>
      <c r="S244">
        <f>HYPERLINK("https://klasma.github.io/Logging_VETLANDA/artfynd/A 53741-2022.xlsx", "A 53741-2022")</f>
        <v/>
      </c>
      <c r="T244">
        <f>HYPERLINK("https://klasma.github.io/Logging_VETLANDA/kartor/A 53741-2022.png", "A 53741-2022")</f>
        <v/>
      </c>
      <c r="V244">
        <f>HYPERLINK("https://klasma.github.io/Logging_VETLANDA/klagomål/A 53741-2022.docx", "A 53741-2022")</f>
        <v/>
      </c>
      <c r="W244">
        <f>HYPERLINK("https://klasma.github.io/Logging_VETLANDA/klagomålsmail/A 53741-2022.docx", "A 53741-2022")</f>
        <v/>
      </c>
      <c r="X244">
        <f>HYPERLINK("https://klasma.github.io/Logging_VETLANDA/tillsyn/A 53741-2022.docx", "A 53741-2022")</f>
        <v/>
      </c>
      <c r="Y244">
        <f>HYPERLINK("https://klasma.github.io/Logging_VETLANDA/tillsynsmail/A 53741-2022.docx", "A 53741-2022")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45186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HYPERLINK("https://klasma.github.io/Logging_NASSJO/artfynd/A 55860-2022.xlsx", "A 55860-2022")</f>
        <v/>
      </c>
      <c r="T245">
        <f>HYPERLINK("https://klasma.github.io/Logging_NASSJO/kartor/A 55860-2022.png", "A 55860-2022")</f>
        <v/>
      </c>
      <c r="U245">
        <f>HYPERLINK("https://klasma.github.io/Logging_NASSJO/knärot/A 55860-2022.png", "A 55860-2022")</f>
        <v/>
      </c>
      <c r="V245">
        <f>HYPERLINK("https://klasma.github.io/Logging_NASSJO/klagomål/A 55860-2022.docx", "A 55860-2022")</f>
        <v/>
      </c>
      <c r="W245">
        <f>HYPERLINK("https://klasma.github.io/Logging_NASSJO/klagomålsmail/A 55860-2022.docx", "A 55860-2022")</f>
        <v/>
      </c>
      <c r="X245">
        <f>HYPERLINK("https://klasma.github.io/Logging_NASSJO/tillsyn/A 55860-2022.docx", "A 55860-2022")</f>
        <v/>
      </c>
      <c r="Y245">
        <f>HYPERLINK("https://klasma.github.io/Logging_NASSJO/tillsynsmail/A 55860-2022.docx", "A 55860-2022")</f>
        <v/>
      </c>
    </row>
    <row r="246" ht="15" customHeight="1">
      <c r="A246" t="inlineStr">
        <is>
          <t>A 56262-2022</t>
        </is>
      </c>
      <c r="B246" s="1" t="n">
        <v>44890</v>
      </c>
      <c r="C246" s="1" t="n">
        <v>45186</v>
      </c>
      <c r="D246" t="inlineStr">
        <is>
          <t>JÖNKÖPINGS LÄN</t>
        </is>
      </c>
      <c r="E246" t="inlineStr">
        <is>
          <t>VETLANDA</t>
        </is>
      </c>
      <c r="G246" t="n">
        <v>15.9</v>
      </c>
      <c r="H246" t="n">
        <v>0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Slåttergubbe</t>
        </is>
      </c>
      <c r="S246">
        <f>HYPERLINK("https://klasma.github.io/Logging_VETLANDA/artfynd/A 56262-2022.xlsx", "A 56262-2022")</f>
        <v/>
      </c>
      <c r="T246">
        <f>HYPERLINK("https://klasma.github.io/Logging_VETLANDA/kartor/A 56262-2022.png", "A 56262-2022")</f>
        <v/>
      </c>
      <c r="V246">
        <f>HYPERLINK("https://klasma.github.io/Logging_VETLANDA/klagomål/A 56262-2022.docx", "A 56262-2022")</f>
        <v/>
      </c>
      <c r="W246">
        <f>HYPERLINK("https://klasma.github.io/Logging_VETLANDA/klagomålsmail/A 56262-2022.docx", "A 56262-2022")</f>
        <v/>
      </c>
      <c r="X246">
        <f>HYPERLINK("https://klasma.github.io/Logging_VETLANDA/tillsyn/A 56262-2022.docx", "A 56262-2022")</f>
        <v/>
      </c>
      <c r="Y246">
        <f>HYPERLINK("https://klasma.github.io/Logging_VETLANDA/tillsynsmail/A 56262-2022.docx", "A 56262-2022")</f>
        <v/>
      </c>
    </row>
    <row r="247" ht="15" customHeight="1">
      <c r="A247" t="inlineStr">
        <is>
          <t>A 57181-2022</t>
        </is>
      </c>
      <c r="B247" s="1" t="n">
        <v>44895</v>
      </c>
      <c r="C247" s="1" t="n">
        <v>45186</v>
      </c>
      <c r="D247" t="inlineStr">
        <is>
          <t>JÖNKÖPINGS LÄN</t>
        </is>
      </c>
      <c r="E247" t="inlineStr">
        <is>
          <t>VÄRNAMO</t>
        </is>
      </c>
      <c r="G247" t="n">
        <v>4.9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Vätteros</t>
        </is>
      </c>
      <c r="S247">
        <f>HYPERLINK("https://klasma.github.io/Logging_VARNAMO/artfynd/A 57181-2022.xlsx", "A 57181-2022")</f>
        <v/>
      </c>
      <c r="T247">
        <f>HYPERLINK("https://klasma.github.io/Logging_VARNAMO/kartor/A 57181-2022.png", "A 57181-2022")</f>
        <v/>
      </c>
      <c r="V247">
        <f>HYPERLINK("https://klasma.github.io/Logging_VARNAMO/klagomål/A 57181-2022.docx", "A 57181-2022")</f>
        <v/>
      </c>
      <c r="W247">
        <f>HYPERLINK("https://klasma.github.io/Logging_VARNAMO/klagomålsmail/A 57181-2022.docx", "A 57181-2022")</f>
        <v/>
      </c>
      <c r="X247">
        <f>HYPERLINK("https://klasma.github.io/Logging_VARNAMO/tillsyn/A 57181-2022.docx", "A 57181-2022")</f>
        <v/>
      </c>
      <c r="Y247">
        <f>HYPERLINK("https://klasma.github.io/Logging_VARNAMO/tillsynsmail/A 57181-2022.docx", "A 57181-2022")</f>
        <v/>
      </c>
    </row>
    <row r="248" ht="15" customHeight="1">
      <c r="A248" t="inlineStr">
        <is>
          <t>A 59894-2022</t>
        </is>
      </c>
      <c r="B248" s="1" t="n">
        <v>44908</v>
      </c>
      <c r="C248" s="1" t="n">
        <v>45186</v>
      </c>
      <c r="D248" t="inlineStr">
        <is>
          <t>JÖNKÖPINGS LÄN</t>
        </is>
      </c>
      <c r="E248" t="inlineStr">
        <is>
          <t>VETLANDA</t>
        </is>
      </c>
      <c r="G248" t="n">
        <v>3.8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Backklöver</t>
        </is>
      </c>
      <c r="S248">
        <f>HYPERLINK("https://klasma.github.io/Logging_VETLANDA/artfynd/A 59894-2022.xlsx", "A 59894-2022")</f>
        <v/>
      </c>
      <c r="T248">
        <f>HYPERLINK("https://klasma.github.io/Logging_VETLANDA/kartor/A 59894-2022.png", "A 59894-2022")</f>
        <v/>
      </c>
      <c r="V248">
        <f>HYPERLINK("https://klasma.github.io/Logging_VETLANDA/klagomål/A 59894-2022.docx", "A 59894-2022")</f>
        <v/>
      </c>
      <c r="W248">
        <f>HYPERLINK("https://klasma.github.io/Logging_VETLANDA/klagomålsmail/A 59894-2022.docx", "A 59894-2022")</f>
        <v/>
      </c>
      <c r="X248">
        <f>HYPERLINK("https://klasma.github.io/Logging_VETLANDA/tillsyn/A 59894-2022.docx", "A 59894-2022")</f>
        <v/>
      </c>
      <c r="Y248">
        <f>HYPERLINK("https://klasma.github.io/Logging_VETLANDA/tillsynsmail/A 59894-2022.docx", "A 59894-2022")</f>
        <v/>
      </c>
    </row>
    <row r="249" ht="15" customHeight="1">
      <c r="A249" t="inlineStr">
        <is>
          <t>A 62297-2022</t>
        </is>
      </c>
      <c r="B249" s="1" t="n">
        <v>44923</v>
      </c>
      <c r="C249" s="1" t="n">
        <v>45186</v>
      </c>
      <c r="D249" t="inlineStr">
        <is>
          <t>JÖNKÖPINGS LÄN</t>
        </is>
      </c>
      <c r="E249" t="inlineStr">
        <is>
          <t>GISLAVED</t>
        </is>
      </c>
      <c r="G249" t="n">
        <v>2.4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Kattfotslav</t>
        </is>
      </c>
      <c r="S249">
        <f>HYPERLINK("https://klasma.github.io/Logging_GISLAVED/artfynd/A 62297-2022.xlsx", "A 62297-2022")</f>
        <v/>
      </c>
      <c r="T249">
        <f>HYPERLINK("https://klasma.github.io/Logging_GISLAVED/kartor/A 62297-2022.png", "A 62297-2022")</f>
        <v/>
      </c>
      <c r="V249">
        <f>HYPERLINK("https://klasma.github.io/Logging_GISLAVED/klagomål/A 62297-2022.docx", "A 62297-2022")</f>
        <v/>
      </c>
      <c r="W249">
        <f>HYPERLINK("https://klasma.github.io/Logging_GISLAVED/klagomålsmail/A 62297-2022.docx", "A 62297-2022")</f>
        <v/>
      </c>
      <c r="X249">
        <f>HYPERLINK("https://klasma.github.io/Logging_GISLAVED/tillsyn/A 62297-2022.docx", "A 62297-2022")</f>
        <v/>
      </c>
      <c r="Y249">
        <f>HYPERLINK("https://klasma.github.io/Logging_GISLAVED/tillsynsmail/A 62297-2022.docx", "A 62297-2022")</f>
        <v/>
      </c>
    </row>
    <row r="250" ht="15" customHeight="1">
      <c r="A250" t="inlineStr">
        <is>
          <t>A 58-2023</t>
        </is>
      </c>
      <c r="B250" s="1" t="n">
        <v>44928</v>
      </c>
      <c r="C250" s="1" t="n">
        <v>45186</v>
      </c>
      <c r="D250" t="inlineStr">
        <is>
          <t>JÖNKÖPINGS LÄN</t>
        </is>
      </c>
      <c r="E250" t="inlineStr">
        <is>
          <t>EKSJÖ</t>
        </is>
      </c>
      <c r="G250" t="n">
        <v>3.4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HYPERLINK("https://klasma.github.io/Logging_EKSJO/artfynd/A 58-2023.xlsx", "A 58-2023")</f>
        <v/>
      </c>
      <c r="T250">
        <f>HYPERLINK("https://klasma.github.io/Logging_EKSJO/kartor/A 58-2023.png", "A 58-2023")</f>
        <v/>
      </c>
      <c r="V250">
        <f>HYPERLINK("https://klasma.github.io/Logging_EKSJO/klagomål/A 58-2023.docx", "A 58-2023")</f>
        <v/>
      </c>
      <c r="W250">
        <f>HYPERLINK("https://klasma.github.io/Logging_EKSJO/klagomålsmail/A 58-2023.docx", "A 58-2023")</f>
        <v/>
      </c>
      <c r="X250">
        <f>HYPERLINK("https://klasma.github.io/Logging_EKSJO/tillsyn/A 58-2023.docx", "A 58-2023")</f>
        <v/>
      </c>
      <c r="Y250">
        <f>HYPERLINK("https://klasma.github.io/Logging_EKSJO/tillsynsmail/A 58-2023.docx", "A 58-2023")</f>
        <v/>
      </c>
    </row>
    <row r="251" ht="15" customHeight="1">
      <c r="A251" t="inlineStr">
        <is>
          <t>A 254-2023</t>
        </is>
      </c>
      <c r="B251" s="1" t="n">
        <v>44928</v>
      </c>
      <c r="C251" s="1" t="n">
        <v>45186</v>
      </c>
      <c r="D251" t="inlineStr">
        <is>
          <t>JÖNKÖPINGS LÄN</t>
        </is>
      </c>
      <c r="E251" t="inlineStr">
        <is>
          <t>NÄSSJÖ</t>
        </is>
      </c>
      <c r="G251" t="n">
        <v>7.7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Gulsparv</t>
        </is>
      </c>
      <c r="S251">
        <f>HYPERLINK("https://klasma.github.io/Logging_NASSJO/artfynd/A 254-2023.xlsx", "A 254-2023")</f>
        <v/>
      </c>
      <c r="T251">
        <f>HYPERLINK("https://klasma.github.io/Logging_NASSJO/kartor/A 254-2023.png", "A 254-2023")</f>
        <v/>
      </c>
      <c r="V251">
        <f>HYPERLINK("https://klasma.github.io/Logging_NASSJO/klagomål/A 254-2023.docx", "A 254-2023")</f>
        <v/>
      </c>
      <c r="W251">
        <f>HYPERLINK("https://klasma.github.io/Logging_NASSJO/klagomålsmail/A 254-2023.docx", "A 254-2023")</f>
        <v/>
      </c>
      <c r="X251">
        <f>HYPERLINK("https://klasma.github.io/Logging_NASSJO/tillsyn/A 254-2023.docx", "A 254-2023")</f>
        <v/>
      </c>
      <c r="Y251">
        <f>HYPERLINK("https://klasma.github.io/Logging_NASSJO/tillsynsmail/A 254-2023.docx", "A 254-2023")</f>
        <v/>
      </c>
    </row>
    <row r="252" ht="15" customHeight="1">
      <c r="A252" t="inlineStr">
        <is>
          <t>A 2486-2023</t>
        </is>
      </c>
      <c r="B252" s="1" t="n">
        <v>44943</v>
      </c>
      <c r="C252" s="1" t="n">
        <v>45186</v>
      </c>
      <c r="D252" t="inlineStr">
        <is>
          <t>JÖNKÖPINGS LÄN</t>
        </is>
      </c>
      <c r="E252" t="inlineStr">
        <is>
          <t>JÖNKÖPING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Solvända</t>
        </is>
      </c>
      <c r="S252">
        <f>HYPERLINK("https://klasma.github.io/Logging_JONKOPING/artfynd/A 2486-2023.xlsx", "A 2486-2023")</f>
        <v/>
      </c>
      <c r="T252">
        <f>HYPERLINK("https://klasma.github.io/Logging_JONKOPING/kartor/A 2486-2023.png", "A 2486-2023")</f>
        <v/>
      </c>
      <c r="V252">
        <f>HYPERLINK("https://klasma.github.io/Logging_JONKOPING/klagomål/A 2486-2023.docx", "A 2486-2023")</f>
        <v/>
      </c>
      <c r="W252">
        <f>HYPERLINK("https://klasma.github.io/Logging_JONKOPING/klagomålsmail/A 2486-2023.docx", "A 2486-2023")</f>
        <v/>
      </c>
      <c r="X252">
        <f>HYPERLINK("https://klasma.github.io/Logging_JONKOPING/tillsyn/A 2486-2023.docx", "A 2486-2023")</f>
        <v/>
      </c>
      <c r="Y252">
        <f>HYPERLINK("https://klasma.github.io/Logging_JONKOPING/tillsynsmail/A 2486-2023.docx", "A 2486-2023")</f>
        <v/>
      </c>
    </row>
    <row r="253" ht="15" customHeight="1">
      <c r="A253" t="inlineStr">
        <is>
          <t>A 5369-2023</t>
        </is>
      </c>
      <c r="B253" s="1" t="n">
        <v>44959</v>
      </c>
      <c r="C253" s="1" t="n">
        <v>45186</v>
      </c>
      <c r="D253" t="inlineStr">
        <is>
          <t>JÖNKÖPINGS LÄN</t>
        </is>
      </c>
      <c r="E253" t="inlineStr">
        <is>
          <t>VETLANDA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Trollsmultron</t>
        </is>
      </c>
      <c r="S253">
        <f>HYPERLINK("https://klasma.github.io/Logging_VETLANDA/artfynd/A 5369-2023.xlsx", "A 5369-2023")</f>
        <v/>
      </c>
      <c r="T253">
        <f>HYPERLINK("https://klasma.github.io/Logging_VETLANDA/kartor/A 5369-2023.png", "A 5369-2023")</f>
        <v/>
      </c>
      <c r="V253">
        <f>HYPERLINK("https://klasma.github.io/Logging_VETLANDA/klagomål/A 5369-2023.docx", "A 5369-2023")</f>
        <v/>
      </c>
      <c r="W253">
        <f>HYPERLINK("https://klasma.github.io/Logging_VETLANDA/klagomålsmail/A 5369-2023.docx", "A 5369-2023")</f>
        <v/>
      </c>
      <c r="X253">
        <f>HYPERLINK("https://klasma.github.io/Logging_VETLANDA/tillsyn/A 5369-2023.docx", "A 5369-2023")</f>
        <v/>
      </c>
      <c r="Y253">
        <f>HYPERLINK("https://klasma.github.io/Logging_VETLANDA/tillsynsmail/A 5369-2023.docx", "A 5369-2023")</f>
        <v/>
      </c>
    </row>
    <row r="254" ht="15" customHeight="1">
      <c r="A254" t="inlineStr">
        <is>
          <t>A 5906-2023</t>
        </is>
      </c>
      <c r="B254" s="1" t="n">
        <v>44963</v>
      </c>
      <c r="C254" s="1" t="n">
        <v>45186</v>
      </c>
      <c r="D254" t="inlineStr">
        <is>
          <t>JÖNKÖPINGS LÄN</t>
        </is>
      </c>
      <c r="E254" t="inlineStr">
        <is>
          <t>JÖNKÖPING</t>
        </is>
      </c>
      <c r="G254" t="n">
        <v>7.7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Storgröe</t>
        </is>
      </c>
      <c r="S254">
        <f>HYPERLINK("https://klasma.github.io/Logging_JONKOPING/artfynd/A 5906-2023.xlsx", "A 5906-2023")</f>
        <v/>
      </c>
      <c r="T254">
        <f>HYPERLINK("https://klasma.github.io/Logging_JONKOPING/kartor/A 5906-2023.png", "A 5906-2023")</f>
        <v/>
      </c>
      <c r="V254">
        <f>HYPERLINK("https://klasma.github.io/Logging_JONKOPING/klagomål/A 5906-2023.docx", "A 5906-2023")</f>
        <v/>
      </c>
      <c r="W254">
        <f>HYPERLINK("https://klasma.github.io/Logging_JONKOPING/klagomålsmail/A 5906-2023.docx", "A 5906-2023")</f>
        <v/>
      </c>
      <c r="X254">
        <f>HYPERLINK("https://klasma.github.io/Logging_JONKOPING/tillsyn/A 5906-2023.docx", "A 5906-2023")</f>
        <v/>
      </c>
      <c r="Y254">
        <f>HYPERLINK("https://klasma.github.io/Logging_JONKOPING/tillsynsmail/A 5906-2023.docx", "A 5906-2023")</f>
        <v/>
      </c>
    </row>
    <row r="255" ht="15" customHeight="1">
      <c r="A255" t="inlineStr">
        <is>
          <t>A 6359-2023</t>
        </is>
      </c>
      <c r="B255" s="1" t="n">
        <v>44965</v>
      </c>
      <c r="C255" s="1" t="n">
        <v>45186</v>
      </c>
      <c r="D255" t="inlineStr">
        <is>
          <t>JÖNKÖPINGS LÄN</t>
        </is>
      </c>
      <c r="E255" t="inlineStr">
        <is>
          <t>GISLAVED</t>
        </is>
      </c>
      <c r="F255" t="inlineStr">
        <is>
          <t>Kommuner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Safsa</t>
        </is>
      </c>
      <c r="S255">
        <f>HYPERLINK("https://klasma.github.io/Logging_GISLAVED/artfynd/A 6359-2023.xlsx", "A 6359-2023")</f>
        <v/>
      </c>
      <c r="T255">
        <f>HYPERLINK("https://klasma.github.io/Logging_GISLAVED/kartor/A 6359-2023.png", "A 6359-2023")</f>
        <v/>
      </c>
      <c r="V255">
        <f>HYPERLINK("https://klasma.github.io/Logging_GISLAVED/klagomål/A 6359-2023.docx", "A 6359-2023")</f>
        <v/>
      </c>
      <c r="W255">
        <f>HYPERLINK("https://klasma.github.io/Logging_GISLAVED/klagomålsmail/A 6359-2023.docx", "A 6359-2023")</f>
        <v/>
      </c>
      <c r="X255">
        <f>HYPERLINK("https://klasma.github.io/Logging_GISLAVED/tillsyn/A 6359-2023.docx", "A 6359-2023")</f>
        <v/>
      </c>
      <c r="Y255">
        <f>HYPERLINK("https://klasma.github.io/Logging_GISLAVED/tillsynsmail/A 6359-2023.docx", "A 6359-2023")</f>
        <v/>
      </c>
    </row>
    <row r="256" ht="15" customHeight="1">
      <c r="A256" t="inlineStr">
        <is>
          <t>A 8977-2023</t>
        </is>
      </c>
      <c r="B256" s="1" t="n">
        <v>44974</v>
      </c>
      <c r="C256" s="1" t="n">
        <v>45186</v>
      </c>
      <c r="D256" t="inlineStr">
        <is>
          <t>JÖNKÖPINGS LÄN</t>
        </is>
      </c>
      <c r="E256" t="inlineStr">
        <is>
          <t>JÖNKÖPING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Falsk djävulssopp</t>
        </is>
      </c>
      <c r="S256">
        <f>HYPERLINK("https://klasma.github.io/Logging_JONKOPING/artfynd/A 8977-2023.xlsx", "A 8977-2023")</f>
        <v/>
      </c>
      <c r="T256">
        <f>HYPERLINK("https://klasma.github.io/Logging_JONKOPING/kartor/A 8977-2023.png", "A 8977-2023")</f>
        <v/>
      </c>
      <c r="V256">
        <f>HYPERLINK("https://klasma.github.io/Logging_JONKOPING/klagomål/A 8977-2023.docx", "A 8977-2023")</f>
        <v/>
      </c>
      <c r="W256">
        <f>HYPERLINK("https://klasma.github.io/Logging_JONKOPING/klagomålsmail/A 8977-2023.docx", "A 8977-2023")</f>
        <v/>
      </c>
      <c r="X256">
        <f>HYPERLINK("https://klasma.github.io/Logging_JONKOPING/tillsyn/A 8977-2023.docx", "A 8977-2023")</f>
        <v/>
      </c>
      <c r="Y256">
        <f>HYPERLINK("https://klasma.github.io/Logging_JONKOPING/tillsynsmail/A 8977-2023.docx", "A 8977-2023")</f>
        <v/>
      </c>
    </row>
    <row r="257" ht="15" customHeight="1">
      <c r="A257" t="inlineStr">
        <is>
          <t>A 8483-2023</t>
        </is>
      </c>
      <c r="B257" s="1" t="n">
        <v>44977</v>
      </c>
      <c r="C257" s="1" t="n">
        <v>45186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Större vattensalamander</t>
        </is>
      </c>
      <c r="S257">
        <f>HYPERLINK("https://klasma.github.io/Logging_GISLAVED/artfynd/A 8483-2023.xlsx", "A 8483-2023")</f>
        <v/>
      </c>
      <c r="T257">
        <f>HYPERLINK("https://klasma.github.io/Logging_GISLAVED/kartor/A 8483-2023.png", "A 8483-2023")</f>
        <v/>
      </c>
      <c r="V257">
        <f>HYPERLINK("https://klasma.github.io/Logging_GISLAVED/klagomål/A 8483-2023.docx", "A 8483-2023")</f>
        <v/>
      </c>
      <c r="W257">
        <f>HYPERLINK("https://klasma.github.io/Logging_GISLAVED/klagomålsmail/A 8483-2023.docx", "A 8483-2023")</f>
        <v/>
      </c>
      <c r="X257">
        <f>HYPERLINK("https://klasma.github.io/Logging_GISLAVED/tillsyn/A 8483-2023.docx", "A 8483-2023")</f>
        <v/>
      </c>
      <c r="Y257">
        <f>HYPERLINK("https://klasma.github.io/Logging_GISLAVED/tillsynsmail/A 8483-2023.docx", "A 8483-2023")</f>
        <v/>
      </c>
    </row>
    <row r="258" ht="15" customHeight="1">
      <c r="A258" t="inlineStr">
        <is>
          <t>A 8486-2023</t>
        </is>
      </c>
      <c r="B258" s="1" t="n">
        <v>44977</v>
      </c>
      <c r="C258" s="1" t="n">
        <v>45186</v>
      </c>
      <c r="D258" t="inlineStr">
        <is>
          <t>JÖNKÖPINGS LÄN</t>
        </is>
      </c>
      <c r="E258" t="inlineStr">
        <is>
          <t>GISLAVED</t>
        </is>
      </c>
      <c r="G258" t="n">
        <v>1.7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Gullviva</t>
        </is>
      </c>
      <c r="S258">
        <f>HYPERLINK("https://klasma.github.io/Logging_GISLAVED/artfynd/A 8486-2023.xlsx", "A 8486-2023")</f>
        <v/>
      </c>
      <c r="T258">
        <f>HYPERLINK("https://klasma.github.io/Logging_GISLAVED/kartor/A 8486-2023.png", "A 8486-2023")</f>
        <v/>
      </c>
      <c r="V258">
        <f>HYPERLINK("https://klasma.github.io/Logging_GISLAVED/klagomål/A 8486-2023.docx", "A 8486-2023")</f>
        <v/>
      </c>
      <c r="W258">
        <f>HYPERLINK("https://klasma.github.io/Logging_GISLAVED/klagomålsmail/A 8486-2023.docx", "A 8486-2023")</f>
        <v/>
      </c>
      <c r="X258">
        <f>HYPERLINK("https://klasma.github.io/Logging_GISLAVED/tillsyn/A 8486-2023.docx", "A 8486-2023")</f>
        <v/>
      </c>
      <c r="Y258">
        <f>HYPERLINK("https://klasma.github.io/Logging_GISLAVED/tillsynsmail/A 8486-2023.docx", "A 8486-2023")</f>
        <v/>
      </c>
    </row>
    <row r="259" ht="15" customHeight="1">
      <c r="A259" t="inlineStr">
        <is>
          <t>A 9986-2023</t>
        </is>
      </c>
      <c r="B259" s="1" t="n">
        <v>44979</v>
      </c>
      <c r="C259" s="1" t="n">
        <v>45186</v>
      </c>
      <c r="D259" t="inlineStr">
        <is>
          <t>JÖNKÖPINGS LÄN</t>
        </is>
      </c>
      <c r="E259" t="inlineStr">
        <is>
          <t>VÄRNAMO</t>
        </is>
      </c>
      <c r="G259" t="n">
        <v>4.1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Hasselmus</t>
        </is>
      </c>
      <c r="S259">
        <f>HYPERLINK("https://klasma.github.io/Logging_VARNAMO/artfynd/A 9986-2023.xlsx", "A 9986-2023")</f>
        <v/>
      </c>
      <c r="T259">
        <f>HYPERLINK("https://klasma.github.io/Logging_VARNAMO/kartor/A 9986-2023.png", "A 9986-2023")</f>
        <v/>
      </c>
      <c r="V259">
        <f>HYPERLINK("https://klasma.github.io/Logging_VARNAMO/klagomål/A 9986-2023.docx", "A 9986-2023")</f>
        <v/>
      </c>
      <c r="W259">
        <f>HYPERLINK("https://klasma.github.io/Logging_VARNAMO/klagomålsmail/A 9986-2023.docx", "A 9986-2023")</f>
        <v/>
      </c>
      <c r="X259">
        <f>HYPERLINK("https://klasma.github.io/Logging_VARNAMO/tillsyn/A 9986-2023.docx", "A 9986-2023")</f>
        <v/>
      </c>
      <c r="Y259">
        <f>HYPERLINK("https://klasma.github.io/Logging_VARNAMO/tillsynsmail/A 9986-2023.docx", "A 9986-2023")</f>
        <v/>
      </c>
    </row>
    <row r="260" ht="15" customHeight="1">
      <c r="A260" t="inlineStr">
        <is>
          <t>A 11256-2023</t>
        </is>
      </c>
      <c r="B260" s="1" t="n">
        <v>44992</v>
      </c>
      <c r="C260" s="1" t="n">
        <v>45186</v>
      </c>
      <c r="D260" t="inlineStr">
        <is>
          <t>JÖNKÖPINGS LÄN</t>
        </is>
      </c>
      <c r="E260" t="inlineStr">
        <is>
          <t>JÖNKÖPING</t>
        </is>
      </c>
      <c r="G260" t="n">
        <v>3.2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Kambräken</t>
        </is>
      </c>
      <c r="S260">
        <f>HYPERLINK("https://klasma.github.io/Logging_JONKOPING/artfynd/A 11256-2023.xlsx", "A 11256-2023")</f>
        <v/>
      </c>
      <c r="T260">
        <f>HYPERLINK("https://klasma.github.io/Logging_JONKOPING/kartor/A 11256-2023.png", "A 11256-2023")</f>
        <v/>
      </c>
      <c r="V260">
        <f>HYPERLINK("https://klasma.github.io/Logging_JONKOPING/klagomål/A 11256-2023.docx", "A 11256-2023")</f>
        <v/>
      </c>
      <c r="W260">
        <f>HYPERLINK("https://klasma.github.io/Logging_JONKOPING/klagomålsmail/A 11256-2023.docx", "A 11256-2023")</f>
        <v/>
      </c>
      <c r="X260">
        <f>HYPERLINK("https://klasma.github.io/Logging_JONKOPING/tillsyn/A 11256-2023.docx", "A 11256-2023")</f>
        <v/>
      </c>
      <c r="Y260">
        <f>HYPERLINK("https://klasma.github.io/Logging_JONKOPING/tillsynsmail/A 11256-2023.docx", "A 11256-2023")</f>
        <v/>
      </c>
    </row>
    <row r="261" ht="15" customHeight="1">
      <c r="A261" t="inlineStr">
        <is>
          <t>A 11983-2023</t>
        </is>
      </c>
      <c r="B261" s="1" t="n">
        <v>44994</v>
      </c>
      <c r="C261" s="1" t="n">
        <v>45186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Svinrot</t>
        </is>
      </c>
      <c r="S261">
        <f>HYPERLINK("https://klasma.github.io/Logging_JONKOPING/artfynd/A 11983-2023.xlsx", "A 11983-2023")</f>
        <v/>
      </c>
      <c r="T261">
        <f>HYPERLINK("https://klasma.github.io/Logging_JONKOPING/kartor/A 11983-2023.png", "A 11983-2023")</f>
        <v/>
      </c>
      <c r="V261">
        <f>HYPERLINK("https://klasma.github.io/Logging_JONKOPING/klagomål/A 11983-2023.docx", "A 11983-2023")</f>
        <v/>
      </c>
      <c r="W261">
        <f>HYPERLINK("https://klasma.github.io/Logging_JONKOPING/klagomålsmail/A 11983-2023.docx", "A 11983-2023")</f>
        <v/>
      </c>
      <c r="X261">
        <f>HYPERLINK("https://klasma.github.io/Logging_JONKOPING/tillsyn/A 11983-2023.docx", "A 11983-2023")</f>
        <v/>
      </c>
      <c r="Y261">
        <f>HYPERLINK("https://klasma.github.io/Logging_JONKOPING/tillsynsmail/A 11983-2023.docx", "A 11983-2023")</f>
        <v/>
      </c>
    </row>
    <row r="262" ht="15" customHeight="1">
      <c r="A262" t="inlineStr">
        <is>
          <t>A 12223-2023</t>
        </is>
      </c>
      <c r="B262" s="1" t="n">
        <v>44998</v>
      </c>
      <c r="C262" s="1" t="n">
        <v>45186</v>
      </c>
      <c r="D262" t="inlineStr">
        <is>
          <t>JÖNKÖPINGS LÄN</t>
        </is>
      </c>
      <c r="E262" t="inlineStr">
        <is>
          <t>VETLANDA</t>
        </is>
      </c>
      <c r="G262" t="n">
        <v>8.800000000000001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Lopplummer</t>
        </is>
      </c>
      <c r="S262">
        <f>HYPERLINK("https://klasma.github.io/Logging_VETLANDA/artfynd/A 12223-2023.xlsx", "A 12223-2023")</f>
        <v/>
      </c>
      <c r="T262">
        <f>HYPERLINK("https://klasma.github.io/Logging_VETLANDA/kartor/A 12223-2023.png", "A 12223-2023")</f>
        <v/>
      </c>
      <c r="V262">
        <f>HYPERLINK("https://klasma.github.io/Logging_VETLANDA/klagomål/A 12223-2023.docx", "A 12223-2023")</f>
        <v/>
      </c>
      <c r="W262">
        <f>HYPERLINK("https://klasma.github.io/Logging_VETLANDA/klagomålsmail/A 12223-2023.docx", "A 12223-2023")</f>
        <v/>
      </c>
      <c r="X262">
        <f>HYPERLINK("https://klasma.github.io/Logging_VETLANDA/tillsyn/A 12223-2023.docx", "A 12223-2023")</f>
        <v/>
      </c>
      <c r="Y262">
        <f>HYPERLINK("https://klasma.github.io/Logging_VETLANDA/tillsynsmail/A 12223-2023.docx", "A 12223-2023")</f>
        <v/>
      </c>
    </row>
    <row r="263" ht="15" customHeight="1">
      <c r="A263" t="inlineStr">
        <is>
          <t>A 12437-2023</t>
        </is>
      </c>
      <c r="B263" s="1" t="n">
        <v>44998</v>
      </c>
      <c r="C263" s="1" t="n">
        <v>45186</v>
      </c>
      <c r="D263" t="inlineStr">
        <is>
          <t>JÖNKÖPINGS LÄN</t>
        </is>
      </c>
      <c r="E263" t="inlineStr">
        <is>
          <t>TRANÅS</t>
        </is>
      </c>
      <c r="G263" t="n">
        <v>10.5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Skogsbräsma</t>
        </is>
      </c>
      <c r="S263">
        <f>HYPERLINK("https://klasma.github.io/Logging_TRANAS/artfynd/A 12437-2023.xlsx", "A 12437-2023")</f>
        <v/>
      </c>
      <c r="T263">
        <f>HYPERLINK("https://klasma.github.io/Logging_TRANAS/kartor/A 12437-2023.png", "A 12437-2023")</f>
        <v/>
      </c>
      <c r="V263">
        <f>HYPERLINK("https://klasma.github.io/Logging_TRANAS/klagomål/A 12437-2023.docx", "A 12437-2023")</f>
        <v/>
      </c>
      <c r="W263">
        <f>HYPERLINK("https://klasma.github.io/Logging_TRANAS/klagomålsmail/A 12437-2023.docx", "A 12437-2023")</f>
        <v/>
      </c>
      <c r="X263">
        <f>HYPERLINK("https://klasma.github.io/Logging_TRANAS/tillsyn/A 12437-2023.docx", "A 12437-2023")</f>
        <v/>
      </c>
      <c r="Y263">
        <f>HYPERLINK("https://klasma.github.io/Logging_TRANAS/tillsynsmail/A 12437-2023.docx", "A 12437-2023")</f>
        <v/>
      </c>
    </row>
    <row r="264" ht="15" customHeight="1">
      <c r="A264" t="inlineStr">
        <is>
          <t>A 15659-2023</t>
        </is>
      </c>
      <c r="B264" s="1" t="n">
        <v>45021</v>
      </c>
      <c r="C264" s="1" t="n">
        <v>45186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Trollsmultron</t>
        </is>
      </c>
      <c r="S264">
        <f>HYPERLINK("https://klasma.github.io/Logging_VETLANDA/artfynd/A 15659-2023.xlsx", "A 15659-2023")</f>
        <v/>
      </c>
      <c r="T264">
        <f>HYPERLINK("https://klasma.github.io/Logging_VETLANDA/kartor/A 15659-2023.png", "A 15659-2023")</f>
        <v/>
      </c>
      <c r="V264">
        <f>HYPERLINK("https://klasma.github.io/Logging_VETLANDA/klagomål/A 15659-2023.docx", "A 15659-2023")</f>
        <v/>
      </c>
      <c r="W264">
        <f>HYPERLINK("https://klasma.github.io/Logging_VETLANDA/klagomålsmail/A 15659-2023.docx", "A 15659-2023")</f>
        <v/>
      </c>
      <c r="X264">
        <f>HYPERLINK("https://klasma.github.io/Logging_VETLANDA/tillsyn/A 15659-2023.docx", "A 15659-2023")</f>
        <v/>
      </c>
      <c r="Y264">
        <f>HYPERLINK("https://klasma.github.io/Logging_VETLANDA/tillsynsmail/A 15659-2023.docx", "A 15659-2023")</f>
        <v/>
      </c>
    </row>
    <row r="265" ht="15" customHeight="1">
      <c r="A265" t="inlineStr">
        <is>
          <t>A 16944-2023</t>
        </is>
      </c>
      <c r="B265" s="1" t="n">
        <v>45033</v>
      </c>
      <c r="C265" s="1" t="n">
        <v>45186</v>
      </c>
      <c r="D265" t="inlineStr">
        <is>
          <t>JÖNKÖPINGS LÄN</t>
        </is>
      </c>
      <c r="E265" t="inlineStr">
        <is>
          <t>ANEBY</t>
        </is>
      </c>
      <c r="G265" t="n">
        <v>9.1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Sotriska</t>
        </is>
      </c>
      <c r="S265">
        <f>HYPERLINK("https://klasma.github.io/Logging_ANEBY/artfynd/A 16944-2023.xlsx", "A 16944-2023")</f>
        <v/>
      </c>
      <c r="T265">
        <f>HYPERLINK("https://klasma.github.io/Logging_ANEBY/kartor/A 16944-2023.png", "A 16944-2023")</f>
        <v/>
      </c>
      <c r="V265">
        <f>HYPERLINK("https://klasma.github.io/Logging_ANEBY/klagomål/A 16944-2023.docx", "A 16944-2023")</f>
        <v/>
      </c>
      <c r="W265">
        <f>HYPERLINK("https://klasma.github.io/Logging_ANEBY/klagomålsmail/A 16944-2023.docx", "A 16944-2023")</f>
        <v/>
      </c>
      <c r="X265">
        <f>HYPERLINK("https://klasma.github.io/Logging_ANEBY/tillsyn/A 16944-2023.docx", "A 16944-2023")</f>
        <v/>
      </c>
      <c r="Y265">
        <f>HYPERLINK("https://klasma.github.io/Logging_ANEBY/tillsynsmail/A 16944-2023.docx", "A 16944-2023")</f>
        <v/>
      </c>
    </row>
    <row r="266" ht="15" customHeight="1">
      <c r="A266" t="inlineStr">
        <is>
          <t>A 18880-2023</t>
        </is>
      </c>
      <c r="B266" s="1" t="n">
        <v>45044</v>
      </c>
      <c r="C266" s="1" t="n">
        <v>45186</v>
      </c>
      <c r="D266" t="inlineStr">
        <is>
          <t>JÖNKÖPINGS LÄN</t>
        </is>
      </c>
      <c r="E266" t="inlineStr">
        <is>
          <t>NÄSSJÖ</t>
        </is>
      </c>
      <c r="F266" t="inlineStr">
        <is>
          <t>Kyrkan</t>
        </is>
      </c>
      <c r="G266" t="n">
        <v>0.7</v>
      </c>
      <c r="H266" t="n">
        <v>1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Spindelblomster</t>
        </is>
      </c>
      <c r="S266">
        <f>HYPERLINK("https://klasma.github.io/Logging_NASSJO/artfynd/A 18880-2023.xlsx", "A 18880-2023")</f>
        <v/>
      </c>
      <c r="T266">
        <f>HYPERLINK("https://klasma.github.io/Logging_NASSJO/kartor/A 18880-2023.png", "A 18880-2023")</f>
        <v/>
      </c>
      <c r="V266">
        <f>HYPERLINK("https://klasma.github.io/Logging_NASSJO/klagomål/A 18880-2023.docx", "A 18880-2023")</f>
        <v/>
      </c>
      <c r="W266">
        <f>HYPERLINK("https://klasma.github.io/Logging_NASSJO/klagomålsmail/A 18880-2023.docx", "A 18880-2023")</f>
        <v/>
      </c>
      <c r="X266">
        <f>HYPERLINK("https://klasma.github.io/Logging_NASSJO/tillsyn/A 18880-2023.docx", "A 18880-2023")</f>
        <v/>
      </c>
      <c r="Y266">
        <f>HYPERLINK("https://klasma.github.io/Logging_NASSJO/tillsynsmail/A 18880-2023.docx", "A 18880-2023")</f>
        <v/>
      </c>
    </row>
    <row r="267" ht="15" customHeight="1">
      <c r="A267" t="inlineStr">
        <is>
          <t>A 22367-2023</t>
        </is>
      </c>
      <c r="B267" s="1" t="n">
        <v>45070</v>
      </c>
      <c r="C267" s="1" t="n">
        <v>45186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1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Skogsalm</t>
        </is>
      </c>
      <c r="S267">
        <f>HYPERLINK("https://klasma.github.io/Logging_GISLAVED/artfynd/A 22367-2023.xlsx", "A 22367-2023")</f>
        <v/>
      </c>
      <c r="T267">
        <f>HYPERLINK("https://klasma.github.io/Logging_GISLAVED/kartor/A 22367-2023.png", "A 22367-2023")</f>
        <v/>
      </c>
      <c r="V267">
        <f>HYPERLINK("https://klasma.github.io/Logging_GISLAVED/klagomål/A 22367-2023.docx", "A 22367-2023")</f>
        <v/>
      </c>
      <c r="W267">
        <f>HYPERLINK("https://klasma.github.io/Logging_GISLAVED/klagomålsmail/A 22367-2023.docx", "A 22367-2023")</f>
        <v/>
      </c>
      <c r="X267">
        <f>HYPERLINK("https://klasma.github.io/Logging_GISLAVED/tillsyn/A 22367-2023.docx", "A 22367-2023")</f>
        <v/>
      </c>
      <c r="Y267">
        <f>HYPERLINK("https://klasma.github.io/Logging_GISLAVED/tillsynsmail/A 22367-2023.docx", "A 22367-2023")</f>
        <v/>
      </c>
    </row>
    <row r="268" ht="15" customHeight="1">
      <c r="A268" t="inlineStr">
        <is>
          <t>A 23211-2023</t>
        </is>
      </c>
      <c r="B268" s="1" t="n">
        <v>45071</v>
      </c>
      <c r="C268" s="1" t="n">
        <v>45186</v>
      </c>
      <c r="D268" t="inlineStr">
        <is>
          <t>JÖNKÖPINGS LÄN</t>
        </is>
      </c>
      <c r="E268" t="inlineStr">
        <is>
          <t>VAGGERYD</t>
        </is>
      </c>
      <c r="G268" t="n">
        <v>3.6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Fläcknycklar</t>
        </is>
      </c>
      <c r="S268">
        <f>HYPERLINK("https://klasma.github.io/Logging_VAGGERYD/artfynd/A 23211-2023.xlsx", "A 23211-2023")</f>
        <v/>
      </c>
      <c r="T268">
        <f>HYPERLINK("https://klasma.github.io/Logging_VAGGERYD/kartor/A 23211-2023.png", "A 23211-2023")</f>
        <v/>
      </c>
      <c r="V268">
        <f>HYPERLINK("https://klasma.github.io/Logging_VAGGERYD/klagomål/A 23211-2023.docx", "A 23211-2023")</f>
        <v/>
      </c>
      <c r="W268">
        <f>HYPERLINK("https://klasma.github.io/Logging_VAGGERYD/klagomålsmail/A 23211-2023.docx", "A 23211-2023")</f>
        <v/>
      </c>
      <c r="X268">
        <f>HYPERLINK("https://klasma.github.io/Logging_VAGGERYD/tillsyn/A 23211-2023.docx", "A 23211-2023")</f>
        <v/>
      </c>
      <c r="Y268">
        <f>HYPERLINK("https://klasma.github.io/Logging_VAGGERYD/tillsynsmail/A 23211-2023.docx", "A 23211-2023")</f>
        <v/>
      </c>
    </row>
    <row r="269" ht="15" customHeight="1">
      <c r="A269" t="inlineStr">
        <is>
          <t>A 22821-2023</t>
        </is>
      </c>
      <c r="B269" s="1" t="n">
        <v>45072</v>
      </c>
      <c r="C269" s="1" t="n">
        <v>45186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Månlåsbräken</t>
        </is>
      </c>
      <c r="S269">
        <f>HYPERLINK("https://klasma.github.io/Logging_EKSJO/artfynd/A 22821-2023.xlsx", "A 22821-2023")</f>
        <v/>
      </c>
      <c r="T269">
        <f>HYPERLINK("https://klasma.github.io/Logging_EKSJO/kartor/A 22821-2023.png", "A 22821-2023")</f>
        <v/>
      </c>
      <c r="V269">
        <f>HYPERLINK("https://klasma.github.io/Logging_EKSJO/klagomål/A 22821-2023.docx", "A 22821-2023")</f>
        <v/>
      </c>
      <c r="W269">
        <f>HYPERLINK("https://klasma.github.io/Logging_EKSJO/klagomålsmail/A 22821-2023.docx", "A 22821-2023")</f>
        <v/>
      </c>
      <c r="X269">
        <f>HYPERLINK("https://klasma.github.io/Logging_EKSJO/tillsyn/A 22821-2023.docx", "A 22821-2023")</f>
        <v/>
      </c>
      <c r="Y269">
        <f>HYPERLINK("https://klasma.github.io/Logging_EKSJO/tillsynsmail/A 22821-2023.docx", "A 22821-2023")</f>
        <v/>
      </c>
    </row>
    <row r="270" ht="15" customHeight="1">
      <c r="A270" t="inlineStr">
        <is>
          <t>A 23694-2023</t>
        </is>
      </c>
      <c r="B270" s="1" t="n">
        <v>45077</v>
      </c>
      <c r="C270" s="1" t="n">
        <v>45186</v>
      </c>
      <c r="D270" t="inlineStr">
        <is>
          <t>JÖNKÖPINGS LÄN</t>
        </is>
      </c>
      <c r="E270" t="inlineStr">
        <is>
          <t>GISLAVED</t>
        </is>
      </c>
      <c r="G270" t="n">
        <v>3.3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Brunag</t>
        </is>
      </c>
      <c r="S270">
        <f>HYPERLINK("https://klasma.github.io/Logging_GISLAVED/artfynd/A 23694-2023.xlsx", "A 23694-2023")</f>
        <v/>
      </c>
      <c r="T270">
        <f>HYPERLINK("https://klasma.github.io/Logging_GISLAVED/kartor/A 23694-2023.png", "A 23694-2023")</f>
        <v/>
      </c>
      <c r="V270">
        <f>HYPERLINK("https://klasma.github.io/Logging_GISLAVED/klagomål/A 23694-2023.docx", "A 23694-2023")</f>
        <v/>
      </c>
      <c r="W270">
        <f>HYPERLINK("https://klasma.github.io/Logging_GISLAVED/klagomålsmail/A 23694-2023.docx", "A 23694-2023")</f>
        <v/>
      </c>
      <c r="X270">
        <f>HYPERLINK("https://klasma.github.io/Logging_GISLAVED/tillsyn/A 23694-2023.docx", "A 23694-2023")</f>
        <v/>
      </c>
      <c r="Y270">
        <f>HYPERLINK("https://klasma.github.io/Logging_GISLAVED/tillsynsmail/A 23694-2023.docx", "A 23694-2023")</f>
        <v/>
      </c>
    </row>
    <row r="271" ht="15" customHeight="1">
      <c r="A271" t="inlineStr">
        <is>
          <t>A 24945-2023</t>
        </is>
      </c>
      <c r="B271" s="1" t="n">
        <v>45085</v>
      </c>
      <c r="C271" s="1" t="n">
        <v>45186</v>
      </c>
      <c r="D271" t="inlineStr">
        <is>
          <t>JÖNKÖPINGS LÄN</t>
        </is>
      </c>
      <c r="E271" t="inlineStr">
        <is>
          <t>VETLANDA</t>
        </is>
      </c>
      <c r="G271" t="n">
        <v>0.5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Skarp dropptaggsvamp</t>
        </is>
      </c>
      <c r="S271">
        <f>HYPERLINK("https://klasma.github.io/Logging_VETLANDA/artfynd/A 24945-2023.xlsx", "A 24945-2023")</f>
        <v/>
      </c>
      <c r="T271">
        <f>HYPERLINK("https://klasma.github.io/Logging_VETLANDA/kartor/A 24945-2023.png", "A 24945-2023")</f>
        <v/>
      </c>
      <c r="V271">
        <f>HYPERLINK("https://klasma.github.io/Logging_VETLANDA/klagomål/A 24945-2023.docx", "A 24945-2023")</f>
        <v/>
      </c>
      <c r="W271">
        <f>HYPERLINK("https://klasma.github.io/Logging_VETLANDA/klagomålsmail/A 24945-2023.docx", "A 24945-2023")</f>
        <v/>
      </c>
      <c r="X271">
        <f>HYPERLINK("https://klasma.github.io/Logging_VETLANDA/tillsyn/A 24945-2023.docx", "A 24945-2023")</f>
        <v/>
      </c>
      <c r="Y271">
        <f>HYPERLINK("https://klasma.github.io/Logging_VETLANDA/tillsynsmail/A 24945-2023.docx", "A 24945-2023")</f>
        <v/>
      </c>
    </row>
    <row r="272" ht="15" customHeight="1">
      <c r="A272" t="inlineStr">
        <is>
          <t>A 25705-2023</t>
        </is>
      </c>
      <c r="B272" s="1" t="n">
        <v>45090</v>
      </c>
      <c r="C272" s="1" t="n">
        <v>45186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HYPERLINK("https://klasma.github.io/Logging_NASSJO/artfynd/A 25705-2023.xlsx", "A 25705-2023")</f>
        <v/>
      </c>
      <c r="T272">
        <f>HYPERLINK("https://klasma.github.io/Logging_NASSJO/kartor/A 25705-2023.png", "A 25705-2023")</f>
        <v/>
      </c>
      <c r="V272">
        <f>HYPERLINK("https://klasma.github.io/Logging_NASSJO/klagomål/A 25705-2023.docx", "A 25705-2023")</f>
        <v/>
      </c>
      <c r="W272">
        <f>HYPERLINK("https://klasma.github.io/Logging_NASSJO/klagomålsmail/A 25705-2023.docx", "A 25705-2023")</f>
        <v/>
      </c>
      <c r="X272">
        <f>HYPERLINK("https://klasma.github.io/Logging_NASSJO/tillsyn/A 25705-2023.docx", "A 25705-2023")</f>
        <v/>
      </c>
      <c r="Y272">
        <f>HYPERLINK("https://klasma.github.io/Logging_NASSJO/tillsynsmail/A 25705-2023.docx", "A 25705-2023")</f>
        <v/>
      </c>
    </row>
    <row r="273" ht="15" customHeight="1">
      <c r="A273" t="inlineStr">
        <is>
          <t>A 27548-2023</t>
        </is>
      </c>
      <c r="B273" s="1" t="n">
        <v>45092</v>
      </c>
      <c r="C273" s="1" t="n">
        <v>45186</v>
      </c>
      <c r="D273" t="inlineStr">
        <is>
          <t>JÖNKÖPINGS LÄN</t>
        </is>
      </c>
      <c r="E273" t="inlineStr">
        <is>
          <t>VETLANDA</t>
        </is>
      </c>
      <c r="G273" t="n">
        <v>2.3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HYPERLINK("https://klasma.github.io/Logging_VETLANDA/artfynd/A 27548-2023.xlsx", "A 27548-2023")</f>
        <v/>
      </c>
      <c r="T273">
        <f>HYPERLINK("https://klasma.github.io/Logging_VETLANDA/kartor/A 27548-2023.png", "A 27548-2023")</f>
        <v/>
      </c>
      <c r="V273">
        <f>HYPERLINK("https://klasma.github.io/Logging_VETLANDA/klagomål/A 27548-2023.docx", "A 27548-2023")</f>
        <v/>
      </c>
      <c r="W273">
        <f>HYPERLINK("https://klasma.github.io/Logging_VETLANDA/klagomålsmail/A 27548-2023.docx", "A 27548-2023")</f>
        <v/>
      </c>
      <c r="X273">
        <f>HYPERLINK("https://klasma.github.io/Logging_VETLANDA/tillsyn/A 27548-2023.docx", "A 27548-2023")</f>
        <v/>
      </c>
      <c r="Y273">
        <f>HYPERLINK("https://klasma.github.io/Logging_VETLANDA/tillsynsmail/A 27548-2023.docx", "A 27548-2023")</f>
        <v/>
      </c>
    </row>
    <row r="274" ht="15" customHeight="1">
      <c r="A274" t="inlineStr">
        <is>
          <t>A 27076-2023</t>
        </is>
      </c>
      <c r="B274" s="1" t="n">
        <v>45096</v>
      </c>
      <c r="C274" s="1" t="n">
        <v>45186</v>
      </c>
      <c r="D274" t="inlineStr">
        <is>
          <t>JÖNKÖPINGS LÄN</t>
        </is>
      </c>
      <c r="E274" t="inlineStr">
        <is>
          <t>EKSJÖ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HYPERLINK("https://klasma.github.io/Logging_EKSJO/artfynd/A 27076-2023.xlsx", "A 27076-2023")</f>
        <v/>
      </c>
      <c r="T274">
        <f>HYPERLINK("https://klasma.github.io/Logging_EKSJO/kartor/A 27076-2023.png", "A 27076-2023")</f>
        <v/>
      </c>
      <c r="V274">
        <f>HYPERLINK("https://klasma.github.io/Logging_EKSJO/klagomål/A 27076-2023.docx", "A 27076-2023")</f>
        <v/>
      </c>
      <c r="W274">
        <f>HYPERLINK("https://klasma.github.io/Logging_EKSJO/klagomålsmail/A 27076-2023.docx", "A 27076-2023")</f>
        <v/>
      </c>
      <c r="X274">
        <f>HYPERLINK("https://klasma.github.io/Logging_EKSJO/tillsyn/A 27076-2023.docx", "A 27076-2023")</f>
        <v/>
      </c>
      <c r="Y274">
        <f>HYPERLINK("https://klasma.github.io/Logging_EKSJO/tillsynsmail/A 27076-2023.docx", "A 27076-2023")</f>
        <v/>
      </c>
    </row>
    <row r="275" ht="15" customHeight="1">
      <c r="A275" t="inlineStr">
        <is>
          <t>A 28289-2023</t>
        </is>
      </c>
      <c r="B275" s="1" t="n">
        <v>45099</v>
      </c>
      <c r="C275" s="1" t="n">
        <v>45186</v>
      </c>
      <c r="D275" t="inlineStr">
        <is>
          <t>JÖNKÖPINGS LÄN</t>
        </is>
      </c>
      <c r="E275" t="inlineStr">
        <is>
          <t>VÄRNAMO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Slåttergubbe</t>
        </is>
      </c>
      <c r="S275">
        <f>HYPERLINK("https://klasma.github.io/Logging_VARNAMO/artfynd/A 28289-2023.xlsx", "A 28289-2023")</f>
        <v/>
      </c>
      <c r="T275">
        <f>HYPERLINK("https://klasma.github.io/Logging_VARNAMO/kartor/A 28289-2023.png", "A 28289-2023")</f>
        <v/>
      </c>
      <c r="V275">
        <f>HYPERLINK("https://klasma.github.io/Logging_VARNAMO/klagomål/A 28289-2023.docx", "A 28289-2023")</f>
        <v/>
      </c>
      <c r="W275">
        <f>HYPERLINK("https://klasma.github.io/Logging_VARNAMO/klagomålsmail/A 28289-2023.docx", "A 28289-2023")</f>
        <v/>
      </c>
      <c r="X275">
        <f>HYPERLINK("https://klasma.github.io/Logging_VARNAMO/tillsyn/A 28289-2023.docx", "A 28289-2023")</f>
        <v/>
      </c>
      <c r="Y275">
        <f>HYPERLINK("https://klasma.github.io/Logging_VARNAMO/tillsynsmail/A 28289-2023.docx", "A 28289-2023")</f>
        <v/>
      </c>
    </row>
    <row r="276" ht="15" customHeight="1">
      <c r="A276" t="inlineStr">
        <is>
          <t>A 28407-2023</t>
        </is>
      </c>
      <c r="B276" s="1" t="n">
        <v>45101</v>
      </c>
      <c r="C276" s="1" t="n">
        <v>45186</v>
      </c>
      <c r="D276" t="inlineStr">
        <is>
          <t>JÖNKÖPINGS LÄN</t>
        </is>
      </c>
      <c r="E276" t="inlineStr">
        <is>
          <t>VETLANDA</t>
        </is>
      </c>
      <c r="G276" t="n">
        <v>3.2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HYPERLINK("https://klasma.github.io/Logging_VETLANDA/artfynd/A 28407-2023.xlsx", "A 28407-2023")</f>
        <v/>
      </c>
      <c r="T276">
        <f>HYPERLINK("https://klasma.github.io/Logging_VETLANDA/kartor/A 28407-2023.png", "A 28407-2023")</f>
        <v/>
      </c>
      <c r="U276">
        <f>HYPERLINK("https://klasma.github.io/Logging_VETLANDA/knärot/A 28407-2023.png", "A 28407-2023")</f>
        <v/>
      </c>
      <c r="V276">
        <f>HYPERLINK("https://klasma.github.io/Logging_VETLANDA/klagomål/A 28407-2023.docx", "A 28407-2023")</f>
        <v/>
      </c>
      <c r="W276">
        <f>HYPERLINK("https://klasma.github.io/Logging_VETLANDA/klagomålsmail/A 28407-2023.docx", "A 28407-2023")</f>
        <v/>
      </c>
      <c r="X276">
        <f>HYPERLINK("https://klasma.github.io/Logging_VETLANDA/tillsyn/A 28407-2023.docx", "A 28407-2023")</f>
        <v/>
      </c>
      <c r="Y276">
        <f>HYPERLINK("https://klasma.github.io/Logging_VETLANDA/tillsynsmail/A 28407-2023.docx", "A 28407-2023")</f>
        <v/>
      </c>
    </row>
    <row r="277" ht="15" customHeight="1">
      <c r="A277" t="inlineStr">
        <is>
          <t>A 29027-2023</t>
        </is>
      </c>
      <c r="B277" s="1" t="n">
        <v>45104</v>
      </c>
      <c r="C277" s="1" t="n">
        <v>45186</v>
      </c>
      <c r="D277" t="inlineStr">
        <is>
          <t>JÖNKÖPINGS LÄN</t>
        </is>
      </c>
      <c r="E277" t="inlineStr">
        <is>
          <t>VETLANDA</t>
        </is>
      </c>
      <c r="G277" t="n">
        <v>10.1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HYPERLINK("https://klasma.github.io/Logging_VETLANDA/artfynd/A 29027-2023.xlsx", "A 29027-2023")</f>
        <v/>
      </c>
      <c r="T277">
        <f>HYPERLINK("https://klasma.github.io/Logging_VETLANDA/kartor/A 29027-2023.png", "A 29027-2023")</f>
        <v/>
      </c>
      <c r="U277">
        <f>HYPERLINK("https://klasma.github.io/Logging_VETLANDA/knärot/A 29027-2023.png", "A 29027-2023")</f>
        <v/>
      </c>
      <c r="V277">
        <f>HYPERLINK("https://klasma.github.io/Logging_VETLANDA/klagomål/A 29027-2023.docx", "A 29027-2023")</f>
        <v/>
      </c>
      <c r="W277">
        <f>HYPERLINK("https://klasma.github.io/Logging_VETLANDA/klagomålsmail/A 29027-2023.docx", "A 29027-2023")</f>
        <v/>
      </c>
      <c r="X277">
        <f>HYPERLINK("https://klasma.github.io/Logging_VETLANDA/tillsyn/A 29027-2023.docx", "A 29027-2023")</f>
        <v/>
      </c>
      <c r="Y277">
        <f>HYPERLINK("https://klasma.github.io/Logging_VETLANDA/tillsynsmail/A 29027-2023.docx", "A 29027-2023")</f>
        <v/>
      </c>
    </row>
    <row r="278" ht="15" customHeight="1">
      <c r="A278" t="inlineStr">
        <is>
          <t>A 30125-2023</t>
        </is>
      </c>
      <c r="B278" s="1" t="n">
        <v>45110</v>
      </c>
      <c r="C278" s="1" t="n">
        <v>45186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14.3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Revlummer</t>
        </is>
      </c>
      <c r="S278">
        <f>HYPERLINK("https://klasma.github.io/Logging_EKSJO/artfynd/A 30125-2023.xlsx", "A 30125-2023")</f>
        <v/>
      </c>
      <c r="T278">
        <f>HYPERLINK("https://klasma.github.io/Logging_EKSJO/kartor/A 30125-2023.png", "A 30125-2023")</f>
        <v/>
      </c>
      <c r="V278">
        <f>HYPERLINK("https://klasma.github.io/Logging_EKSJO/klagomål/A 30125-2023.docx", "A 30125-2023")</f>
        <v/>
      </c>
      <c r="W278">
        <f>HYPERLINK("https://klasma.github.io/Logging_EKSJO/klagomålsmail/A 30125-2023.docx", "A 30125-2023")</f>
        <v/>
      </c>
      <c r="X278">
        <f>HYPERLINK("https://klasma.github.io/Logging_EKSJO/tillsyn/A 30125-2023.docx", "A 30125-2023")</f>
        <v/>
      </c>
      <c r="Y278">
        <f>HYPERLINK("https://klasma.github.io/Logging_EKSJO/tillsynsmail/A 30125-2023.docx", "A 30125-2023")</f>
        <v/>
      </c>
    </row>
    <row r="279" ht="15" customHeight="1">
      <c r="A279" t="inlineStr">
        <is>
          <t>A 31519-2023</t>
        </is>
      </c>
      <c r="B279" s="1" t="n">
        <v>45116</v>
      </c>
      <c r="C279" s="1" t="n">
        <v>45186</v>
      </c>
      <c r="D279" t="inlineStr">
        <is>
          <t>JÖNKÖPINGS LÄN</t>
        </is>
      </c>
      <c r="E279" t="inlineStr">
        <is>
          <t>JÖNKÖPING</t>
        </is>
      </c>
      <c r="G279" t="n">
        <v>1.8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Kambräken</t>
        </is>
      </c>
      <c r="S279">
        <f>HYPERLINK("https://klasma.github.io/Logging_JONKOPING/artfynd/A 31519-2023.xlsx", "A 31519-2023")</f>
        <v/>
      </c>
      <c r="T279">
        <f>HYPERLINK("https://klasma.github.io/Logging_JONKOPING/kartor/A 31519-2023.png", "A 31519-2023")</f>
        <v/>
      </c>
      <c r="V279">
        <f>HYPERLINK("https://klasma.github.io/Logging_JONKOPING/klagomål/A 31519-2023.docx", "A 31519-2023")</f>
        <v/>
      </c>
      <c r="W279">
        <f>HYPERLINK("https://klasma.github.io/Logging_JONKOPING/klagomålsmail/A 31519-2023.docx", "A 31519-2023")</f>
        <v/>
      </c>
      <c r="X279">
        <f>HYPERLINK("https://klasma.github.io/Logging_JONKOPING/tillsyn/A 31519-2023.docx", "A 31519-2023")</f>
        <v/>
      </c>
      <c r="Y279">
        <f>HYPERLINK("https://klasma.github.io/Logging_JONKOPING/tillsynsmail/A 31519-2023.docx", "A 31519-2023")</f>
        <v/>
      </c>
    </row>
    <row r="280" ht="15" customHeight="1">
      <c r="A280" t="inlineStr">
        <is>
          <t>A 34092-2023</t>
        </is>
      </c>
      <c r="B280" s="1" t="n">
        <v>45135</v>
      </c>
      <c r="C280" s="1" t="n">
        <v>45186</v>
      </c>
      <c r="D280" t="inlineStr">
        <is>
          <t>JÖNKÖPINGS LÄN</t>
        </is>
      </c>
      <c r="E280" t="inlineStr">
        <is>
          <t>VETLANDA</t>
        </is>
      </c>
      <c r="G280" t="n">
        <v>4.5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34092-2023.xlsx", "A 34092-2023")</f>
        <v/>
      </c>
      <c r="T280">
        <f>HYPERLINK("https://klasma.github.io/Logging_VETLANDA/kartor/A 34092-2023.png", "A 34092-2023")</f>
        <v/>
      </c>
      <c r="V280">
        <f>HYPERLINK("https://klasma.github.io/Logging_VETLANDA/klagomål/A 34092-2023.docx", "A 34092-2023")</f>
        <v/>
      </c>
      <c r="W280">
        <f>HYPERLINK("https://klasma.github.io/Logging_VETLANDA/klagomålsmail/A 34092-2023.docx", "A 34092-2023")</f>
        <v/>
      </c>
      <c r="X280">
        <f>HYPERLINK("https://klasma.github.io/Logging_VETLANDA/tillsyn/A 34092-2023.docx", "A 34092-2023")</f>
        <v/>
      </c>
      <c r="Y280">
        <f>HYPERLINK("https://klasma.github.io/Logging_VETLANDA/tillsynsmail/A 34092-2023.docx", "A 34092-2023")</f>
        <v/>
      </c>
    </row>
    <row r="281" ht="15" customHeight="1">
      <c r="A281" t="inlineStr">
        <is>
          <t>A 38338-2023</t>
        </is>
      </c>
      <c r="B281" s="1" t="n">
        <v>45161</v>
      </c>
      <c r="C281" s="1" t="n">
        <v>45186</v>
      </c>
      <c r="D281" t="inlineStr">
        <is>
          <t>JÖNKÖPINGS LÄN</t>
        </is>
      </c>
      <c r="E281" t="inlineStr">
        <is>
          <t>ANEBY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Grönvit nattviol</t>
        </is>
      </c>
      <c r="S281">
        <f>HYPERLINK("https://klasma.github.io/Logging_ANEBY/artfynd/A 38338-2023.xlsx", "A 38338-2023")</f>
        <v/>
      </c>
      <c r="T281">
        <f>HYPERLINK("https://klasma.github.io/Logging_ANEBY/kartor/A 38338-2023.png", "A 38338-2023")</f>
        <v/>
      </c>
      <c r="V281">
        <f>HYPERLINK("https://klasma.github.io/Logging_ANEBY/klagomål/A 38338-2023.docx", "A 38338-2023")</f>
        <v/>
      </c>
      <c r="W281">
        <f>HYPERLINK("https://klasma.github.io/Logging_ANEBY/klagomålsmail/A 38338-2023.docx", "A 38338-2023")</f>
        <v/>
      </c>
      <c r="X281">
        <f>HYPERLINK("https://klasma.github.io/Logging_ANEBY/tillsyn/A 38338-2023.docx", "A 38338-2023")</f>
        <v/>
      </c>
      <c r="Y281">
        <f>HYPERLINK("https://klasma.github.io/Logging_ANEBY/tillsynsmail/A 38338-2023.docx", "A 38338-2023")</f>
        <v/>
      </c>
    </row>
    <row r="282" ht="15" customHeight="1">
      <c r="A282" t="inlineStr">
        <is>
          <t>A 38355-2023</t>
        </is>
      </c>
      <c r="B282" s="1" t="n">
        <v>45161</v>
      </c>
      <c r="C282" s="1" t="n">
        <v>45186</v>
      </c>
      <c r="D282" t="inlineStr">
        <is>
          <t>JÖNKÖPINGS LÄN</t>
        </is>
      </c>
      <c r="E282" t="inlineStr">
        <is>
          <t>GNOSJÖ</t>
        </is>
      </c>
      <c r="G282" t="n">
        <v>11.4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Mattlummer</t>
        </is>
      </c>
      <c r="S282">
        <f>HYPERLINK("https://klasma.github.io/Logging_GNOSJO/artfynd/A 38355-2023.xlsx", "A 38355-2023")</f>
        <v/>
      </c>
      <c r="T282">
        <f>HYPERLINK("https://klasma.github.io/Logging_GNOSJO/kartor/A 38355-2023.png", "A 38355-2023")</f>
        <v/>
      </c>
      <c r="V282">
        <f>HYPERLINK("https://klasma.github.io/Logging_GNOSJO/klagomål/A 38355-2023.docx", "A 38355-2023")</f>
        <v/>
      </c>
      <c r="W282">
        <f>HYPERLINK("https://klasma.github.io/Logging_GNOSJO/klagomålsmail/A 38355-2023.docx", "A 38355-2023")</f>
        <v/>
      </c>
      <c r="X282">
        <f>HYPERLINK("https://klasma.github.io/Logging_GNOSJO/tillsyn/A 38355-2023.docx", "A 38355-2023")</f>
        <v/>
      </c>
      <c r="Y282">
        <f>HYPERLINK("https://klasma.github.io/Logging_GNOSJO/tillsynsmail/A 38355-2023.docx", "A 38355-2023")</f>
        <v/>
      </c>
    </row>
    <row r="283" ht="15" customHeight="1">
      <c r="A283" t="inlineStr">
        <is>
          <t>A 40075-2023</t>
        </is>
      </c>
      <c r="B283" s="1" t="n">
        <v>45168</v>
      </c>
      <c r="C283" s="1" t="n">
        <v>45186</v>
      </c>
      <c r="D283" t="inlineStr">
        <is>
          <t>JÖNKÖPINGS LÄN</t>
        </is>
      </c>
      <c r="E283" t="inlineStr">
        <is>
          <t>SÄVSJÖ</t>
        </is>
      </c>
      <c r="G283" t="n">
        <v>1.5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HYPERLINK("https://klasma.github.io/Logging_SAVSJO/artfynd/A 40075-2023.xlsx", "A 40075-2023")</f>
        <v/>
      </c>
      <c r="T283">
        <f>HYPERLINK("https://klasma.github.io/Logging_SAVSJO/kartor/A 40075-2023.png", "A 40075-2023")</f>
        <v/>
      </c>
      <c r="V283">
        <f>HYPERLINK("https://klasma.github.io/Logging_SAVSJO/klagomål/A 40075-2023.docx", "A 40075-2023")</f>
        <v/>
      </c>
      <c r="W283">
        <f>HYPERLINK("https://klasma.github.io/Logging_SAVSJO/klagomålsmail/A 40075-2023.docx", "A 40075-2023")</f>
        <v/>
      </c>
      <c r="X283">
        <f>HYPERLINK("https://klasma.github.io/Logging_SAVSJO/tillsyn/A 40075-2023.docx", "A 40075-2023")</f>
        <v/>
      </c>
      <c r="Y283">
        <f>HYPERLINK("https://klasma.github.io/Logging_SAVSJO/tillsynsmail/A 40075-2023.docx", "A 40075-2023")</f>
        <v/>
      </c>
    </row>
    <row r="284" ht="15" customHeight="1">
      <c r="A284" t="inlineStr">
        <is>
          <t>A 40543-2023</t>
        </is>
      </c>
      <c r="B284" s="1" t="n">
        <v>45170</v>
      </c>
      <c r="C284" s="1" t="n">
        <v>45186</v>
      </c>
      <c r="D284" t="inlineStr">
        <is>
          <t>JÖNKÖPINGS LÄN</t>
        </is>
      </c>
      <c r="E284" t="inlineStr">
        <is>
          <t>SÄVSJÖ</t>
        </is>
      </c>
      <c r="G284" t="n">
        <v>2.8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HYPERLINK("https://klasma.github.io/Logging_SAVSJO/artfynd/A 40543-2023.xlsx", "A 40543-2023")</f>
        <v/>
      </c>
      <c r="T284">
        <f>HYPERLINK("https://klasma.github.io/Logging_SAVSJO/kartor/A 40543-2023.png", "A 40543-2023")</f>
        <v/>
      </c>
      <c r="V284">
        <f>HYPERLINK("https://klasma.github.io/Logging_SAVSJO/klagomål/A 40543-2023.docx", "A 40543-2023")</f>
        <v/>
      </c>
      <c r="W284">
        <f>HYPERLINK("https://klasma.github.io/Logging_SAVSJO/klagomålsmail/A 40543-2023.docx", "A 40543-2023")</f>
        <v/>
      </c>
      <c r="X284">
        <f>HYPERLINK("https://klasma.github.io/Logging_SAVSJO/tillsyn/A 40543-2023.docx", "A 40543-2023")</f>
        <v/>
      </c>
      <c r="Y284">
        <f>HYPERLINK("https://klasma.github.io/Logging_SAVSJO/tillsynsmail/A 40543-2023.docx", "A 40543-2023")</f>
        <v/>
      </c>
    </row>
    <row r="285" ht="15" customHeight="1">
      <c r="A285" t="inlineStr">
        <is>
          <t>A 34231-2018</t>
        </is>
      </c>
      <c r="B285" s="1" t="n">
        <v>43318</v>
      </c>
      <c r="C285" s="1" t="n">
        <v>45186</v>
      </c>
      <c r="D285" t="inlineStr">
        <is>
          <t>JÖNKÖPINGS LÄN</t>
        </is>
      </c>
      <c r="E285" t="inlineStr">
        <is>
          <t>MULLSJÖ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34226-2018</t>
        </is>
      </c>
      <c r="B286" s="1" t="n">
        <v>43318</v>
      </c>
      <c r="C286" s="1" t="n">
        <v>45186</v>
      </c>
      <c r="D286" t="inlineStr">
        <is>
          <t>JÖNKÖPINGS LÄN</t>
        </is>
      </c>
      <c r="E286" t="inlineStr">
        <is>
          <t>GISLAVED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34606-2018</t>
        </is>
      </c>
      <c r="B287" s="1" t="n">
        <v>43320</v>
      </c>
      <c r="C287" s="1" t="n">
        <v>45186</v>
      </c>
      <c r="D287" t="inlineStr">
        <is>
          <t>JÖNKÖPINGS LÄN</t>
        </is>
      </c>
      <c r="E287" t="inlineStr">
        <is>
          <t>VAGGERYD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34752-2018</t>
        </is>
      </c>
      <c r="B288" s="1" t="n">
        <v>43320</v>
      </c>
      <c r="C288" s="1" t="n">
        <v>45186</v>
      </c>
      <c r="D288" t="inlineStr">
        <is>
          <t>JÖNKÖPINGS LÄN</t>
        </is>
      </c>
      <c r="E288" t="inlineStr">
        <is>
          <t>VAGGERYD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34536-2018</t>
        </is>
      </c>
      <c r="B289" s="1" t="n">
        <v>43320</v>
      </c>
      <c r="C289" s="1" t="n">
        <v>45186</v>
      </c>
      <c r="D289" t="inlineStr">
        <is>
          <t>JÖNKÖPINGS LÄN</t>
        </is>
      </c>
      <c r="E289" t="inlineStr">
        <is>
          <t>VÄRNAMO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34604-2018</t>
        </is>
      </c>
      <c r="B290" s="1" t="n">
        <v>43320</v>
      </c>
      <c r="C290" s="1" t="n">
        <v>45186</v>
      </c>
      <c r="D290" t="inlineStr">
        <is>
          <t>JÖNKÖPINGS LÄN</t>
        </is>
      </c>
      <c r="E290" t="inlineStr">
        <is>
          <t>VAGGERYD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34673-2018</t>
        </is>
      </c>
      <c r="B291" s="1" t="n">
        <v>43320</v>
      </c>
      <c r="C291" s="1" t="n">
        <v>45186</v>
      </c>
      <c r="D291" t="inlineStr">
        <is>
          <t>JÖNKÖPINGS LÄN</t>
        </is>
      </c>
      <c r="E291" t="inlineStr">
        <is>
          <t>GNOSJÖ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34906-2018</t>
        </is>
      </c>
      <c r="B292" s="1" t="n">
        <v>43321</v>
      </c>
      <c r="C292" s="1" t="n">
        <v>45186</v>
      </c>
      <c r="D292" t="inlineStr">
        <is>
          <t>JÖNKÖPINGS LÄN</t>
        </is>
      </c>
      <c r="E292" t="inlineStr">
        <is>
          <t>EKSJÖ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34780-2018</t>
        </is>
      </c>
      <c r="B293" s="1" t="n">
        <v>43321</v>
      </c>
      <c r="C293" s="1" t="n">
        <v>45186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35318-2018</t>
        </is>
      </c>
      <c r="B294" s="1" t="n">
        <v>43322</v>
      </c>
      <c r="C294" s="1" t="n">
        <v>45186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35365-2018</t>
        </is>
      </c>
      <c r="B295" s="1" t="n">
        <v>43325</v>
      </c>
      <c r="C295" s="1" t="n">
        <v>45186</v>
      </c>
      <c r="D295" t="inlineStr">
        <is>
          <t>JÖNKÖPINGS LÄN</t>
        </is>
      </c>
      <c r="E295" t="inlineStr">
        <is>
          <t>SÄVSJÖ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35466-2018</t>
        </is>
      </c>
      <c r="B296" s="1" t="n">
        <v>43325</v>
      </c>
      <c r="C296" s="1" t="n">
        <v>45186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35268-2018</t>
        </is>
      </c>
      <c r="B297" s="1" t="n">
        <v>43325</v>
      </c>
      <c r="C297" s="1" t="n">
        <v>45186</v>
      </c>
      <c r="D297" t="inlineStr">
        <is>
          <t>JÖNKÖPINGS LÄN</t>
        </is>
      </c>
      <c r="E297" t="inlineStr">
        <is>
          <t>TRANÅS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36061-2018</t>
        </is>
      </c>
      <c r="B298" s="1" t="n">
        <v>43327</v>
      </c>
      <c r="C298" s="1" t="n">
        <v>45186</v>
      </c>
      <c r="D298" t="inlineStr">
        <is>
          <t>JÖNKÖPINGS LÄN</t>
        </is>
      </c>
      <c r="E298" t="inlineStr">
        <is>
          <t>VETLANDA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36078-2018</t>
        </is>
      </c>
      <c r="B299" s="1" t="n">
        <v>43327</v>
      </c>
      <c r="C299" s="1" t="n">
        <v>45186</v>
      </c>
      <c r="D299" t="inlineStr">
        <is>
          <t>JÖNKÖPINGS LÄN</t>
        </is>
      </c>
      <c r="E299" t="inlineStr">
        <is>
          <t>VETLANDA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36062-2018</t>
        </is>
      </c>
      <c r="B300" s="1" t="n">
        <v>43327</v>
      </c>
      <c r="C300" s="1" t="n">
        <v>45186</v>
      </c>
      <c r="D300" t="inlineStr">
        <is>
          <t>JÖNKÖPINGS LÄN</t>
        </is>
      </c>
      <c r="E300" t="inlineStr">
        <is>
          <t>VETLANDA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36064-2018</t>
        </is>
      </c>
      <c r="B301" s="1" t="n">
        <v>43327</v>
      </c>
      <c r="C301" s="1" t="n">
        <v>45186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36257-2018</t>
        </is>
      </c>
      <c r="B302" s="1" t="n">
        <v>43327</v>
      </c>
      <c r="C302" s="1" t="n">
        <v>45186</v>
      </c>
      <c r="D302" t="inlineStr">
        <is>
          <t>JÖNKÖPINGS LÄN</t>
        </is>
      </c>
      <c r="E302" t="inlineStr">
        <is>
          <t>SÄVSJÖ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36211-2018</t>
        </is>
      </c>
      <c r="B303" s="1" t="n">
        <v>43328</v>
      </c>
      <c r="C303" s="1" t="n">
        <v>45186</v>
      </c>
      <c r="D303" t="inlineStr">
        <is>
          <t>JÖNKÖPINGS LÄN</t>
        </is>
      </c>
      <c r="E303" t="inlineStr">
        <is>
          <t>GNOSJÖ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36234-2018</t>
        </is>
      </c>
      <c r="B304" s="1" t="n">
        <v>43328</v>
      </c>
      <c r="C304" s="1" t="n">
        <v>45186</v>
      </c>
      <c r="D304" t="inlineStr">
        <is>
          <t>JÖNKÖPINGS LÄN</t>
        </is>
      </c>
      <c r="E304" t="inlineStr">
        <is>
          <t>VETLANDA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36247-2018</t>
        </is>
      </c>
      <c r="B305" s="1" t="n">
        <v>43328</v>
      </c>
      <c r="C305" s="1" t="n">
        <v>45186</v>
      </c>
      <c r="D305" t="inlineStr">
        <is>
          <t>JÖNKÖPINGS LÄN</t>
        </is>
      </c>
      <c r="E305" t="inlineStr">
        <is>
          <t>MULLSJÖ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37105-2018</t>
        </is>
      </c>
      <c r="B306" s="1" t="n">
        <v>43332</v>
      </c>
      <c r="C306" s="1" t="n">
        <v>45186</v>
      </c>
      <c r="D306" t="inlineStr">
        <is>
          <t>JÖNKÖPINGS LÄN</t>
        </is>
      </c>
      <c r="E306" t="inlineStr">
        <is>
          <t>VETLANDA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37174-2018</t>
        </is>
      </c>
      <c r="B307" s="1" t="n">
        <v>43332</v>
      </c>
      <c r="C307" s="1" t="n">
        <v>45186</v>
      </c>
      <c r="D307" t="inlineStr">
        <is>
          <t>JÖNKÖPINGS LÄN</t>
        </is>
      </c>
      <c r="E307" t="inlineStr">
        <is>
          <t>VETLANDA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37123-2018</t>
        </is>
      </c>
      <c r="B308" s="1" t="n">
        <v>43332</v>
      </c>
      <c r="C308" s="1" t="n">
        <v>45186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37134-2018</t>
        </is>
      </c>
      <c r="B309" s="1" t="n">
        <v>43332</v>
      </c>
      <c r="C309" s="1" t="n">
        <v>45186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37155-2018</t>
        </is>
      </c>
      <c r="B310" s="1" t="n">
        <v>43332</v>
      </c>
      <c r="C310" s="1" t="n">
        <v>45186</v>
      </c>
      <c r="D310" t="inlineStr">
        <is>
          <t>JÖNKÖPINGS LÄN</t>
        </is>
      </c>
      <c r="E310" t="inlineStr">
        <is>
          <t>VETLANDA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36864-2018</t>
        </is>
      </c>
      <c r="B311" s="1" t="n">
        <v>43332</v>
      </c>
      <c r="C311" s="1" t="n">
        <v>45186</v>
      </c>
      <c r="D311" t="inlineStr">
        <is>
          <t>JÖNKÖPINGS LÄN</t>
        </is>
      </c>
      <c r="E311" t="inlineStr">
        <is>
          <t>JÖNKÖPING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37130-2018</t>
        </is>
      </c>
      <c r="B312" s="1" t="n">
        <v>43332</v>
      </c>
      <c r="C312" s="1" t="n">
        <v>45186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37167-2018</t>
        </is>
      </c>
      <c r="B313" s="1" t="n">
        <v>43333</v>
      </c>
      <c r="C313" s="1" t="n">
        <v>45186</v>
      </c>
      <c r="D313" t="inlineStr">
        <is>
          <t>JÖNKÖPINGS LÄN</t>
        </is>
      </c>
      <c r="E313" t="inlineStr">
        <is>
          <t>NÄSSJÖ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38680-2018</t>
        </is>
      </c>
      <c r="B314" s="1" t="n">
        <v>43335</v>
      </c>
      <c r="C314" s="1" t="n">
        <v>45186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37760-2018</t>
        </is>
      </c>
      <c r="B315" s="1" t="n">
        <v>43335</v>
      </c>
      <c r="C315" s="1" t="n">
        <v>45186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38736-2018</t>
        </is>
      </c>
      <c r="B316" s="1" t="n">
        <v>43335</v>
      </c>
      <c r="C316" s="1" t="n">
        <v>45186</v>
      </c>
      <c r="D316" t="inlineStr">
        <is>
          <t>JÖNKÖPINGS LÄN</t>
        </is>
      </c>
      <c r="E316" t="inlineStr">
        <is>
          <t>VAGGERYD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38274-2018</t>
        </is>
      </c>
      <c r="B317" s="1" t="n">
        <v>43335</v>
      </c>
      <c r="C317" s="1" t="n">
        <v>45186</v>
      </c>
      <c r="D317" t="inlineStr">
        <is>
          <t>JÖNKÖPINGS LÄN</t>
        </is>
      </c>
      <c r="E317" t="inlineStr">
        <is>
          <t>VETLANDA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38773-2018</t>
        </is>
      </c>
      <c r="B318" s="1" t="n">
        <v>43335</v>
      </c>
      <c r="C318" s="1" t="n">
        <v>45186</v>
      </c>
      <c r="D318" t="inlineStr">
        <is>
          <t>JÖNKÖPINGS LÄN</t>
        </is>
      </c>
      <c r="E318" t="inlineStr">
        <is>
          <t>VAGGERYD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38280-2018</t>
        </is>
      </c>
      <c r="B319" s="1" t="n">
        <v>43335</v>
      </c>
      <c r="C319" s="1" t="n">
        <v>45186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37924-2018</t>
        </is>
      </c>
      <c r="B320" s="1" t="n">
        <v>43336</v>
      </c>
      <c r="C320" s="1" t="n">
        <v>45186</v>
      </c>
      <c r="D320" t="inlineStr">
        <is>
          <t>JÖNKÖPINGS LÄN</t>
        </is>
      </c>
      <c r="E320" t="inlineStr">
        <is>
          <t>TRANÅS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38019-2018</t>
        </is>
      </c>
      <c r="B321" s="1" t="n">
        <v>43336</v>
      </c>
      <c r="C321" s="1" t="n">
        <v>45186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37994-2018</t>
        </is>
      </c>
      <c r="B322" s="1" t="n">
        <v>43336</v>
      </c>
      <c r="C322" s="1" t="n">
        <v>45186</v>
      </c>
      <c r="D322" t="inlineStr">
        <is>
          <t>JÖNKÖPINGS LÄN</t>
        </is>
      </c>
      <c r="E322" t="inlineStr">
        <is>
          <t>VETLANDA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38855-2018</t>
        </is>
      </c>
      <c r="B323" s="1" t="n">
        <v>43336</v>
      </c>
      <c r="C323" s="1" t="n">
        <v>45186</v>
      </c>
      <c r="D323" t="inlineStr">
        <is>
          <t>JÖNKÖPINGS LÄN</t>
        </is>
      </c>
      <c r="E323" t="inlineStr">
        <is>
          <t>TRANÅS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38461-2018</t>
        </is>
      </c>
      <c r="B324" s="1" t="n">
        <v>43339</v>
      </c>
      <c r="C324" s="1" t="n">
        <v>45186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39124-2018</t>
        </is>
      </c>
      <c r="B325" s="1" t="n">
        <v>43339</v>
      </c>
      <c r="C325" s="1" t="n">
        <v>45186</v>
      </c>
      <c r="D325" t="inlineStr">
        <is>
          <t>JÖNKÖPINGS LÄN</t>
        </is>
      </c>
      <c r="E325" t="inlineStr">
        <is>
          <t>VAGGERYD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39296-2018</t>
        </is>
      </c>
      <c r="B326" s="1" t="n">
        <v>43339</v>
      </c>
      <c r="C326" s="1" t="n">
        <v>45186</v>
      </c>
      <c r="D326" t="inlineStr">
        <is>
          <t>JÖNKÖPINGS LÄN</t>
        </is>
      </c>
      <c r="E326" t="inlineStr">
        <is>
          <t>NÄSSJÖ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39485-2018</t>
        </is>
      </c>
      <c r="B327" s="1" t="n">
        <v>43340</v>
      </c>
      <c r="C327" s="1" t="n">
        <v>45186</v>
      </c>
      <c r="D327" t="inlineStr">
        <is>
          <t>JÖNKÖPINGS LÄN</t>
        </is>
      </c>
      <c r="E327" t="inlineStr">
        <is>
          <t>NÄSSJÖ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38831-2018</t>
        </is>
      </c>
      <c r="B328" s="1" t="n">
        <v>43340</v>
      </c>
      <c r="C328" s="1" t="n">
        <v>45186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38927-2018</t>
        </is>
      </c>
      <c r="B329" s="1" t="n">
        <v>43340</v>
      </c>
      <c r="C329" s="1" t="n">
        <v>45186</v>
      </c>
      <c r="D329" t="inlineStr">
        <is>
          <t>JÖNKÖPINGS LÄN</t>
        </is>
      </c>
      <c r="E329" t="inlineStr">
        <is>
          <t>MULLSJÖ</t>
        </is>
      </c>
      <c r="F329" t="inlineStr">
        <is>
          <t>Kyrkan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39520-2018</t>
        </is>
      </c>
      <c r="B330" s="1" t="n">
        <v>43340</v>
      </c>
      <c r="C330" s="1" t="n">
        <v>45186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39563-2018</t>
        </is>
      </c>
      <c r="B331" s="1" t="n">
        <v>43340</v>
      </c>
      <c r="C331" s="1" t="n">
        <v>45186</v>
      </c>
      <c r="D331" t="inlineStr">
        <is>
          <t>JÖNKÖPINGS LÄN</t>
        </is>
      </c>
      <c r="E331" t="inlineStr">
        <is>
          <t>GISLAVED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38782-2018</t>
        </is>
      </c>
      <c r="B332" s="1" t="n">
        <v>43340</v>
      </c>
      <c r="C332" s="1" t="n">
        <v>45186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39560-2018</t>
        </is>
      </c>
      <c r="B333" s="1" t="n">
        <v>43340</v>
      </c>
      <c r="C333" s="1" t="n">
        <v>45186</v>
      </c>
      <c r="D333" t="inlineStr">
        <is>
          <t>JÖNKÖPINGS LÄN</t>
        </is>
      </c>
      <c r="E333" t="inlineStr">
        <is>
          <t>GISLAVED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39233-2018</t>
        </is>
      </c>
      <c r="B334" s="1" t="n">
        <v>43341</v>
      </c>
      <c r="C334" s="1" t="n">
        <v>45186</v>
      </c>
      <c r="D334" t="inlineStr">
        <is>
          <t>JÖNKÖPINGS LÄN</t>
        </is>
      </c>
      <c r="E334" t="inlineStr">
        <is>
          <t>VÄRNAMO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39266-2018</t>
        </is>
      </c>
      <c r="B335" s="1" t="n">
        <v>43341</v>
      </c>
      <c r="C335" s="1" t="n">
        <v>45186</v>
      </c>
      <c r="D335" t="inlineStr">
        <is>
          <t>JÖNKÖPINGS LÄN</t>
        </is>
      </c>
      <c r="E335" t="inlineStr">
        <is>
          <t>MULLSJÖ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39687-2018</t>
        </is>
      </c>
      <c r="B336" s="1" t="n">
        <v>43341</v>
      </c>
      <c r="C336" s="1" t="n">
        <v>45186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39458-2018</t>
        </is>
      </c>
      <c r="B337" s="1" t="n">
        <v>43342</v>
      </c>
      <c r="C337" s="1" t="n">
        <v>45186</v>
      </c>
      <c r="D337" t="inlineStr">
        <is>
          <t>JÖNKÖPINGS LÄN</t>
        </is>
      </c>
      <c r="E337" t="inlineStr">
        <is>
          <t>VETLANDA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39691-2018</t>
        </is>
      </c>
      <c r="B338" s="1" t="n">
        <v>43342</v>
      </c>
      <c r="C338" s="1" t="n">
        <v>45186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40176-2018</t>
        </is>
      </c>
      <c r="B339" s="1" t="n">
        <v>43342</v>
      </c>
      <c r="C339" s="1" t="n">
        <v>45186</v>
      </c>
      <c r="D339" t="inlineStr">
        <is>
          <t>JÖNKÖPINGS LÄN</t>
        </is>
      </c>
      <c r="E339" t="inlineStr">
        <is>
          <t>GNOSJÖ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39682-2018</t>
        </is>
      </c>
      <c r="B340" s="1" t="n">
        <v>43342</v>
      </c>
      <c r="C340" s="1" t="n">
        <v>45186</v>
      </c>
      <c r="D340" t="inlineStr">
        <is>
          <t>JÖNKÖPINGS LÄN</t>
        </is>
      </c>
      <c r="E340" t="inlineStr">
        <is>
          <t>VETLANDA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39695-2018</t>
        </is>
      </c>
      <c r="B341" s="1" t="n">
        <v>43342</v>
      </c>
      <c r="C341" s="1" t="n">
        <v>45186</v>
      </c>
      <c r="D341" t="inlineStr">
        <is>
          <t>JÖNKÖPINGS LÄN</t>
        </is>
      </c>
      <c r="E341" t="inlineStr">
        <is>
          <t>VETLANDA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40151-2018</t>
        </is>
      </c>
      <c r="B342" s="1" t="n">
        <v>43342</v>
      </c>
      <c r="C342" s="1" t="n">
        <v>45186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40410-2018</t>
        </is>
      </c>
      <c r="B343" s="1" t="n">
        <v>43342</v>
      </c>
      <c r="C343" s="1" t="n">
        <v>45186</v>
      </c>
      <c r="D343" t="inlineStr">
        <is>
          <t>JÖNKÖPINGS LÄN</t>
        </is>
      </c>
      <c r="E343" t="inlineStr">
        <is>
          <t>GNOSJÖ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40141-2018</t>
        </is>
      </c>
      <c r="B344" s="1" t="n">
        <v>43342</v>
      </c>
      <c r="C344" s="1" t="n">
        <v>45186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39686-2018</t>
        </is>
      </c>
      <c r="B345" s="1" t="n">
        <v>43342</v>
      </c>
      <c r="C345" s="1" t="n">
        <v>45186</v>
      </c>
      <c r="D345" t="inlineStr">
        <is>
          <t>JÖNKÖPINGS LÄN</t>
        </is>
      </c>
      <c r="E345" t="inlineStr">
        <is>
          <t>VETLANDA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40158-2018</t>
        </is>
      </c>
      <c r="B346" s="1" t="n">
        <v>43342</v>
      </c>
      <c r="C346" s="1" t="n">
        <v>45186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40201-2018</t>
        </is>
      </c>
      <c r="B347" s="1" t="n">
        <v>43343</v>
      </c>
      <c r="C347" s="1" t="n">
        <v>45186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40132-2018</t>
        </is>
      </c>
      <c r="B348" s="1" t="n">
        <v>43343</v>
      </c>
      <c r="C348" s="1" t="n">
        <v>45186</v>
      </c>
      <c r="D348" t="inlineStr">
        <is>
          <t>JÖNKÖPINGS LÄN</t>
        </is>
      </c>
      <c r="E348" t="inlineStr">
        <is>
          <t>EKSJÖ</t>
        </is>
      </c>
      <c r="F348" t="inlineStr">
        <is>
          <t>Övriga Aktiebolag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40755-2018</t>
        </is>
      </c>
      <c r="B349" s="1" t="n">
        <v>43346</v>
      </c>
      <c r="C349" s="1" t="n">
        <v>45186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40826-2018</t>
        </is>
      </c>
      <c r="B350" s="1" t="n">
        <v>43346</v>
      </c>
      <c r="C350" s="1" t="n">
        <v>45186</v>
      </c>
      <c r="D350" t="inlineStr">
        <is>
          <t>JÖNKÖPINGS LÄN</t>
        </is>
      </c>
      <c r="E350" t="inlineStr">
        <is>
          <t>VETLANDA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40930-2018</t>
        </is>
      </c>
      <c r="B351" s="1" t="n">
        <v>43346</v>
      </c>
      <c r="C351" s="1" t="n">
        <v>45186</v>
      </c>
      <c r="D351" t="inlineStr">
        <is>
          <t>JÖNKÖPINGS LÄN</t>
        </is>
      </c>
      <c r="E351" t="inlineStr">
        <is>
          <t>VÄRNAMO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41367-2018</t>
        </is>
      </c>
      <c r="B352" s="1" t="n">
        <v>43346</v>
      </c>
      <c r="C352" s="1" t="n">
        <v>45186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41366-2018</t>
        </is>
      </c>
      <c r="B353" s="1" t="n">
        <v>43346</v>
      </c>
      <c r="C353" s="1" t="n">
        <v>45186</v>
      </c>
      <c r="D353" t="inlineStr">
        <is>
          <t>JÖNKÖPINGS LÄN</t>
        </is>
      </c>
      <c r="E353" t="inlineStr">
        <is>
          <t>VÄRNAMO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40767-2018</t>
        </is>
      </c>
      <c r="B354" s="1" t="n">
        <v>43346</v>
      </c>
      <c r="C354" s="1" t="n">
        <v>45186</v>
      </c>
      <c r="D354" t="inlineStr">
        <is>
          <t>JÖNKÖPINGS LÄN</t>
        </is>
      </c>
      <c r="E354" t="inlineStr">
        <is>
          <t>JÖNKÖPING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40918-2018</t>
        </is>
      </c>
      <c r="B355" s="1" t="n">
        <v>43346</v>
      </c>
      <c r="C355" s="1" t="n">
        <v>45186</v>
      </c>
      <c r="D355" t="inlineStr">
        <is>
          <t>JÖNKÖPINGS LÄN</t>
        </is>
      </c>
      <c r="E355" t="inlineStr">
        <is>
          <t>VÄRNAMO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40883-2018</t>
        </is>
      </c>
      <c r="B356" s="1" t="n">
        <v>43347</v>
      </c>
      <c r="C356" s="1" t="n">
        <v>45186</v>
      </c>
      <c r="D356" t="inlineStr">
        <is>
          <t>JÖNKÖPINGS LÄN</t>
        </is>
      </c>
      <c r="E356" t="inlineStr">
        <is>
          <t>VÄRNAMO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41485-2018</t>
        </is>
      </c>
      <c r="B357" s="1" t="n">
        <v>43347</v>
      </c>
      <c r="C357" s="1" t="n">
        <v>45186</v>
      </c>
      <c r="D357" t="inlineStr">
        <is>
          <t>JÖNKÖPINGS LÄN</t>
        </is>
      </c>
      <c r="E357" t="inlineStr">
        <is>
          <t>VAGGERYD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41600-2018</t>
        </is>
      </c>
      <c r="B358" s="1" t="n">
        <v>43347</v>
      </c>
      <c r="C358" s="1" t="n">
        <v>45186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40877-2018</t>
        </is>
      </c>
      <c r="B359" s="1" t="n">
        <v>43347</v>
      </c>
      <c r="C359" s="1" t="n">
        <v>45186</v>
      </c>
      <c r="D359" t="inlineStr">
        <is>
          <t>JÖNKÖPINGS LÄN</t>
        </is>
      </c>
      <c r="E359" t="inlineStr">
        <is>
          <t>EKSJÖ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41581-2018</t>
        </is>
      </c>
      <c r="B360" s="1" t="n">
        <v>43347</v>
      </c>
      <c r="C360" s="1" t="n">
        <v>45186</v>
      </c>
      <c r="D360" t="inlineStr">
        <is>
          <t>JÖNKÖPINGS LÄN</t>
        </is>
      </c>
      <c r="E360" t="inlineStr">
        <is>
          <t>JÖNKÖPING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40984-2018</t>
        </is>
      </c>
      <c r="B361" s="1" t="n">
        <v>43347</v>
      </c>
      <c r="C361" s="1" t="n">
        <v>45186</v>
      </c>
      <c r="D361" t="inlineStr">
        <is>
          <t>JÖNKÖPINGS LÄN</t>
        </is>
      </c>
      <c r="E361" t="inlineStr">
        <is>
          <t>EKSJÖ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41569-2018</t>
        </is>
      </c>
      <c r="B362" s="1" t="n">
        <v>43347</v>
      </c>
      <c r="C362" s="1" t="n">
        <v>45186</v>
      </c>
      <c r="D362" t="inlineStr">
        <is>
          <t>JÖNKÖPINGS LÄN</t>
        </is>
      </c>
      <c r="E362" t="inlineStr">
        <is>
          <t>JÖNKÖPING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41604-2018</t>
        </is>
      </c>
      <c r="B363" s="1" t="n">
        <v>43347</v>
      </c>
      <c r="C363" s="1" t="n">
        <v>45186</v>
      </c>
      <c r="D363" t="inlineStr">
        <is>
          <t>JÖNKÖPINGS LÄN</t>
        </is>
      </c>
      <c r="E363" t="inlineStr">
        <is>
          <t>JÖNKÖPING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41100-2018</t>
        </is>
      </c>
      <c r="B364" s="1" t="n">
        <v>43348</v>
      </c>
      <c r="C364" s="1" t="n">
        <v>45186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41331-2018</t>
        </is>
      </c>
      <c r="B365" s="1" t="n">
        <v>43348</v>
      </c>
      <c r="C365" s="1" t="n">
        <v>45186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41930-2018</t>
        </is>
      </c>
      <c r="B366" s="1" t="n">
        <v>43348</v>
      </c>
      <c r="C366" s="1" t="n">
        <v>45186</v>
      </c>
      <c r="D366" t="inlineStr">
        <is>
          <t>JÖNKÖPINGS LÄN</t>
        </is>
      </c>
      <c r="E366" t="inlineStr">
        <is>
          <t>EKSJÖ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41540-2018</t>
        </is>
      </c>
      <c r="B367" s="1" t="n">
        <v>43348</v>
      </c>
      <c r="C367" s="1" t="n">
        <v>45186</v>
      </c>
      <c r="D367" t="inlineStr">
        <is>
          <t>JÖNKÖPINGS LÄN</t>
        </is>
      </c>
      <c r="E367" t="inlineStr">
        <is>
          <t>EKSJÖ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42761-2018</t>
        </is>
      </c>
      <c r="B368" s="1" t="n">
        <v>43350</v>
      </c>
      <c r="C368" s="1" t="n">
        <v>45186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42759-2018</t>
        </is>
      </c>
      <c r="B369" s="1" t="n">
        <v>43350</v>
      </c>
      <c r="C369" s="1" t="n">
        <v>45186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42757-2018</t>
        </is>
      </c>
      <c r="B370" s="1" t="n">
        <v>43350</v>
      </c>
      <c r="C370" s="1" t="n">
        <v>45186</v>
      </c>
      <c r="D370" t="inlineStr">
        <is>
          <t>JÖNKÖPINGS LÄN</t>
        </is>
      </c>
      <c r="E370" t="inlineStr">
        <is>
          <t>VAGGERYD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42752-2018</t>
        </is>
      </c>
      <c r="B371" s="1" t="n">
        <v>43350</v>
      </c>
      <c r="C371" s="1" t="n">
        <v>45186</v>
      </c>
      <c r="D371" t="inlineStr">
        <is>
          <t>JÖNKÖPINGS LÄN</t>
        </is>
      </c>
      <c r="E371" t="inlineStr">
        <is>
          <t>JÖNKÖPING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43197-2018</t>
        </is>
      </c>
      <c r="B372" s="1" t="n">
        <v>43353</v>
      </c>
      <c r="C372" s="1" t="n">
        <v>45186</v>
      </c>
      <c r="D372" t="inlineStr">
        <is>
          <t>JÖNKÖPINGS LÄN</t>
        </is>
      </c>
      <c r="E372" t="inlineStr">
        <is>
          <t>JÖNKÖPING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42369-2018</t>
        </is>
      </c>
      <c r="B373" s="1" t="n">
        <v>43353</v>
      </c>
      <c r="C373" s="1" t="n">
        <v>45186</v>
      </c>
      <c r="D373" t="inlineStr">
        <is>
          <t>JÖNKÖPINGS LÄN</t>
        </is>
      </c>
      <c r="E373" t="inlineStr">
        <is>
          <t>VÄRNAMO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43434-2018</t>
        </is>
      </c>
      <c r="B374" s="1" t="n">
        <v>43353</v>
      </c>
      <c r="C374" s="1" t="n">
        <v>45186</v>
      </c>
      <c r="D374" t="inlineStr">
        <is>
          <t>JÖNKÖPINGS LÄN</t>
        </is>
      </c>
      <c r="E374" t="inlineStr">
        <is>
          <t>NÄSSJÖ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43316-2018</t>
        </is>
      </c>
      <c r="B375" s="1" t="n">
        <v>43353</v>
      </c>
      <c r="C375" s="1" t="n">
        <v>45186</v>
      </c>
      <c r="D375" t="inlineStr">
        <is>
          <t>JÖNKÖPINGS LÄN</t>
        </is>
      </c>
      <c r="E375" t="inlineStr">
        <is>
          <t>GNOSJÖ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42605-2018</t>
        </is>
      </c>
      <c r="B376" s="1" t="n">
        <v>43354</v>
      </c>
      <c r="C376" s="1" t="n">
        <v>45186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42662-2018</t>
        </is>
      </c>
      <c r="B377" s="1" t="n">
        <v>43354</v>
      </c>
      <c r="C377" s="1" t="n">
        <v>45186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43492-2018</t>
        </is>
      </c>
      <c r="B378" s="1" t="n">
        <v>43354</v>
      </c>
      <c r="C378" s="1" t="n">
        <v>45186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43018-2018</t>
        </is>
      </c>
      <c r="B379" s="1" t="n">
        <v>43355</v>
      </c>
      <c r="C379" s="1" t="n">
        <v>45186</v>
      </c>
      <c r="D379" t="inlineStr">
        <is>
          <t>JÖNKÖPINGS LÄN</t>
        </is>
      </c>
      <c r="E379" t="inlineStr">
        <is>
          <t>NÄSSJÖ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42813-2018</t>
        </is>
      </c>
      <c r="B380" s="1" t="n">
        <v>43355</v>
      </c>
      <c r="C380" s="1" t="n">
        <v>45186</v>
      </c>
      <c r="D380" t="inlineStr">
        <is>
          <t>JÖNKÖPINGS LÄN</t>
        </is>
      </c>
      <c r="E380" t="inlineStr">
        <is>
          <t>GISLAVED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44019-2018</t>
        </is>
      </c>
      <c r="B381" s="1" t="n">
        <v>43355</v>
      </c>
      <c r="C381" s="1" t="n">
        <v>45186</v>
      </c>
      <c r="D381" t="inlineStr">
        <is>
          <t>JÖNKÖPINGS LÄN</t>
        </is>
      </c>
      <c r="E381" t="inlineStr">
        <is>
          <t>VAGGERYD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43735-2018</t>
        </is>
      </c>
      <c r="B382" s="1" t="n">
        <v>43355</v>
      </c>
      <c r="C382" s="1" t="n">
        <v>45186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44084-2018</t>
        </is>
      </c>
      <c r="B383" s="1" t="n">
        <v>43355</v>
      </c>
      <c r="C383" s="1" t="n">
        <v>45186</v>
      </c>
      <c r="D383" t="inlineStr">
        <is>
          <t>JÖNKÖPINGS LÄN</t>
        </is>
      </c>
      <c r="E383" t="inlineStr">
        <is>
          <t>GISLAVED</t>
        </is>
      </c>
      <c r="G383" t="n">
        <v>9.699999999999999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43214-2018</t>
        </is>
      </c>
      <c r="B384" s="1" t="n">
        <v>43356</v>
      </c>
      <c r="C384" s="1" t="n">
        <v>45186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43370-2018</t>
        </is>
      </c>
      <c r="B385" s="1" t="n">
        <v>43356</v>
      </c>
      <c r="C385" s="1" t="n">
        <v>45186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44676-2018</t>
        </is>
      </c>
      <c r="B386" s="1" t="n">
        <v>43356</v>
      </c>
      <c r="C386" s="1" t="n">
        <v>45186</v>
      </c>
      <c r="D386" t="inlineStr">
        <is>
          <t>JÖNKÖPINGS LÄN</t>
        </is>
      </c>
      <c r="E386" t="inlineStr">
        <is>
          <t>NÄSSJÖ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44644-2018</t>
        </is>
      </c>
      <c r="B387" s="1" t="n">
        <v>43356</v>
      </c>
      <c r="C387" s="1" t="n">
        <v>45186</v>
      </c>
      <c r="D387" t="inlineStr">
        <is>
          <t>JÖNKÖPINGS LÄN</t>
        </is>
      </c>
      <c r="E387" t="inlineStr">
        <is>
          <t>JÖNKÖPING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44711-2018</t>
        </is>
      </c>
      <c r="B388" s="1" t="n">
        <v>43357</v>
      </c>
      <c r="C388" s="1" t="n">
        <v>45186</v>
      </c>
      <c r="D388" t="inlineStr">
        <is>
          <t>JÖNKÖPINGS LÄN</t>
        </is>
      </c>
      <c r="E388" t="inlineStr">
        <is>
          <t>VAGGERYD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44597-2018</t>
        </is>
      </c>
      <c r="B389" s="1" t="n">
        <v>43357</v>
      </c>
      <c r="C389" s="1" t="n">
        <v>45186</v>
      </c>
      <c r="D389" t="inlineStr">
        <is>
          <t>JÖNKÖPINGS LÄN</t>
        </is>
      </c>
      <c r="E389" t="inlineStr">
        <is>
          <t>VÄRNAMO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43596-2018</t>
        </is>
      </c>
      <c r="B390" s="1" t="n">
        <v>43357</v>
      </c>
      <c r="C390" s="1" t="n">
        <v>45186</v>
      </c>
      <c r="D390" t="inlineStr">
        <is>
          <t>JÖNKÖPINGS LÄN</t>
        </is>
      </c>
      <c r="E390" t="inlineStr">
        <is>
          <t>VAGGERYD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44184-2018</t>
        </is>
      </c>
      <c r="B391" s="1" t="n">
        <v>43360</v>
      </c>
      <c r="C391" s="1" t="n">
        <v>45186</v>
      </c>
      <c r="D391" t="inlineStr">
        <is>
          <t>JÖNKÖPINGS LÄN</t>
        </is>
      </c>
      <c r="E391" t="inlineStr">
        <is>
          <t>VETLANDA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45307-2018</t>
        </is>
      </c>
      <c r="B392" s="1" t="n">
        <v>43360</v>
      </c>
      <c r="C392" s="1" t="n">
        <v>45186</v>
      </c>
      <c r="D392" t="inlineStr">
        <is>
          <t>JÖNKÖPINGS LÄN</t>
        </is>
      </c>
      <c r="E392" t="inlineStr">
        <is>
          <t>HABO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HYPERLINK("https://klasma.github.io/Logging_HABO/knärot/A 45307-2018.png", "A 45307-2018")</f>
        <v/>
      </c>
      <c r="V392">
        <f>HYPERLINK("https://klasma.github.io/Logging_HABO/klagomål/A 45307-2018.docx", "A 45307-2018")</f>
        <v/>
      </c>
      <c r="W392">
        <f>HYPERLINK("https://klasma.github.io/Logging_HABO/klagomålsmail/A 45307-2018.docx", "A 45307-2018")</f>
        <v/>
      </c>
      <c r="X392">
        <f>HYPERLINK("https://klasma.github.io/Logging_HABO/tillsyn/A 45307-2018.docx", "A 45307-2018")</f>
        <v/>
      </c>
      <c r="Y392">
        <f>HYPERLINK("https://klasma.github.io/Logging_HABO/tillsynsmail/A 45307-2018.docx", "A 45307-2018")</f>
        <v/>
      </c>
    </row>
    <row r="393" ht="15" customHeight="1">
      <c r="A393" t="inlineStr">
        <is>
          <t>A 45346-2018</t>
        </is>
      </c>
      <c r="B393" s="1" t="n">
        <v>43360</v>
      </c>
      <c r="C393" s="1" t="n">
        <v>45186</v>
      </c>
      <c r="D393" t="inlineStr">
        <is>
          <t>JÖNKÖPINGS LÄN</t>
        </is>
      </c>
      <c r="E393" t="inlineStr">
        <is>
          <t>NÄSSJÖ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44171-2018</t>
        </is>
      </c>
      <c r="B394" s="1" t="n">
        <v>43360</v>
      </c>
      <c r="C394" s="1" t="n">
        <v>45186</v>
      </c>
      <c r="D394" t="inlineStr">
        <is>
          <t>JÖNKÖPINGS LÄN</t>
        </is>
      </c>
      <c r="E394" t="inlineStr">
        <is>
          <t>ANEBY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45045-2018</t>
        </is>
      </c>
      <c r="B395" s="1" t="n">
        <v>43361</v>
      </c>
      <c r="C395" s="1" t="n">
        <v>45186</v>
      </c>
      <c r="D395" t="inlineStr">
        <is>
          <t>JÖNKÖPINGS LÄN</t>
        </is>
      </c>
      <c r="E395" t="inlineStr">
        <is>
          <t>JÖNKÖPING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45013-2018</t>
        </is>
      </c>
      <c r="B396" s="1" t="n">
        <v>43361</v>
      </c>
      <c r="C396" s="1" t="n">
        <v>45186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45050-2018</t>
        </is>
      </c>
      <c r="B397" s="1" t="n">
        <v>43361</v>
      </c>
      <c r="C397" s="1" t="n">
        <v>45186</v>
      </c>
      <c r="D397" t="inlineStr">
        <is>
          <t>JÖNKÖPINGS LÄN</t>
        </is>
      </c>
      <c r="E397" t="inlineStr">
        <is>
          <t>JÖNKÖPING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45075-2018</t>
        </is>
      </c>
      <c r="B398" s="1" t="n">
        <v>43362</v>
      </c>
      <c r="C398" s="1" t="n">
        <v>45186</v>
      </c>
      <c r="D398" t="inlineStr">
        <is>
          <t>JÖNKÖPINGS LÄN</t>
        </is>
      </c>
      <c r="E398" t="inlineStr">
        <is>
          <t>VÄRNAMO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45849-2018</t>
        </is>
      </c>
      <c r="B399" s="1" t="n">
        <v>43362</v>
      </c>
      <c r="C399" s="1" t="n">
        <v>45186</v>
      </c>
      <c r="D399" t="inlineStr">
        <is>
          <t>JÖNKÖPINGS LÄN</t>
        </is>
      </c>
      <c r="E399" t="inlineStr">
        <is>
          <t>GISLAVED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45415-2018</t>
        </is>
      </c>
      <c r="B400" s="1" t="n">
        <v>43363</v>
      </c>
      <c r="C400" s="1" t="n">
        <v>45186</v>
      </c>
      <c r="D400" t="inlineStr">
        <is>
          <t>JÖNKÖPINGS LÄN</t>
        </is>
      </c>
      <c r="E400" t="inlineStr">
        <is>
          <t>EKSJÖ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45836-2018</t>
        </is>
      </c>
      <c r="B401" s="1" t="n">
        <v>43364</v>
      </c>
      <c r="C401" s="1" t="n">
        <v>45186</v>
      </c>
      <c r="D401" t="inlineStr">
        <is>
          <t>JÖNKÖPINGS LÄN</t>
        </is>
      </c>
      <c r="E401" t="inlineStr">
        <is>
          <t>SÄVSJÖ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45784-2018</t>
        </is>
      </c>
      <c r="B402" s="1" t="n">
        <v>43364</v>
      </c>
      <c r="C402" s="1" t="n">
        <v>45186</v>
      </c>
      <c r="D402" t="inlineStr">
        <is>
          <t>JÖNKÖPINGS LÄN</t>
        </is>
      </c>
      <c r="E402" t="inlineStr">
        <is>
          <t>JÖNKÖPING</t>
        </is>
      </c>
      <c r="F402" t="inlineStr">
        <is>
          <t>Kyrkan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45799-2018</t>
        </is>
      </c>
      <c r="B403" s="1" t="n">
        <v>43364</v>
      </c>
      <c r="C403" s="1" t="n">
        <v>45186</v>
      </c>
      <c r="D403" t="inlineStr">
        <is>
          <t>JÖNKÖPINGS LÄN</t>
        </is>
      </c>
      <c r="E403" t="inlineStr">
        <is>
          <t>VÄRNAMO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46027-2018</t>
        </is>
      </c>
      <c r="B404" s="1" t="n">
        <v>43365</v>
      </c>
      <c r="C404" s="1" t="n">
        <v>45186</v>
      </c>
      <c r="D404" t="inlineStr">
        <is>
          <t>JÖNKÖPINGS LÄN</t>
        </is>
      </c>
      <c r="E404" t="inlineStr">
        <is>
          <t>NÄSSJÖ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46850-2018</t>
        </is>
      </c>
      <c r="B405" s="1" t="n">
        <v>43367</v>
      </c>
      <c r="C405" s="1" t="n">
        <v>45186</v>
      </c>
      <c r="D405" t="inlineStr">
        <is>
          <t>JÖNKÖPINGS LÄN</t>
        </is>
      </c>
      <c r="E405" t="inlineStr">
        <is>
          <t>VETLANDA</t>
        </is>
      </c>
      <c r="F405" t="inlineStr">
        <is>
          <t>Kyrkan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46809-2018</t>
        </is>
      </c>
      <c r="B406" s="1" t="n">
        <v>43367</v>
      </c>
      <c r="C406" s="1" t="n">
        <v>45186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47520-2018</t>
        </is>
      </c>
      <c r="B407" s="1" t="n">
        <v>43368</v>
      </c>
      <c r="C407" s="1" t="n">
        <v>45186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46884-2018</t>
        </is>
      </c>
      <c r="B408" s="1" t="n">
        <v>43368</v>
      </c>
      <c r="C408" s="1" t="n">
        <v>45186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47533-2018</t>
        </is>
      </c>
      <c r="B409" s="1" t="n">
        <v>43368</v>
      </c>
      <c r="C409" s="1" t="n">
        <v>45186</v>
      </c>
      <c r="D409" t="inlineStr">
        <is>
          <t>JÖNKÖPINGS LÄN</t>
        </is>
      </c>
      <c r="E409" t="inlineStr">
        <is>
          <t>ANEBY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46913-2018</t>
        </is>
      </c>
      <c r="B410" s="1" t="n">
        <v>43368</v>
      </c>
      <c r="C410" s="1" t="n">
        <v>45186</v>
      </c>
      <c r="D410" t="inlineStr">
        <is>
          <t>JÖNKÖPINGS LÄN</t>
        </is>
      </c>
      <c r="E410" t="inlineStr">
        <is>
          <t>GISLAVED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47237-2018</t>
        </is>
      </c>
      <c r="B411" s="1" t="n">
        <v>43368</v>
      </c>
      <c r="C411" s="1" t="n">
        <v>45186</v>
      </c>
      <c r="D411" t="inlineStr">
        <is>
          <t>JÖNKÖPINGS LÄN</t>
        </is>
      </c>
      <c r="E411" t="inlineStr">
        <is>
          <t>JÖNKÖPING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46887-2018</t>
        </is>
      </c>
      <c r="B412" s="1" t="n">
        <v>43368</v>
      </c>
      <c r="C412" s="1" t="n">
        <v>45186</v>
      </c>
      <c r="D412" t="inlineStr">
        <is>
          <t>JÖNKÖPINGS LÄN</t>
        </is>
      </c>
      <c r="E412" t="inlineStr">
        <is>
          <t>VÄRNAMO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47204-2018</t>
        </is>
      </c>
      <c r="B413" s="1" t="n">
        <v>43368</v>
      </c>
      <c r="C413" s="1" t="n">
        <v>45186</v>
      </c>
      <c r="D413" t="inlineStr">
        <is>
          <t>JÖNKÖPINGS LÄN</t>
        </is>
      </c>
      <c r="E413" t="inlineStr">
        <is>
          <t>EKSJÖ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47510-2018</t>
        </is>
      </c>
      <c r="B414" s="1" t="n">
        <v>43368</v>
      </c>
      <c r="C414" s="1" t="n">
        <v>45186</v>
      </c>
      <c r="D414" t="inlineStr">
        <is>
          <t>JÖNKÖPINGS LÄN</t>
        </is>
      </c>
      <c r="E414" t="inlineStr">
        <is>
          <t>VETLANDA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47547-2018</t>
        </is>
      </c>
      <c r="B415" s="1" t="n">
        <v>43368</v>
      </c>
      <c r="C415" s="1" t="n">
        <v>45186</v>
      </c>
      <c r="D415" t="inlineStr">
        <is>
          <t>JÖNKÖPINGS LÄN</t>
        </is>
      </c>
      <c r="E415" t="inlineStr">
        <is>
          <t>TRANÅS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48105-2018</t>
        </is>
      </c>
      <c r="B416" s="1" t="n">
        <v>43368</v>
      </c>
      <c r="C416" s="1" t="n">
        <v>45186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48011-2018</t>
        </is>
      </c>
      <c r="B417" s="1" t="n">
        <v>43370</v>
      </c>
      <c r="C417" s="1" t="n">
        <v>45186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48159-2018</t>
        </is>
      </c>
      <c r="B418" s="1" t="n">
        <v>43370</v>
      </c>
      <c r="C418" s="1" t="n">
        <v>45186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48391-2018</t>
        </is>
      </c>
      <c r="B419" s="1" t="n">
        <v>43370</v>
      </c>
      <c r="C419" s="1" t="n">
        <v>45186</v>
      </c>
      <c r="D419" t="inlineStr">
        <is>
          <t>JÖNKÖPINGS LÄN</t>
        </is>
      </c>
      <c r="E419" t="inlineStr">
        <is>
          <t>ANEBY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48200-2018</t>
        </is>
      </c>
      <c r="B420" s="1" t="n">
        <v>43370</v>
      </c>
      <c r="C420" s="1" t="n">
        <v>45186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48640-2018</t>
        </is>
      </c>
      <c r="B421" s="1" t="n">
        <v>43372</v>
      </c>
      <c r="C421" s="1" t="n">
        <v>45186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48303-2018</t>
        </is>
      </c>
      <c r="B422" s="1" t="n">
        <v>43372</v>
      </c>
      <c r="C422" s="1" t="n">
        <v>45186</v>
      </c>
      <c r="D422" t="inlineStr">
        <is>
          <t>JÖNKÖPINGS LÄN</t>
        </is>
      </c>
      <c r="E422" t="inlineStr">
        <is>
          <t>VÄRNAMO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49481-2018</t>
        </is>
      </c>
      <c r="B423" s="1" t="n">
        <v>43374</v>
      </c>
      <c r="C423" s="1" t="n">
        <v>45186</v>
      </c>
      <c r="D423" t="inlineStr">
        <is>
          <t>JÖNKÖPINGS LÄN</t>
        </is>
      </c>
      <c r="E423" t="inlineStr">
        <is>
          <t>JÖNKÖPING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49486-2018</t>
        </is>
      </c>
      <c r="B424" s="1" t="n">
        <v>43374</v>
      </c>
      <c r="C424" s="1" t="n">
        <v>45186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48680-2018</t>
        </is>
      </c>
      <c r="B425" s="1" t="n">
        <v>43374</v>
      </c>
      <c r="C425" s="1" t="n">
        <v>45186</v>
      </c>
      <c r="D425" t="inlineStr">
        <is>
          <t>JÖNKÖPINGS LÄN</t>
        </is>
      </c>
      <c r="E425" t="inlineStr">
        <is>
          <t>JÖNKÖPING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49016-2018</t>
        </is>
      </c>
      <c r="B426" s="1" t="n">
        <v>43375</v>
      </c>
      <c r="C426" s="1" t="n">
        <v>45186</v>
      </c>
      <c r="D426" t="inlineStr">
        <is>
          <t>JÖNKÖPINGS LÄN</t>
        </is>
      </c>
      <c r="E426" t="inlineStr">
        <is>
          <t>NÄSSJÖ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49865-2018</t>
        </is>
      </c>
      <c r="B427" s="1" t="n">
        <v>43375</v>
      </c>
      <c r="C427" s="1" t="n">
        <v>45186</v>
      </c>
      <c r="D427" t="inlineStr">
        <is>
          <t>JÖNKÖPINGS LÄN</t>
        </is>
      </c>
      <c r="E427" t="inlineStr">
        <is>
          <t>VETLANDA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49472-2018</t>
        </is>
      </c>
      <c r="B428" s="1" t="n">
        <v>43376</v>
      </c>
      <c r="C428" s="1" t="n">
        <v>45186</v>
      </c>
      <c r="D428" t="inlineStr">
        <is>
          <t>JÖNKÖPINGS LÄN</t>
        </is>
      </c>
      <c r="E428" t="inlineStr">
        <is>
          <t>GISLAVED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50831-2018</t>
        </is>
      </c>
      <c r="B429" s="1" t="n">
        <v>43376</v>
      </c>
      <c r="C429" s="1" t="n">
        <v>45186</v>
      </c>
      <c r="D429" t="inlineStr">
        <is>
          <t>JÖNKÖPINGS LÄN</t>
        </is>
      </c>
      <c r="E429" t="inlineStr">
        <is>
          <t>VÄRNAMO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49256-2018</t>
        </is>
      </c>
      <c r="B430" s="1" t="n">
        <v>43376</v>
      </c>
      <c r="C430" s="1" t="n">
        <v>45186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49837-2018</t>
        </is>
      </c>
      <c r="B431" s="1" t="n">
        <v>43376</v>
      </c>
      <c r="C431" s="1" t="n">
        <v>45186</v>
      </c>
      <c r="D431" t="inlineStr">
        <is>
          <t>JÖNKÖPINGS LÄN</t>
        </is>
      </c>
      <c r="E431" t="inlineStr">
        <is>
          <t>VETLANDA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49880-2018</t>
        </is>
      </c>
      <c r="B432" s="1" t="n">
        <v>43376</v>
      </c>
      <c r="C432" s="1" t="n">
        <v>45186</v>
      </c>
      <c r="D432" t="inlineStr">
        <is>
          <t>JÖNKÖPINGS LÄN</t>
        </is>
      </c>
      <c r="E432" t="inlineStr">
        <is>
          <t>NÄSSJÖ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49771-2018</t>
        </is>
      </c>
      <c r="B433" s="1" t="n">
        <v>43377</v>
      </c>
      <c r="C433" s="1" t="n">
        <v>45186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51075-2018</t>
        </is>
      </c>
      <c r="B434" s="1" t="n">
        <v>43377</v>
      </c>
      <c r="C434" s="1" t="n">
        <v>45186</v>
      </c>
      <c r="D434" t="inlineStr">
        <is>
          <t>JÖNKÖPINGS LÄN</t>
        </is>
      </c>
      <c r="E434" t="inlineStr">
        <is>
          <t>NÄSSJÖ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51002-2018</t>
        </is>
      </c>
      <c r="B435" s="1" t="n">
        <v>43378</v>
      </c>
      <c r="C435" s="1" t="n">
        <v>45186</v>
      </c>
      <c r="D435" t="inlineStr">
        <is>
          <t>JÖNKÖPINGS LÄN</t>
        </is>
      </c>
      <c r="E435" t="inlineStr">
        <is>
          <t>VETLANDA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51107-2018</t>
        </is>
      </c>
      <c r="B436" s="1" t="n">
        <v>43378</v>
      </c>
      <c r="C436" s="1" t="n">
        <v>45186</v>
      </c>
      <c r="D436" t="inlineStr">
        <is>
          <t>JÖNKÖPINGS LÄN</t>
        </is>
      </c>
      <c r="E436" t="inlineStr">
        <is>
          <t>NÄSSJÖ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51007-2018</t>
        </is>
      </c>
      <c r="B437" s="1" t="n">
        <v>43378</v>
      </c>
      <c r="C437" s="1" t="n">
        <v>45186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51196-2018</t>
        </is>
      </c>
      <c r="B438" s="1" t="n">
        <v>43378</v>
      </c>
      <c r="C438" s="1" t="n">
        <v>45186</v>
      </c>
      <c r="D438" t="inlineStr">
        <is>
          <t>JÖNKÖPINGS LÄN</t>
        </is>
      </c>
      <c r="E438" t="inlineStr">
        <is>
          <t>JÖNKÖPING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51013-2018</t>
        </is>
      </c>
      <c r="B439" s="1" t="n">
        <v>43378</v>
      </c>
      <c r="C439" s="1" t="n">
        <v>45186</v>
      </c>
      <c r="D439" t="inlineStr">
        <is>
          <t>JÖNKÖPINGS LÄN</t>
        </is>
      </c>
      <c r="E439" t="inlineStr">
        <is>
          <t>NÄSSJÖ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50767-2018</t>
        </is>
      </c>
      <c r="B440" s="1" t="n">
        <v>43381</v>
      </c>
      <c r="C440" s="1" t="n">
        <v>45186</v>
      </c>
      <c r="D440" t="inlineStr">
        <is>
          <t>JÖNKÖPINGS LÄN</t>
        </is>
      </c>
      <c r="E440" t="inlineStr">
        <is>
          <t>VÄRNAMO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50741-2018</t>
        </is>
      </c>
      <c r="B441" s="1" t="n">
        <v>43381</v>
      </c>
      <c r="C441" s="1" t="n">
        <v>45186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51811-2018</t>
        </is>
      </c>
      <c r="B442" s="1" t="n">
        <v>43381</v>
      </c>
      <c r="C442" s="1" t="n">
        <v>45186</v>
      </c>
      <c r="D442" t="inlineStr">
        <is>
          <t>JÖNKÖPINGS LÄN</t>
        </is>
      </c>
      <c r="E442" t="inlineStr">
        <is>
          <t>TRANÅS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51023-2018</t>
        </is>
      </c>
      <c r="B443" s="1" t="n">
        <v>43382</v>
      </c>
      <c r="C443" s="1" t="n">
        <v>45186</v>
      </c>
      <c r="D443" t="inlineStr">
        <is>
          <t>JÖNKÖPINGS LÄN</t>
        </is>
      </c>
      <c r="E443" t="inlineStr">
        <is>
          <t>NÄSSJÖ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51229-2018</t>
        </is>
      </c>
      <c r="B444" s="1" t="n">
        <v>43382</v>
      </c>
      <c r="C444" s="1" t="n">
        <v>45186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51914-2018</t>
        </is>
      </c>
      <c r="B445" s="1" t="n">
        <v>43382</v>
      </c>
      <c r="C445" s="1" t="n">
        <v>45186</v>
      </c>
      <c r="D445" t="inlineStr">
        <is>
          <t>JÖNKÖPINGS LÄN</t>
        </is>
      </c>
      <c r="E445" t="inlineStr">
        <is>
          <t>GNOSJÖ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50999-2018</t>
        </is>
      </c>
      <c r="B446" s="1" t="n">
        <v>43382</v>
      </c>
      <c r="C446" s="1" t="n">
        <v>45186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51024-2018</t>
        </is>
      </c>
      <c r="B447" s="1" t="n">
        <v>43382</v>
      </c>
      <c r="C447" s="1" t="n">
        <v>45186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52022-2018</t>
        </is>
      </c>
      <c r="B448" s="1" t="n">
        <v>43382</v>
      </c>
      <c r="C448" s="1" t="n">
        <v>45186</v>
      </c>
      <c r="D448" t="inlineStr">
        <is>
          <t>JÖNKÖPINGS LÄN</t>
        </is>
      </c>
      <c r="E448" t="inlineStr">
        <is>
          <t>TRANÅS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51222-2018</t>
        </is>
      </c>
      <c r="B449" s="1" t="n">
        <v>43382</v>
      </c>
      <c r="C449" s="1" t="n">
        <v>45186</v>
      </c>
      <c r="D449" t="inlineStr">
        <is>
          <t>JÖNKÖPINGS LÄN</t>
        </is>
      </c>
      <c r="E449" t="inlineStr">
        <is>
          <t>VETLANDA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52682-2018</t>
        </is>
      </c>
      <c r="B450" s="1" t="n">
        <v>43383</v>
      </c>
      <c r="C450" s="1" t="n">
        <v>45186</v>
      </c>
      <c r="D450" t="inlineStr">
        <is>
          <t>JÖNKÖPINGS LÄN</t>
        </is>
      </c>
      <c r="E450" t="inlineStr">
        <is>
          <t>GISLAVED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51384-2018</t>
        </is>
      </c>
      <c r="B451" s="1" t="n">
        <v>43383</v>
      </c>
      <c r="C451" s="1" t="n">
        <v>45186</v>
      </c>
      <c r="D451" t="inlineStr">
        <is>
          <t>JÖNKÖPINGS LÄN</t>
        </is>
      </c>
      <c r="E451" t="inlineStr">
        <is>
          <t>JÖNKÖPING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51488-2018</t>
        </is>
      </c>
      <c r="B452" s="1" t="n">
        <v>43383</v>
      </c>
      <c r="C452" s="1" t="n">
        <v>45186</v>
      </c>
      <c r="D452" t="inlineStr">
        <is>
          <t>JÖNKÖPINGS LÄN</t>
        </is>
      </c>
      <c r="E452" t="inlineStr">
        <is>
          <t>GISLAVED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52648-2018</t>
        </is>
      </c>
      <c r="B453" s="1" t="n">
        <v>43383</v>
      </c>
      <c r="C453" s="1" t="n">
        <v>45186</v>
      </c>
      <c r="D453" t="inlineStr">
        <is>
          <t>JÖNKÖPINGS LÄN</t>
        </is>
      </c>
      <c r="E453" t="inlineStr">
        <is>
          <t>SÄVSJÖ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52038-2018</t>
        </is>
      </c>
      <c r="B454" s="1" t="n">
        <v>43384</v>
      </c>
      <c r="C454" s="1" t="n">
        <v>45186</v>
      </c>
      <c r="D454" t="inlineStr">
        <is>
          <t>JÖNKÖPINGS LÄN</t>
        </is>
      </c>
      <c r="E454" t="inlineStr">
        <is>
          <t>VETLANDA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52808-2018</t>
        </is>
      </c>
      <c r="B455" s="1" t="n">
        <v>43384</v>
      </c>
      <c r="C455" s="1" t="n">
        <v>45186</v>
      </c>
      <c r="D455" t="inlineStr">
        <is>
          <t>JÖNKÖPINGS LÄN</t>
        </is>
      </c>
      <c r="E455" t="inlineStr">
        <is>
          <t>VÄRNAMO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51796-2018</t>
        </is>
      </c>
      <c r="B456" s="1" t="n">
        <v>43384</v>
      </c>
      <c r="C456" s="1" t="n">
        <v>45186</v>
      </c>
      <c r="D456" t="inlineStr">
        <is>
          <t>JÖNKÖPINGS LÄN</t>
        </is>
      </c>
      <c r="E456" t="inlineStr">
        <is>
          <t>GISLAVED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52031-2018</t>
        </is>
      </c>
      <c r="B457" s="1" t="n">
        <v>43384</v>
      </c>
      <c r="C457" s="1" t="n">
        <v>45186</v>
      </c>
      <c r="D457" t="inlineStr">
        <is>
          <t>JÖNKÖPINGS LÄN</t>
        </is>
      </c>
      <c r="E457" t="inlineStr">
        <is>
          <t>VETLANDA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53727-2018</t>
        </is>
      </c>
      <c r="B458" s="1" t="n">
        <v>43385</v>
      </c>
      <c r="C458" s="1" t="n">
        <v>45186</v>
      </c>
      <c r="D458" t="inlineStr">
        <is>
          <t>JÖNKÖPINGS LÄN</t>
        </is>
      </c>
      <c r="E458" t="inlineStr">
        <is>
          <t>TRANÅS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62182-2018</t>
        </is>
      </c>
      <c r="B459" s="1" t="n">
        <v>43385</v>
      </c>
      <c r="C459" s="1" t="n">
        <v>45186</v>
      </c>
      <c r="D459" t="inlineStr">
        <is>
          <t>JÖNKÖPINGS LÄN</t>
        </is>
      </c>
      <c r="E459" t="inlineStr">
        <is>
          <t>GISLAVED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53574-2018</t>
        </is>
      </c>
      <c r="B460" s="1" t="n">
        <v>43387</v>
      </c>
      <c r="C460" s="1" t="n">
        <v>45186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54065-2018</t>
        </is>
      </c>
      <c r="B461" s="1" t="n">
        <v>43388</v>
      </c>
      <c r="C461" s="1" t="n">
        <v>45186</v>
      </c>
      <c r="D461" t="inlineStr">
        <is>
          <t>JÖNKÖPINGS LÄN</t>
        </is>
      </c>
      <c r="E461" t="inlineStr">
        <is>
          <t>VETLANDA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53629-2018</t>
        </is>
      </c>
      <c r="B462" s="1" t="n">
        <v>43388</v>
      </c>
      <c r="C462" s="1" t="n">
        <v>45186</v>
      </c>
      <c r="D462" t="inlineStr">
        <is>
          <t>JÖNKÖPINGS LÄN</t>
        </is>
      </c>
      <c r="E462" t="inlineStr">
        <is>
          <t>JÖNKÖPING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54062-2018</t>
        </is>
      </c>
      <c r="B463" s="1" t="n">
        <v>43388</v>
      </c>
      <c r="C463" s="1" t="n">
        <v>45186</v>
      </c>
      <c r="D463" t="inlineStr">
        <is>
          <t>JÖNKÖPINGS LÄN</t>
        </is>
      </c>
      <c r="E463" t="inlineStr">
        <is>
          <t>VETLANDA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52862-2018</t>
        </is>
      </c>
      <c r="B464" s="1" t="n">
        <v>43389</v>
      </c>
      <c r="C464" s="1" t="n">
        <v>45186</v>
      </c>
      <c r="D464" t="inlineStr">
        <is>
          <t>JÖNKÖPINGS LÄN</t>
        </is>
      </c>
      <c r="E464" t="inlineStr">
        <is>
          <t>NÄSSJÖ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54551-2018</t>
        </is>
      </c>
      <c r="B465" s="1" t="n">
        <v>43389</v>
      </c>
      <c r="C465" s="1" t="n">
        <v>45186</v>
      </c>
      <c r="D465" t="inlineStr">
        <is>
          <t>JÖNKÖPINGS LÄN</t>
        </is>
      </c>
      <c r="E465" t="inlineStr">
        <is>
          <t>GNOSJÖ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53300-2018</t>
        </is>
      </c>
      <c r="B466" s="1" t="n">
        <v>43389</v>
      </c>
      <c r="C466" s="1" t="n">
        <v>45186</v>
      </c>
      <c r="D466" t="inlineStr">
        <is>
          <t>JÖNKÖPINGS LÄN</t>
        </is>
      </c>
      <c r="E466" t="inlineStr">
        <is>
          <t>VETLANDA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53219-2018</t>
        </is>
      </c>
      <c r="B467" s="1" t="n">
        <v>43390</v>
      </c>
      <c r="C467" s="1" t="n">
        <v>45186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54547-2018</t>
        </is>
      </c>
      <c r="B468" s="1" t="n">
        <v>43390</v>
      </c>
      <c r="C468" s="1" t="n">
        <v>45186</v>
      </c>
      <c r="D468" t="inlineStr">
        <is>
          <t>JÖNKÖPINGS LÄN</t>
        </is>
      </c>
      <c r="E468" t="inlineStr">
        <is>
          <t>NÄSSJÖ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54476-2018</t>
        </is>
      </c>
      <c r="B469" s="1" t="n">
        <v>43390</v>
      </c>
      <c r="C469" s="1" t="n">
        <v>45186</v>
      </c>
      <c r="D469" t="inlineStr">
        <is>
          <t>JÖNKÖPINGS LÄN</t>
        </is>
      </c>
      <c r="E469" t="inlineStr">
        <is>
          <t>TRANÅS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54543-2018</t>
        </is>
      </c>
      <c r="B470" s="1" t="n">
        <v>43390</v>
      </c>
      <c r="C470" s="1" t="n">
        <v>45186</v>
      </c>
      <c r="D470" t="inlineStr">
        <is>
          <t>JÖNKÖPINGS LÄN</t>
        </is>
      </c>
      <c r="E470" t="inlineStr">
        <is>
          <t>NÄSSJÖ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53597-2018</t>
        </is>
      </c>
      <c r="B471" s="1" t="n">
        <v>43391</v>
      </c>
      <c r="C471" s="1" t="n">
        <v>45186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53728-2018</t>
        </is>
      </c>
      <c r="B472" s="1" t="n">
        <v>43391</v>
      </c>
      <c r="C472" s="1" t="n">
        <v>45186</v>
      </c>
      <c r="D472" t="inlineStr">
        <is>
          <t>JÖNKÖPINGS LÄN</t>
        </is>
      </c>
      <c r="E472" t="inlineStr">
        <is>
          <t>VETLANDA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55248-2018</t>
        </is>
      </c>
      <c r="B473" s="1" t="n">
        <v>43391</v>
      </c>
      <c r="C473" s="1" t="n">
        <v>45186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53946-2018</t>
        </is>
      </c>
      <c r="B474" s="1" t="n">
        <v>43392</v>
      </c>
      <c r="C474" s="1" t="n">
        <v>45186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53950-2018</t>
        </is>
      </c>
      <c r="B475" s="1" t="n">
        <v>43392</v>
      </c>
      <c r="C475" s="1" t="n">
        <v>45186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54427-2018</t>
        </is>
      </c>
      <c r="B476" s="1" t="n">
        <v>43395</v>
      </c>
      <c r="C476" s="1" t="n">
        <v>45186</v>
      </c>
      <c r="D476" t="inlineStr">
        <is>
          <t>JÖNKÖPINGS LÄN</t>
        </is>
      </c>
      <c r="E476" t="inlineStr">
        <is>
          <t>VETLANDA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54387-2018</t>
        </is>
      </c>
      <c r="B477" s="1" t="n">
        <v>43395</v>
      </c>
      <c r="C477" s="1" t="n">
        <v>45186</v>
      </c>
      <c r="D477" t="inlineStr">
        <is>
          <t>JÖNKÖPINGS LÄN</t>
        </is>
      </c>
      <c r="E477" t="inlineStr">
        <is>
          <t>VÄRNAMO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54580-2018</t>
        </is>
      </c>
      <c r="B478" s="1" t="n">
        <v>43395</v>
      </c>
      <c r="C478" s="1" t="n">
        <v>45186</v>
      </c>
      <c r="D478" t="inlineStr">
        <is>
          <t>JÖNKÖPINGS LÄN</t>
        </is>
      </c>
      <c r="E478" t="inlineStr">
        <is>
          <t>VÄRNAMO</t>
        </is>
      </c>
      <c r="G478" t="n">
        <v>8.4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64995-2018</t>
        </is>
      </c>
      <c r="B479" s="1" t="n">
        <v>43395</v>
      </c>
      <c r="C479" s="1" t="n">
        <v>45186</v>
      </c>
      <c r="D479" t="inlineStr">
        <is>
          <t>JÖNKÖPINGS LÄN</t>
        </is>
      </c>
      <c r="E479" t="inlineStr">
        <is>
          <t>VETLANDA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54646-2018</t>
        </is>
      </c>
      <c r="B480" s="1" t="n">
        <v>43395</v>
      </c>
      <c r="C480" s="1" t="n">
        <v>45186</v>
      </c>
      <c r="D480" t="inlineStr">
        <is>
          <t>JÖNKÖPINGS LÄN</t>
        </is>
      </c>
      <c r="E480" t="inlineStr">
        <is>
          <t>HABO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56961-2018</t>
        </is>
      </c>
      <c r="B481" s="1" t="n">
        <v>43395</v>
      </c>
      <c r="C481" s="1" t="n">
        <v>45186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56963-2018</t>
        </is>
      </c>
      <c r="B482" s="1" t="n">
        <v>43395</v>
      </c>
      <c r="C482" s="1" t="n">
        <v>45186</v>
      </c>
      <c r="D482" t="inlineStr">
        <is>
          <t>JÖNKÖPINGS LÄN</t>
        </is>
      </c>
      <c r="E482" t="inlineStr">
        <is>
          <t>JÖNKÖPING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54870-2018</t>
        </is>
      </c>
      <c r="B483" s="1" t="n">
        <v>43396</v>
      </c>
      <c r="C483" s="1" t="n">
        <v>45186</v>
      </c>
      <c r="D483" t="inlineStr">
        <is>
          <t>JÖNKÖPINGS LÄN</t>
        </is>
      </c>
      <c r="E483" t="inlineStr">
        <is>
          <t>JÖNKÖPING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54932-2018</t>
        </is>
      </c>
      <c r="B484" s="1" t="n">
        <v>43396</v>
      </c>
      <c r="C484" s="1" t="n">
        <v>45186</v>
      </c>
      <c r="D484" t="inlineStr">
        <is>
          <t>JÖNKÖPINGS LÄN</t>
        </is>
      </c>
      <c r="E484" t="inlineStr">
        <is>
          <t>JÖNKÖPING</t>
        </is>
      </c>
      <c r="G484" t="n">
        <v>13.3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57123-2018</t>
        </is>
      </c>
      <c r="B485" s="1" t="n">
        <v>43396</v>
      </c>
      <c r="C485" s="1" t="n">
        <v>45186</v>
      </c>
      <c r="D485" t="inlineStr">
        <is>
          <t>JÖNKÖPINGS LÄN</t>
        </is>
      </c>
      <c r="E485" t="inlineStr">
        <is>
          <t>SÄVSJÖ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54820-2018</t>
        </is>
      </c>
      <c r="B486" s="1" t="n">
        <v>43396</v>
      </c>
      <c r="C486" s="1" t="n">
        <v>45186</v>
      </c>
      <c r="D486" t="inlineStr">
        <is>
          <t>JÖNKÖPINGS LÄN</t>
        </is>
      </c>
      <c r="E486" t="inlineStr">
        <is>
          <t>HABO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54919-2018</t>
        </is>
      </c>
      <c r="B487" s="1" t="n">
        <v>43396</v>
      </c>
      <c r="C487" s="1" t="n">
        <v>45186</v>
      </c>
      <c r="D487" t="inlineStr">
        <is>
          <t>JÖNKÖPINGS LÄN</t>
        </is>
      </c>
      <c r="E487" t="inlineStr">
        <is>
          <t>JÖNKÖPING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57180-2018</t>
        </is>
      </c>
      <c r="B488" s="1" t="n">
        <v>43396</v>
      </c>
      <c r="C488" s="1" t="n">
        <v>45186</v>
      </c>
      <c r="D488" t="inlineStr">
        <is>
          <t>JÖNKÖPINGS LÄN</t>
        </is>
      </c>
      <c r="E488" t="inlineStr">
        <is>
          <t>VÄRNAMO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57507-2018</t>
        </is>
      </c>
      <c r="B489" s="1" t="n">
        <v>43397</v>
      </c>
      <c r="C489" s="1" t="n">
        <v>45186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57531-2018</t>
        </is>
      </c>
      <c r="B490" s="1" t="n">
        <v>43397</v>
      </c>
      <c r="C490" s="1" t="n">
        <v>45186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57741-2018</t>
        </is>
      </c>
      <c r="B491" s="1" t="n">
        <v>43397</v>
      </c>
      <c r="C491" s="1" t="n">
        <v>45186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57525-2018</t>
        </is>
      </c>
      <c r="B492" s="1" t="n">
        <v>43397</v>
      </c>
      <c r="C492" s="1" t="n">
        <v>45186</v>
      </c>
      <c r="D492" t="inlineStr">
        <is>
          <t>JÖNKÖPINGS LÄN</t>
        </is>
      </c>
      <c r="E492" t="inlineStr">
        <is>
          <t>SÄVSJÖ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57712-2018</t>
        </is>
      </c>
      <c r="B493" s="1" t="n">
        <v>43397</v>
      </c>
      <c r="C493" s="1" t="n">
        <v>45186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55938-2018</t>
        </is>
      </c>
      <c r="B494" s="1" t="n">
        <v>43398</v>
      </c>
      <c r="C494" s="1" t="n">
        <v>45186</v>
      </c>
      <c r="D494" t="inlineStr">
        <is>
          <t>JÖNKÖPINGS LÄN</t>
        </is>
      </c>
      <c r="E494" t="inlineStr">
        <is>
          <t>TRANÅS</t>
        </is>
      </c>
      <c r="F494" t="inlineStr">
        <is>
          <t>Kommuner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55972-2018</t>
        </is>
      </c>
      <c r="B495" s="1" t="n">
        <v>43398</v>
      </c>
      <c r="C495" s="1" t="n">
        <v>45186</v>
      </c>
      <c r="D495" t="inlineStr">
        <is>
          <t>JÖNKÖPINGS LÄN</t>
        </is>
      </c>
      <c r="E495" t="inlineStr">
        <is>
          <t>EKSJÖ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58393-2018</t>
        </is>
      </c>
      <c r="B496" s="1" t="n">
        <v>43398</v>
      </c>
      <c r="C496" s="1" t="n">
        <v>45186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55796-2018</t>
        </is>
      </c>
      <c r="B497" s="1" t="n">
        <v>43398</v>
      </c>
      <c r="C497" s="1" t="n">
        <v>45186</v>
      </c>
      <c r="D497" t="inlineStr">
        <is>
          <t>JÖNKÖPINGS LÄN</t>
        </is>
      </c>
      <c r="E497" t="inlineStr">
        <is>
          <t>ANEBY</t>
        </is>
      </c>
      <c r="G497" t="n">
        <v>14.1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56080-2018</t>
        </is>
      </c>
      <c r="B498" s="1" t="n">
        <v>43398</v>
      </c>
      <c r="C498" s="1" t="n">
        <v>45186</v>
      </c>
      <c r="D498" t="inlineStr">
        <is>
          <t>JÖNKÖPINGS LÄN</t>
        </is>
      </c>
      <c r="E498" t="inlineStr">
        <is>
          <t>EKSJÖ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58416-2018</t>
        </is>
      </c>
      <c r="B499" s="1" t="n">
        <v>43398</v>
      </c>
      <c r="C499" s="1" t="n">
        <v>45186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58099-2018</t>
        </is>
      </c>
      <c r="B500" s="1" t="n">
        <v>43398</v>
      </c>
      <c r="C500" s="1" t="n">
        <v>45186</v>
      </c>
      <c r="D500" t="inlineStr">
        <is>
          <t>JÖNKÖPINGS LÄN</t>
        </is>
      </c>
      <c r="E500" t="inlineStr">
        <is>
          <t>NÄSSJÖ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58412-2018</t>
        </is>
      </c>
      <c r="B501" s="1" t="n">
        <v>43398</v>
      </c>
      <c r="C501" s="1" t="n">
        <v>45186</v>
      </c>
      <c r="D501" t="inlineStr">
        <is>
          <t>JÖNKÖPINGS LÄN</t>
        </is>
      </c>
      <c r="E501" t="inlineStr">
        <is>
          <t>GNOSJÖ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56207-2018</t>
        </is>
      </c>
      <c r="B502" s="1" t="n">
        <v>43399</v>
      </c>
      <c r="C502" s="1" t="n">
        <v>45186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56359-2018</t>
        </is>
      </c>
      <c r="B503" s="1" t="n">
        <v>43399</v>
      </c>
      <c r="C503" s="1" t="n">
        <v>45186</v>
      </c>
      <c r="D503" t="inlineStr">
        <is>
          <t>JÖNKÖPINGS LÄN</t>
        </is>
      </c>
      <c r="E503" t="inlineStr">
        <is>
          <t>EKSJÖ</t>
        </is>
      </c>
      <c r="G503" t="n">
        <v>16.3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56456-2018</t>
        </is>
      </c>
      <c r="B504" s="1" t="n">
        <v>43399</v>
      </c>
      <c r="C504" s="1" t="n">
        <v>45186</v>
      </c>
      <c r="D504" t="inlineStr">
        <is>
          <t>JÖNKÖPINGS LÄN</t>
        </is>
      </c>
      <c r="E504" t="inlineStr">
        <is>
          <t>JÖNKÖPING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56306-2018</t>
        </is>
      </c>
      <c r="B505" s="1" t="n">
        <v>43399</v>
      </c>
      <c r="C505" s="1" t="n">
        <v>45186</v>
      </c>
      <c r="D505" t="inlineStr">
        <is>
          <t>JÖNKÖPINGS LÄN</t>
        </is>
      </c>
      <c r="E505" t="inlineStr">
        <is>
          <t>JÖNKÖPING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58885-2018</t>
        </is>
      </c>
      <c r="B506" s="1" t="n">
        <v>43399</v>
      </c>
      <c r="C506" s="1" t="n">
        <v>45186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Kommuner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56303-2018</t>
        </is>
      </c>
      <c r="B507" s="1" t="n">
        <v>43399</v>
      </c>
      <c r="C507" s="1" t="n">
        <v>45186</v>
      </c>
      <c r="D507" t="inlineStr">
        <is>
          <t>JÖNKÖPINGS LÄN</t>
        </is>
      </c>
      <c r="E507" t="inlineStr">
        <is>
          <t>JÖNKÖPING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56520-2018</t>
        </is>
      </c>
      <c r="B508" s="1" t="n">
        <v>43401</v>
      </c>
      <c r="C508" s="1" t="n">
        <v>45186</v>
      </c>
      <c r="D508" t="inlineStr">
        <is>
          <t>JÖNKÖPINGS LÄN</t>
        </is>
      </c>
      <c r="E508" t="inlineStr">
        <is>
          <t>EKSJÖ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57366-2018</t>
        </is>
      </c>
      <c r="B509" s="1" t="n">
        <v>43402</v>
      </c>
      <c r="C509" s="1" t="n">
        <v>45186</v>
      </c>
      <c r="D509" t="inlineStr">
        <is>
          <t>JÖNKÖPINGS LÄN</t>
        </is>
      </c>
      <c r="E509" t="inlineStr">
        <is>
          <t>GISLAVED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58991-2018</t>
        </is>
      </c>
      <c r="B510" s="1" t="n">
        <v>43402</v>
      </c>
      <c r="C510" s="1" t="n">
        <v>45186</v>
      </c>
      <c r="D510" t="inlineStr">
        <is>
          <t>JÖNKÖPINGS LÄN</t>
        </is>
      </c>
      <c r="E510" t="inlineStr">
        <is>
          <t>VETLANDA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59247-2018</t>
        </is>
      </c>
      <c r="B511" s="1" t="n">
        <v>43403</v>
      </c>
      <c r="C511" s="1" t="n">
        <v>45186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59078-2018</t>
        </is>
      </c>
      <c r="B512" s="1" t="n">
        <v>43403</v>
      </c>
      <c r="C512" s="1" t="n">
        <v>45186</v>
      </c>
      <c r="D512" t="inlineStr">
        <is>
          <t>JÖNKÖPINGS LÄN</t>
        </is>
      </c>
      <c r="E512" t="inlineStr">
        <is>
          <t>VÄRNAMO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59154-2018</t>
        </is>
      </c>
      <c r="B513" s="1" t="n">
        <v>43403</v>
      </c>
      <c r="C513" s="1" t="n">
        <v>45186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59244-2018</t>
        </is>
      </c>
      <c r="B514" s="1" t="n">
        <v>43403</v>
      </c>
      <c r="C514" s="1" t="n">
        <v>45186</v>
      </c>
      <c r="D514" t="inlineStr">
        <is>
          <t>JÖNKÖPINGS LÄN</t>
        </is>
      </c>
      <c r="E514" t="inlineStr">
        <is>
          <t>VETLANDA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59249-2018</t>
        </is>
      </c>
      <c r="B515" s="1" t="n">
        <v>43403</v>
      </c>
      <c r="C515" s="1" t="n">
        <v>45186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59273-2018</t>
        </is>
      </c>
      <c r="B516" s="1" t="n">
        <v>43403</v>
      </c>
      <c r="C516" s="1" t="n">
        <v>45186</v>
      </c>
      <c r="D516" t="inlineStr">
        <is>
          <t>JÖNKÖPINGS LÄN</t>
        </is>
      </c>
      <c r="E516" t="inlineStr">
        <is>
          <t>VAGGERYD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57681-2018</t>
        </is>
      </c>
      <c r="B517" s="1" t="n">
        <v>43405</v>
      </c>
      <c r="C517" s="1" t="n">
        <v>45186</v>
      </c>
      <c r="D517" t="inlineStr">
        <is>
          <t>JÖNKÖPINGS LÄN</t>
        </is>
      </c>
      <c r="E517" t="inlineStr">
        <is>
          <t>JÖNKÖPING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57939-2018</t>
        </is>
      </c>
      <c r="B518" s="1" t="n">
        <v>43405</v>
      </c>
      <c r="C518" s="1" t="n">
        <v>45186</v>
      </c>
      <c r="D518" t="inlineStr">
        <is>
          <t>JÖNKÖPINGS LÄN</t>
        </is>
      </c>
      <c r="E518" t="inlineStr">
        <is>
          <t>VAGGERYD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60379-2018</t>
        </is>
      </c>
      <c r="B519" s="1" t="n">
        <v>43405</v>
      </c>
      <c r="C519" s="1" t="n">
        <v>45186</v>
      </c>
      <c r="D519" t="inlineStr">
        <is>
          <t>JÖNKÖPINGS LÄN</t>
        </is>
      </c>
      <c r="E519" t="inlineStr">
        <is>
          <t>VÄRNAMO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57801-2018</t>
        </is>
      </c>
      <c r="B520" s="1" t="n">
        <v>43405</v>
      </c>
      <c r="C520" s="1" t="n">
        <v>45186</v>
      </c>
      <c r="D520" t="inlineStr">
        <is>
          <t>JÖNKÖPINGS LÄN</t>
        </is>
      </c>
      <c r="E520" t="inlineStr">
        <is>
          <t>VAGGERYD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57886-2018</t>
        </is>
      </c>
      <c r="B521" s="1" t="n">
        <v>43405</v>
      </c>
      <c r="C521" s="1" t="n">
        <v>45186</v>
      </c>
      <c r="D521" t="inlineStr">
        <is>
          <t>JÖNKÖPINGS LÄN</t>
        </is>
      </c>
      <c r="E521" t="inlineStr">
        <is>
          <t>JÖNKÖPING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57953-2018</t>
        </is>
      </c>
      <c r="B522" s="1" t="n">
        <v>43405</v>
      </c>
      <c r="C522" s="1" t="n">
        <v>45186</v>
      </c>
      <c r="D522" t="inlineStr">
        <is>
          <t>JÖNKÖPINGS LÄN</t>
        </is>
      </c>
      <c r="E522" t="inlineStr">
        <is>
          <t>VETLANDA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57982-2018</t>
        </is>
      </c>
      <c r="B523" s="1" t="n">
        <v>43405</v>
      </c>
      <c r="C523" s="1" t="n">
        <v>45186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60527-2018</t>
        </is>
      </c>
      <c r="B524" s="1" t="n">
        <v>43406</v>
      </c>
      <c r="C524" s="1" t="n">
        <v>45186</v>
      </c>
      <c r="D524" t="inlineStr">
        <is>
          <t>JÖNKÖPINGS LÄN</t>
        </is>
      </c>
      <c r="E524" t="inlineStr">
        <is>
          <t>VAGGERYD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60525-2018</t>
        </is>
      </c>
      <c r="B525" s="1" t="n">
        <v>43406</v>
      </c>
      <c r="C525" s="1" t="n">
        <v>45186</v>
      </c>
      <c r="D525" t="inlineStr">
        <is>
          <t>JÖNKÖPINGS LÄN</t>
        </is>
      </c>
      <c r="E525" t="inlineStr">
        <is>
          <t>VAGGERYD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60689-2018</t>
        </is>
      </c>
      <c r="B526" s="1" t="n">
        <v>43409</v>
      </c>
      <c r="C526" s="1" t="n">
        <v>45186</v>
      </c>
      <c r="D526" t="inlineStr">
        <is>
          <t>JÖNKÖPINGS LÄN</t>
        </is>
      </c>
      <c r="E526" t="inlineStr">
        <is>
          <t>TRANÅS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60589-2018</t>
        </is>
      </c>
      <c r="B527" s="1" t="n">
        <v>43409</v>
      </c>
      <c r="C527" s="1" t="n">
        <v>45186</v>
      </c>
      <c r="D527" t="inlineStr">
        <is>
          <t>JÖNKÖPINGS LÄN</t>
        </is>
      </c>
      <c r="E527" t="inlineStr">
        <is>
          <t>SÄVSJÖ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58472-2018</t>
        </is>
      </c>
      <c r="B528" s="1" t="n">
        <v>43409</v>
      </c>
      <c r="C528" s="1" t="n">
        <v>45186</v>
      </c>
      <c r="D528" t="inlineStr">
        <is>
          <t>JÖNKÖPINGS LÄN</t>
        </is>
      </c>
      <c r="E528" t="inlineStr">
        <is>
          <t>VETLANDA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60745-2018</t>
        </is>
      </c>
      <c r="B529" s="1" t="n">
        <v>43409</v>
      </c>
      <c r="C529" s="1" t="n">
        <v>45186</v>
      </c>
      <c r="D529" t="inlineStr">
        <is>
          <t>JÖNKÖPINGS LÄN</t>
        </is>
      </c>
      <c r="E529" t="inlineStr">
        <is>
          <t>VÄRNAMO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58269-2018</t>
        </is>
      </c>
      <c r="B530" s="1" t="n">
        <v>43409</v>
      </c>
      <c r="C530" s="1" t="n">
        <v>45186</v>
      </c>
      <c r="D530" t="inlineStr">
        <is>
          <t>JÖNKÖPINGS LÄN</t>
        </is>
      </c>
      <c r="E530" t="inlineStr">
        <is>
          <t>JÖNKÖPING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60709-2018</t>
        </is>
      </c>
      <c r="B531" s="1" t="n">
        <v>43409</v>
      </c>
      <c r="C531" s="1" t="n">
        <v>45186</v>
      </c>
      <c r="D531" t="inlineStr">
        <is>
          <t>JÖNKÖPINGS LÄN</t>
        </is>
      </c>
      <c r="E531" t="inlineStr">
        <is>
          <t>SÄVSJÖ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60719-2018</t>
        </is>
      </c>
      <c r="B532" s="1" t="n">
        <v>43409</v>
      </c>
      <c r="C532" s="1" t="n">
        <v>45186</v>
      </c>
      <c r="D532" t="inlineStr">
        <is>
          <t>JÖNKÖPINGS LÄN</t>
        </is>
      </c>
      <c r="E532" t="inlineStr">
        <is>
          <t>SÄVSJÖ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58725-2018</t>
        </is>
      </c>
      <c r="B533" s="1" t="n">
        <v>43410</v>
      </c>
      <c r="C533" s="1" t="n">
        <v>45186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60783-2018</t>
        </is>
      </c>
      <c r="B534" s="1" t="n">
        <v>43410</v>
      </c>
      <c r="C534" s="1" t="n">
        <v>45186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60804-2018</t>
        </is>
      </c>
      <c r="B535" s="1" t="n">
        <v>43410</v>
      </c>
      <c r="C535" s="1" t="n">
        <v>45186</v>
      </c>
      <c r="D535" t="inlineStr">
        <is>
          <t>JÖNKÖPINGS LÄN</t>
        </is>
      </c>
      <c r="E535" t="inlineStr">
        <is>
          <t>ANEBY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60784-2018</t>
        </is>
      </c>
      <c r="B536" s="1" t="n">
        <v>43410</v>
      </c>
      <c r="C536" s="1" t="n">
        <v>45186</v>
      </c>
      <c r="D536" t="inlineStr">
        <is>
          <t>JÖNKÖPINGS LÄN</t>
        </is>
      </c>
      <c r="E536" t="inlineStr">
        <is>
          <t>VÄRNAMO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58720-2018</t>
        </is>
      </c>
      <c r="B537" s="1" t="n">
        <v>43410</v>
      </c>
      <c r="C537" s="1" t="n">
        <v>45186</v>
      </c>
      <c r="D537" t="inlineStr">
        <is>
          <t>JÖNKÖPINGS LÄN</t>
        </is>
      </c>
      <c r="E537" t="inlineStr">
        <is>
          <t>VETLANDA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58827-2018</t>
        </is>
      </c>
      <c r="B538" s="1" t="n">
        <v>43410</v>
      </c>
      <c r="C538" s="1" t="n">
        <v>45186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59792-2018</t>
        </is>
      </c>
      <c r="B539" s="1" t="n">
        <v>43411</v>
      </c>
      <c r="C539" s="1" t="n">
        <v>45186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59743-2018</t>
        </is>
      </c>
      <c r="B540" s="1" t="n">
        <v>43411</v>
      </c>
      <c r="C540" s="1" t="n">
        <v>45186</v>
      </c>
      <c r="D540" t="inlineStr">
        <is>
          <t>JÖNKÖPINGS LÄN</t>
        </is>
      </c>
      <c r="E540" t="inlineStr">
        <is>
          <t>NÄSSJÖ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59814-2018</t>
        </is>
      </c>
      <c r="B541" s="1" t="n">
        <v>43411</v>
      </c>
      <c r="C541" s="1" t="n">
        <v>45186</v>
      </c>
      <c r="D541" t="inlineStr">
        <is>
          <t>JÖNKÖPINGS LÄN</t>
        </is>
      </c>
      <c r="E541" t="inlineStr">
        <is>
          <t>JÖNKÖPING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59107-2018</t>
        </is>
      </c>
      <c r="B542" s="1" t="n">
        <v>43411</v>
      </c>
      <c r="C542" s="1" t="n">
        <v>45186</v>
      </c>
      <c r="D542" t="inlineStr">
        <is>
          <t>JÖNKÖPINGS LÄN</t>
        </is>
      </c>
      <c r="E542" t="inlineStr">
        <is>
          <t>MULLSJÖ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59130-2018</t>
        </is>
      </c>
      <c r="B543" s="1" t="n">
        <v>43411</v>
      </c>
      <c r="C543" s="1" t="n">
        <v>45186</v>
      </c>
      <c r="D543" t="inlineStr">
        <is>
          <t>JÖNKÖPINGS LÄN</t>
        </is>
      </c>
      <c r="E543" t="inlineStr">
        <is>
          <t>GNOSJÖ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59822-2018</t>
        </is>
      </c>
      <c r="B544" s="1" t="n">
        <v>43411</v>
      </c>
      <c r="C544" s="1" t="n">
        <v>45186</v>
      </c>
      <c r="D544" t="inlineStr">
        <is>
          <t>JÖNKÖPINGS LÄN</t>
        </is>
      </c>
      <c r="E544" t="inlineStr">
        <is>
          <t>GISLAVED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60875-2018</t>
        </is>
      </c>
      <c r="B545" s="1" t="n">
        <v>43411</v>
      </c>
      <c r="C545" s="1" t="n">
        <v>45186</v>
      </c>
      <c r="D545" t="inlineStr">
        <is>
          <t>JÖNKÖPINGS LÄN</t>
        </is>
      </c>
      <c r="E545" t="inlineStr">
        <is>
          <t>NÄSSJÖ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60968-2018</t>
        </is>
      </c>
      <c r="B546" s="1" t="n">
        <v>43411</v>
      </c>
      <c r="C546" s="1" t="n">
        <v>45186</v>
      </c>
      <c r="D546" t="inlineStr">
        <is>
          <t>JÖNKÖPINGS LÄN</t>
        </is>
      </c>
      <c r="E546" t="inlineStr">
        <is>
          <t>NÄSSJÖ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61103-2018</t>
        </is>
      </c>
      <c r="B547" s="1" t="n">
        <v>43411</v>
      </c>
      <c r="C547" s="1" t="n">
        <v>45186</v>
      </c>
      <c r="D547" t="inlineStr">
        <is>
          <t>JÖNKÖPINGS LÄN</t>
        </is>
      </c>
      <c r="E547" t="inlineStr">
        <is>
          <t>GISLAVED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61242-2018</t>
        </is>
      </c>
      <c r="B548" s="1" t="n">
        <v>43411</v>
      </c>
      <c r="C548" s="1" t="n">
        <v>45186</v>
      </c>
      <c r="D548" t="inlineStr">
        <is>
          <t>JÖNKÖPINGS LÄN</t>
        </is>
      </c>
      <c r="E548" t="inlineStr">
        <is>
          <t>EKSJÖ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59707-2018</t>
        </is>
      </c>
      <c r="B549" s="1" t="n">
        <v>43411</v>
      </c>
      <c r="C549" s="1" t="n">
        <v>45186</v>
      </c>
      <c r="D549" t="inlineStr">
        <is>
          <t>JÖNKÖPINGS LÄN</t>
        </is>
      </c>
      <c r="E549" t="inlineStr">
        <is>
          <t>JÖNKÖPING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59816-2018</t>
        </is>
      </c>
      <c r="B550" s="1" t="n">
        <v>43411</v>
      </c>
      <c r="C550" s="1" t="n">
        <v>45186</v>
      </c>
      <c r="D550" t="inlineStr">
        <is>
          <t>JÖNKÖPINGS LÄN</t>
        </is>
      </c>
      <c r="E550" t="inlineStr">
        <is>
          <t>MULLSJÖ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60860-2018</t>
        </is>
      </c>
      <c r="B551" s="1" t="n">
        <v>43411</v>
      </c>
      <c r="C551" s="1" t="n">
        <v>45186</v>
      </c>
      <c r="D551" t="inlineStr">
        <is>
          <t>JÖNKÖPINGS LÄN</t>
        </is>
      </c>
      <c r="E551" t="inlineStr">
        <is>
          <t>MULLSJÖ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58974-2018</t>
        </is>
      </c>
      <c r="B552" s="1" t="n">
        <v>43412</v>
      </c>
      <c r="C552" s="1" t="n">
        <v>45186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60063-2018</t>
        </is>
      </c>
      <c r="B553" s="1" t="n">
        <v>43412</v>
      </c>
      <c r="C553" s="1" t="n">
        <v>45186</v>
      </c>
      <c r="D553" t="inlineStr">
        <is>
          <t>JÖNKÖPINGS LÄN</t>
        </is>
      </c>
      <c r="E553" t="inlineStr">
        <is>
          <t>ANEBY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60231-2018</t>
        </is>
      </c>
      <c r="B554" s="1" t="n">
        <v>43412</v>
      </c>
      <c r="C554" s="1" t="n">
        <v>45186</v>
      </c>
      <c r="D554" t="inlineStr">
        <is>
          <t>JÖNKÖPINGS LÄN</t>
        </is>
      </c>
      <c r="E554" t="inlineStr">
        <is>
          <t>SÄVSJÖ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65409-2018</t>
        </is>
      </c>
      <c r="B555" s="1" t="n">
        <v>43412</v>
      </c>
      <c r="C555" s="1" t="n">
        <v>45186</v>
      </c>
      <c r="D555" t="inlineStr">
        <is>
          <t>JÖNKÖPINGS LÄN</t>
        </is>
      </c>
      <c r="E555" t="inlineStr">
        <is>
          <t>NÄSSJÖ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58985-2018</t>
        </is>
      </c>
      <c r="B556" s="1" t="n">
        <v>43412</v>
      </c>
      <c r="C556" s="1" t="n">
        <v>45186</v>
      </c>
      <c r="D556" t="inlineStr">
        <is>
          <t>JÖNKÖPINGS LÄN</t>
        </is>
      </c>
      <c r="E556" t="inlineStr">
        <is>
          <t>SÄVSJÖ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60067-2018</t>
        </is>
      </c>
      <c r="B557" s="1" t="n">
        <v>43412</v>
      </c>
      <c r="C557" s="1" t="n">
        <v>45186</v>
      </c>
      <c r="D557" t="inlineStr">
        <is>
          <t>JÖNKÖPINGS LÄN</t>
        </is>
      </c>
      <c r="E557" t="inlineStr">
        <is>
          <t>VETLANDA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61350-2018</t>
        </is>
      </c>
      <c r="B558" s="1" t="n">
        <v>43412</v>
      </c>
      <c r="C558" s="1" t="n">
        <v>45186</v>
      </c>
      <c r="D558" t="inlineStr">
        <is>
          <t>JÖNKÖPINGS LÄN</t>
        </is>
      </c>
      <c r="E558" t="inlineStr">
        <is>
          <t>VAGGERYD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60029-2018</t>
        </is>
      </c>
      <c r="B559" s="1" t="n">
        <v>43412</v>
      </c>
      <c r="C559" s="1" t="n">
        <v>45186</v>
      </c>
      <c r="D559" t="inlineStr">
        <is>
          <t>JÖNKÖPINGS LÄN</t>
        </is>
      </c>
      <c r="E559" t="inlineStr">
        <is>
          <t>ANEBY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60317-2018</t>
        </is>
      </c>
      <c r="B560" s="1" t="n">
        <v>43413</v>
      </c>
      <c r="C560" s="1" t="n">
        <v>45186</v>
      </c>
      <c r="D560" t="inlineStr">
        <is>
          <t>JÖNKÖPINGS LÄN</t>
        </is>
      </c>
      <c r="E560" t="inlineStr">
        <is>
          <t>SÄVSJÖ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61243-2018</t>
        </is>
      </c>
      <c r="B561" s="1" t="n">
        <v>43413</v>
      </c>
      <c r="C561" s="1" t="n">
        <v>45186</v>
      </c>
      <c r="D561" t="inlineStr">
        <is>
          <t>JÖNKÖPINGS LÄN</t>
        </is>
      </c>
      <c r="E561" t="inlineStr">
        <is>
          <t>SÄVSJÖ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61842-2018</t>
        </is>
      </c>
      <c r="B562" s="1" t="n">
        <v>43413</v>
      </c>
      <c r="C562" s="1" t="n">
        <v>45186</v>
      </c>
      <c r="D562" t="inlineStr">
        <is>
          <t>JÖNKÖPINGS LÄN</t>
        </is>
      </c>
      <c r="E562" t="inlineStr">
        <is>
          <t>JÖNKÖPING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60287-2018</t>
        </is>
      </c>
      <c r="B563" s="1" t="n">
        <v>43413</v>
      </c>
      <c r="C563" s="1" t="n">
        <v>45186</v>
      </c>
      <c r="D563" t="inlineStr">
        <is>
          <t>JÖNKÖPINGS LÄN</t>
        </is>
      </c>
      <c r="E563" t="inlineStr">
        <is>
          <t>EKSJÖ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61584-2018</t>
        </is>
      </c>
      <c r="B564" s="1" t="n">
        <v>43413</v>
      </c>
      <c r="C564" s="1" t="n">
        <v>45186</v>
      </c>
      <c r="D564" t="inlineStr">
        <is>
          <t>JÖNKÖPINGS LÄN</t>
        </is>
      </c>
      <c r="E564" t="inlineStr">
        <is>
          <t>HABO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60147-2018</t>
        </is>
      </c>
      <c r="B565" s="1" t="n">
        <v>43413</v>
      </c>
      <c r="C565" s="1" t="n">
        <v>45186</v>
      </c>
      <c r="D565" t="inlineStr">
        <is>
          <t>JÖNKÖPINGS LÄN</t>
        </is>
      </c>
      <c r="E565" t="inlineStr">
        <is>
          <t>JÖNKÖPING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61239-2018</t>
        </is>
      </c>
      <c r="B566" s="1" t="n">
        <v>43413</v>
      </c>
      <c r="C566" s="1" t="n">
        <v>45186</v>
      </c>
      <c r="D566" t="inlineStr">
        <is>
          <t>JÖNKÖPINGS LÄN</t>
        </is>
      </c>
      <c r="E566" t="inlineStr">
        <is>
          <t>SÄVSJÖ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62511-2018</t>
        </is>
      </c>
      <c r="B567" s="1" t="n">
        <v>43414</v>
      </c>
      <c r="C567" s="1" t="n">
        <v>45186</v>
      </c>
      <c r="D567" t="inlineStr">
        <is>
          <t>JÖNKÖPINGS LÄN</t>
        </is>
      </c>
      <c r="E567" t="inlineStr">
        <is>
          <t>NÄSSJÖ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62445-2018</t>
        </is>
      </c>
      <c r="B568" s="1" t="n">
        <v>43415</v>
      </c>
      <c r="C568" s="1" t="n">
        <v>45186</v>
      </c>
      <c r="D568" t="inlineStr">
        <is>
          <t>JÖNKÖPINGS LÄN</t>
        </is>
      </c>
      <c r="E568" t="inlineStr">
        <is>
          <t>VETLANDA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62486-2018</t>
        </is>
      </c>
      <c r="B569" s="1" t="n">
        <v>43415</v>
      </c>
      <c r="C569" s="1" t="n">
        <v>45186</v>
      </c>
      <c r="D569" t="inlineStr">
        <is>
          <t>JÖNKÖPINGS LÄN</t>
        </is>
      </c>
      <c r="E569" t="inlineStr">
        <is>
          <t>VÄRNAMO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62489-2018</t>
        </is>
      </c>
      <c r="B570" s="1" t="n">
        <v>43415</v>
      </c>
      <c r="C570" s="1" t="n">
        <v>45186</v>
      </c>
      <c r="D570" t="inlineStr">
        <is>
          <t>JÖNKÖPINGS LÄN</t>
        </is>
      </c>
      <c r="E570" t="inlineStr">
        <is>
          <t>EKSJÖ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62437-2018</t>
        </is>
      </c>
      <c r="B571" s="1" t="n">
        <v>43416</v>
      </c>
      <c r="C571" s="1" t="n">
        <v>45186</v>
      </c>
      <c r="D571" t="inlineStr">
        <is>
          <t>JÖNKÖPINGS LÄN</t>
        </is>
      </c>
      <c r="E571" t="inlineStr">
        <is>
          <t>NÄSSJÖ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62077-2018</t>
        </is>
      </c>
      <c r="B572" s="1" t="n">
        <v>43416</v>
      </c>
      <c r="C572" s="1" t="n">
        <v>45186</v>
      </c>
      <c r="D572" t="inlineStr">
        <is>
          <t>JÖNKÖPINGS LÄN</t>
        </is>
      </c>
      <c r="E572" t="inlineStr">
        <is>
          <t>VETLANDA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62013-2018</t>
        </is>
      </c>
      <c r="B573" s="1" t="n">
        <v>43416</v>
      </c>
      <c r="C573" s="1" t="n">
        <v>45186</v>
      </c>
      <c r="D573" t="inlineStr">
        <is>
          <t>JÖNKÖPINGS LÄN</t>
        </is>
      </c>
      <c r="E573" t="inlineStr">
        <is>
          <t>GISLAVED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62067-2018</t>
        </is>
      </c>
      <c r="B574" s="1" t="n">
        <v>43416</v>
      </c>
      <c r="C574" s="1" t="n">
        <v>45186</v>
      </c>
      <c r="D574" t="inlineStr">
        <is>
          <t>JÖNKÖPINGS LÄN</t>
        </is>
      </c>
      <c r="E574" t="inlineStr">
        <is>
          <t>NÄSSJÖ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62797-2018</t>
        </is>
      </c>
      <c r="B575" s="1" t="n">
        <v>43417</v>
      </c>
      <c r="C575" s="1" t="n">
        <v>45186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61953-2018</t>
        </is>
      </c>
      <c r="B576" s="1" t="n">
        <v>43417</v>
      </c>
      <c r="C576" s="1" t="n">
        <v>45186</v>
      </c>
      <c r="D576" t="inlineStr">
        <is>
          <t>JÖNKÖPINGS LÄN</t>
        </is>
      </c>
      <c r="E576" t="inlineStr">
        <is>
          <t>GNOSJÖ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61985-2018</t>
        </is>
      </c>
      <c r="B577" s="1" t="n">
        <v>43417</v>
      </c>
      <c r="C577" s="1" t="n">
        <v>45186</v>
      </c>
      <c r="D577" t="inlineStr">
        <is>
          <t>JÖNKÖPINGS LÄN</t>
        </is>
      </c>
      <c r="E577" t="inlineStr">
        <is>
          <t>VÄRNAMO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62773-2018</t>
        </is>
      </c>
      <c r="B578" s="1" t="n">
        <v>43417</v>
      </c>
      <c r="C578" s="1" t="n">
        <v>45186</v>
      </c>
      <c r="D578" t="inlineStr">
        <is>
          <t>JÖNKÖPINGS LÄN</t>
        </is>
      </c>
      <c r="E578" t="inlineStr">
        <is>
          <t>VETLANDA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61957-2018</t>
        </is>
      </c>
      <c r="B579" s="1" t="n">
        <v>43417</v>
      </c>
      <c r="C579" s="1" t="n">
        <v>45186</v>
      </c>
      <c r="D579" t="inlineStr">
        <is>
          <t>JÖNKÖPINGS LÄN</t>
        </is>
      </c>
      <c r="E579" t="inlineStr">
        <is>
          <t>EKSJÖ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63223-2018</t>
        </is>
      </c>
      <c r="B580" s="1" t="n">
        <v>43417</v>
      </c>
      <c r="C580" s="1" t="n">
        <v>45186</v>
      </c>
      <c r="D580" t="inlineStr">
        <is>
          <t>JÖNKÖPINGS LÄN</t>
        </is>
      </c>
      <c r="E580" t="inlineStr">
        <is>
          <t>NÄSSJÖ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59337-2018</t>
        </is>
      </c>
      <c r="B581" s="1" t="n">
        <v>43418</v>
      </c>
      <c r="C581" s="1" t="n">
        <v>45186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59387-2018</t>
        </is>
      </c>
      <c r="B582" s="1" t="n">
        <v>43418</v>
      </c>
      <c r="C582" s="1" t="n">
        <v>45186</v>
      </c>
      <c r="D582" t="inlineStr">
        <is>
          <t>JÖNKÖPINGS LÄN</t>
        </is>
      </c>
      <c r="E582" t="inlineStr">
        <is>
          <t>NÄSSJÖ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63034-2018</t>
        </is>
      </c>
      <c r="B583" s="1" t="n">
        <v>43418</v>
      </c>
      <c r="C583" s="1" t="n">
        <v>45186</v>
      </c>
      <c r="D583" t="inlineStr">
        <is>
          <t>JÖNKÖPINGS LÄN</t>
        </is>
      </c>
      <c r="E583" t="inlineStr">
        <is>
          <t>GISLAVED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63039-2018</t>
        </is>
      </c>
      <c r="B584" s="1" t="n">
        <v>43418</v>
      </c>
      <c r="C584" s="1" t="n">
        <v>45186</v>
      </c>
      <c r="D584" t="inlineStr">
        <is>
          <t>JÖNKÖPINGS LÄN</t>
        </is>
      </c>
      <c r="E584" t="inlineStr">
        <is>
          <t>GISLAVED</t>
        </is>
      </c>
      <c r="G584" t="n">
        <v>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63059-2018</t>
        </is>
      </c>
      <c r="B585" s="1" t="n">
        <v>43418</v>
      </c>
      <c r="C585" s="1" t="n">
        <v>45186</v>
      </c>
      <c r="D585" t="inlineStr">
        <is>
          <t>JÖNKÖPINGS LÄN</t>
        </is>
      </c>
      <c r="E585" t="inlineStr">
        <is>
          <t>SÄVSJÖ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63130-2018</t>
        </is>
      </c>
      <c r="B586" s="1" t="n">
        <v>43418</v>
      </c>
      <c r="C586" s="1" t="n">
        <v>45186</v>
      </c>
      <c r="D586" t="inlineStr">
        <is>
          <t>JÖNKÖPINGS LÄN</t>
        </is>
      </c>
      <c r="E586" t="inlineStr">
        <is>
          <t>JÖNKÖPING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63140-2018</t>
        </is>
      </c>
      <c r="B587" s="1" t="n">
        <v>43418</v>
      </c>
      <c r="C587" s="1" t="n">
        <v>45186</v>
      </c>
      <c r="D587" t="inlineStr">
        <is>
          <t>JÖNKÖPINGS LÄN</t>
        </is>
      </c>
      <c r="E587" t="inlineStr">
        <is>
          <t>VAGGERYD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63149-2018</t>
        </is>
      </c>
      <c r="B588" s="1" t="n">
        <v>43418</v>
      </c>
      <c r="C588" s="1" t="n">
        <v>45186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63152-2018</t>
        </is>
      </c>
      <c r="B589" s="1" t="n">
        <v>43418</v>
      </c>
      <c r="C589" s="1" t="n">
        <v>45186</v>
      </c>
      <c r="D589" t="inlineStr">
        <is>
          <t>JÖNKÖPINGS LÄN</t>
        </is>
      </c>
      <c r="E589" t="inlineStr">
        <is>
          <t>VETLANDA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63746-2018</t>
        </is>
      </c>
      <c r="B590" s="1" t="n">
        <v>43418</v>
      </c>
      <c r="C590" s="1" t="n">
        <v>45186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63748-2018</t>
        </is>
      </c>
      <c r="B591" s="1" t="n">
        <v>43418</v>
      </c>
      <c r="C591" s="1" t="n">
        <v>45186</v>
      </c>
      <c r="D591" t="inlineStr">
        <is>
          <t>JÖNKÖPINGS LÄN</t>
        </is>
      </c>
      <c r="E591" t="inlineStr">
        <is>
          <t>GISLAVED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59722-2018</t>
        </is>
      </c>
      <c r="B592" s="1" t="n">
        <v>43419</v>
      </c>
      <c r="C592" s="1" t="n">
        <v>45186</v>
      </c>
      <c r="D592" t="inlineStr">
        <is>
          <t>JÖNKÖPINGS LÄN</t>
        </is>
      </c>
      <c r="E592" t="inlineStr">
        <is>
          <t>JÖNKÖPING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59951-2018</t>
        </is>
      </c>
      <c r="B593" s="1" t="n">
        <v>43419</v>
      </c>
      <c r="C593" s="1" t="n">
        <v>45186</v>
      </c>
      <c r="D593" t="inlineStr">
        <is>
          <t>JÖNKÖPINGS LÄN</t>
        </is>
      </c>
      <c r="E593" t="inlineStr">
        <is>
          <t>VÄRNAMO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64298-2018</t>
        </is>
      </c>
      <c r="B594" s="1" t="n">
        <v>43419</v>
      </c>
      <c r="C594" s="1" t="n">
        <v>45186</v>
      </c>
      <c r="D594" t="inlineStr">
        <is>
          <t>JÖNKÖPINGS LÄN</t>
        </is>
      </c>
      <c r="E594" t="inlineStr">
        <is>
          <t>VÄRNAMO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59501-2018</t>
        </is>
      </c>
      <c r="B595" s="1" t="n">
        <v>43419</v>
      </c>
      <c r="C595" s="1" t="n">
        <v>45186</v>
      </c>
      <c r="D595" t="inlineStr">
        <is>
          <t>JÖNKÖPINGS LÄN</t>
        </is>
      </c>
      <c r="E595" t="inlineStr">
        <is>
          <t>NÄSSJÖ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59760-2018</t>
        </is>
      </c>
      <c r="B596" s="1" t="n">
        <v>43419</v>
      </c>
      <c r="C596" s="1" t="n">
        <v>45186</v>
      </c>
      <c r="D596" t="inlineStr">
        <is>
          <t>JÖNKÖPINGS LÄN</t>
        </is>
      </c>
      <c r="E596" t="inlineStr">
        <is>
          <t>GISLAVED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64302-2018</t>
        </is>
      </c>
      <c r="B597" s="1" t="n">
        <v>43419</v>
      </c>
      <c r="C597" s="1" t="n">
        <v>45186</v>
      </c>
      <c r="D597" t="inlineStr">
        <is>
          <t>JÖNKÖPINGS LÄN</t>
        </is>
      </c>
      <c r="E597" t="inlineStr">
        <is>
          <t>GNOSJÖ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64328-2018</t>
        </is>
      </c>
      <c r="B598" s="1" t="n">
        <v>43419</v>
      </c>
      <c r="C598" s="1" t="n">
        <v>45186</v>
      </c>
      <c r="D598" t="inlineStr">
        <is>
          <t>JÖNKÖPINGS LÄN</t>
        </is>
      </c>
      <c r="E598" t="inlineStr">
        <is>
          <t>VETLANDA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59514-2018</t>
        </is>
      </c>
      <c r="B599" s="1" t="n">
        <v>43419</v>
      </c>
      <c r="C599" s="1" t="n">
        <v>45186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59532-2018</t>
        </is>
      </c>
      <c r="B600" s="1" t="n">
        <v>43419</v>
      </c>
      <c r="C600" s="1" t="n">
        <v>45186</v>
      </c>
      <c r="D600" t="inlineStr">
        <is>
          <t>JÖNKÖPINGS LÄN</t>
        </is>
      </c>
      <c r="E600" t="inlineStr">
        <is>
          <t>GISLAVED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59830-2018</t>
        </is>
      </c>
      <c r="B601" s="1" t="n">
        <v>43419</v>
      </c>
      <c r="C601" s="1" t="n">
        <v>45186</v>
      </c>
      <c r="D601" t="inlineStr">
        <is>
          <t>JÖNKÖPINGS LÄN</t>
        </is>
      </c>
      <c r="E601" t="inlineStr">
        <is>
          <t>GNOSJÖ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59471-2018</t>
        </is>
      </c>
      <c r="B602" s="1" t="n">
        <v>43419</v>
      </c>
      <c r="C602" s="1" t="n">
        <v>45186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59645-2018</t>
        </is>
      </c>
      <c r="B603" s="1" t="n">
        <v>43419</v>
      </c>
      <c r="C603" s="1" t="n">
        <v>45186</v>
      </c>
      <c r="D603" t="inlineStr">
        <is>
          <t>JÖNKÖPINGS LÄN</t>
        </is>
      </c>
      <c r="E603" t="inlineStr">
        <is>
          <t>GISLAVED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59883-2018</t>
        </is>
      </c>
      <c r="B604" s="1" t="n">
        <v>43419</v>
      </c>
      <c r="C604" s="1" t="n">
        <v>45186</v>
      </c>
      <c r="D604" t="inlineStr">
        <is>
          <t>JÖNKÖPINGS LÄN</t>
        </is>
      </c>
      <c r="E604" t="inlineStr">
        <is>
          <t>VÄRNAMO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65255-2018</t>
        </is>
      </c>
      <c r="B605" s="1" t="n">
        <v>43420</v>
      </c>
      <c r="C605" s="1" t="n">
        <v>45186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60486-2018</t>
        </is>
      </c>
      <c r="B606" s="1" t="n">
        <v>43420</v>
      </c>
      <c r="C606" s="1" t="n">
        <v>45186</v>
      </c>
      <c r="D606" t="inlineStr">
        <is>
          <t>JÖNKÖPINGS LÄN</t>
        </is>
      </c>
      <c r="E606" t="inlineStr">
        <is>
          <t>GISLAVED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64431-2018</t>
        </is>
      </c>
      <c r="B607" s="1" t="n">
        <v>43420</v>
      </c>
      <c r="C607" s="1" t="n">
        <v>45186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60503-2018</t>
        </is>
      </c>
      <c r="B608" s="1" t="n">
        <v>43420</v>
      </c>
      <c r="C608" s="1" t="n">
        <v>45186</v>
      </c>
      <c r="D608" t="inlineStr">
        <is>
          <t>JÖNKÖPINGS LÄN</t>
        </is>
      </c>
      <c r="E608" t="inlineStr">
        <is>
          <t>JÖNKÖPING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64650-2018</t>
        </is>
      </c>
      <c r="B609" s="1" t="n">
        <v>43420</v>
      </c>
      <c r="C609" s="1" t="n">
        <v>45186</v>
      </c>
      <c r="D609" t="inlineStr">
        <is>
          <t>JÖNKÖPINGS LÄN</t>
        </is>
      </c>
      <c r="E609" t="inlineStr">
        <is>
          <t>VÄRNAMO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64988-2018</t>
        </is>
      </c>
      <c r="B610" s="1" t="n">
        <v>43423</v>
      </c>
      <c r="C610" s="1" t="n">
        <v>45186</v>
      </c>
      <c r="D610" t="inlineStr">
        <is>
          <t>JÖNKÖPINGS LÄN</t>
        </is>
      </c>
      <c r="E610" t="inlineStr">
        <is>
          <t>GISLAVED</t>
        </is>
      </c>
      <c r="F610" t="inlineStr">
        <is>
          <t>Kyrkan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68257-2018</t>
        </is>
      </c>
      <c r="B611" s="1" t="n">
        <v>43423</v>
      </c>
      <c r="C611" s="1" t="n">
        <v>45186</v>
      </c>
      <c r="D611" t="inlineStr">
        <is>
          <t>JÖNKÖPINGS LÄN</t>
        </is>
      </c>
      <c r="E611" t="inlineStr">
        <is>
          <t>VAGGERYD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61159-2018</t>
        </is>
      </c>
      <c r="B612" s="1" t="n">
        <v>43423</v>
      </c>
      <c r="C612" s="1" t="n">
        <v>45186</v>
      </c>
      <c r="D612" t="inlineStr">
        <is>
          <t>JÖNKÖPINGS LÄN</t>
        </is>
      </c>
      <c r="E612" t="inlineStr">
        <is>
          <t>VÄRNAMO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65146-2018</t>
        </is>
      </c>
      <c r="B613" s="1" t="n">
        <v>43423</v>
      </c>
      <c r="C613" s="1" t="n">
        <v>45186</v>
      </c>
      <c r="D613" t="inlineStr">
        <is>
          <t>JÖNKÖPINGS LÄN</t>
        </is>
      </c>
      <c r="E613" t="inlineStr">
        <is>
          <t>SÄVSJÖ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65021-2018</t>
        </is>
      </c>
      <c r="B614" s="1" t="n">
        <v>43423</v>
      </c>
      <c r="C614" s="1" t="n">
        <v>45186</v>
      </c>
      <c r="D614" t="inlineStr">
        <is>
          <t>JÖNKÖPINGS LÄN</t>
        </is>
      </c>
      <c r="E614" t="inlineStr">
        <is>
          <t>GISLAVED</t>
        </is>
      </c>
      <c r="F614" t="inlineStr">
        <is>
          <t>Kyrkan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60933-2018</t>
        </is>
      </c>
      <c r="B615" s="1" t="n">
        <v>43423</v>
      </c>
      <c r="C615" s="1" t="n">
        <v>45186</v>
      </c>
      <c r="D615" t="inlineStr">
        <is>
          <t>JÖNKÖPINGS LÄN</t>
        </is>
      </c>
      <c r="E615" t="inlineStr">
        <is>
          <t>VETLANDA</t>
        </is>
      </c>
      <c r="G615" t="n">
        <v>8.199999999999999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64966-2018</t>
        </is>
      </c>
      <c r="B616" s="1" t="n">
        <v>43423</v>
      </c>
      <c r="C616" s="1" t="n">
        <v>45186</v>
      </c>
      <c r="D616" t="inlineStr">
        <is>
          <t>JÖNKÖPINGS LÄN</t>
        </is>
      </c>
      <c r="E616" t="inlineStr">
        <is>
          <t>SÄVSJÖ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65352-2018</t>
        </is>
      </c>
      <c r="B617" s="1" t="n">
        <v>43424</v>
      </c>
      <c r="C617" s="1" t="n">
        <v>45186</v>
      </c>
      <c r="D617" t="inlineStr">
        <is>
          <t>JÖNKÖPINGS LÄN</t>
        </is>
      </c>
      <c r="E617" t="inlineStr">
        <is>
          <t>VÄRNAMO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65415-2018</t>
        </is>
      </c>
      <c r="B618" s="1" t="n">
        <v>43424</v>
      </c>
      <c r="C618" s="1" t="n">
        <v>45186</v>
      </c>
      <c r="D618" t="inlineStr">
        <is>
          <t>JÖNKÖPINGS LÄN</t>
        </is>
      </c>
      <c r="E618" t="inlineStr">
        <is>
          <t>VETLANDA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61485-2018</t>
        </is>
      </c>
      <c r="B619" s="1" t="n">
        <v>43424</v>
      </c>
      <c r="C619" s="1" t="n">
        <v>45186</v>
      </c>
      <c r="D619" t="inlineStr">
        <is>
          <t>JÖNKÖPINGS LÄN</t>
        </is>
      </c>
      <c r="E619" t="inlineStr">
        <is>
          <t>JÖNKÖPING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65343-2018</t>
        </is>
      </c>
      <c r="B620" s="1" t="n">
        <v>43424</v>
      </c>
      <c r="C620" s="1" t="n">
        <v>45186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61341-2018</t>
        </is>
      </c>
      <c r="B621" s="1" t="n">
        <v>43424</v>
      </c>
      <c r="C621" s="1" t="n">
        <v>45186</v>
      </c>
      <c r="D621" t="inlineStr">
        <is>
          <t>JÖNKÖPINGS LÄN</t>
        </is>
      </c>
      <c r="E621" t="inlineStr">
        <is>
          <t>ANEBY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65201-2018</t>
        </is>
      </c>
      <c r="B622" s="1" t="n">
        <v>43424</v>
      </c>
      <c r="C622" s="1" t="n">
        <v>45186</v>
      </c>
      <c r="D622" t="inlineStr">
        <is>
          <t>JÖNKÖPINGS LÄN</t>
        </is>
      </c>
      <c r="E622" t="inlineStr">
        <is>
          <t>VETLANDA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65346-2018</t>
        </is>
      </c>
      <c r="B623" s="1" t="n">
        <v>43424</v>
      </c>
      <c r="C623" s="1" t="n">
        <v>45186</v>
      </c>
      <c r="D623" t="inlineStr">
        <is>
          <t>JÖNKÖPINGS LÄN</t>
        </is>
      </c>
      <c r="E623" t="inlineStr">
        <is>
          <t>VETLANDA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61757-2018</t>
        </is>
      </c>
      <c r="B624" s="1" t="n">
        <v>43425</v>
      </c>
      <c r="C624" s="1" t="n">
        <v>45186</v>
      </c>
      <c r="D624" t="inlineStr">
        <is>
          <t>JÖNKÖPINGS LÄN</t>
        </is>
      </c>
      <c r="E624" t="inlineStr">
        <is>
          <t>MULLSJÖ</t>
        </is>
      </c>
      <c r="F624" t="inlineStr">
        <is>
          <t>Kyrkan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62153-2018</t>
        </is>
      </c>
      <c r="B625" s="1" t="n">
        <v>43425</v>
      </c>
      <c r="C625" s="1" t="n">
        <v>45186</v>
      </c>
      <c r="D625" t="inlineStr">
        <is>
          <t>JÖNKÖPINGS LÄN</t>
        </is>
      </c>
      <c r="E625" t="inlineStr">
        <is>
          <t>EKSJÖ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63246-2018</t>
        </is>
      </c>
      <c r="B626" s="1" t="n">
        <v>43426</v>
      </c>
      <c r="C626" s="1" t="n">
        <v>45186</v>
      </c>
      <c r="D626" t="inlineStr">
        <is>
          <t>JÖNKÖPINGS LÄN</t>
        </is>
      </c>
      <c r="E626" t="inlineStr">
        <is>
          <t>VETLANDA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62307-2018</t>
        </is>
      </c>
      <c r="B627" s="1" t="n">
        <v>43426</v>
      </c>
      <c r="C627" s="1" t="n">
        <v>45186</v>
      </c>
      <c r="D627" t="inlineStr">
        <is>
          <t>JÖNKÖPINGS LÄN</t>
        </is>
      </c>
      <c r="E627" t="inlineStr">
        <is>
          <t>TRANÅS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62937-2018</t>
        </is>
      </c>
      <c r="B628" s="1" t="n">
        <v>43426</v>
      </c>
      <c r="C628" s="1" t="n">
        <v>45186</v>
      </c>
      <c r="D628" t="inlineStr">
        <is>
          <t>JÖNKÖPINGS LÄN</t>
        </is>
      </c>
      <c r="E628" t="inlineStr">
        <is>
          <t>TRANÅS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63321-2018</t>
        </is>
      </c>
      <c r="B629" s="1" t="n">
        <v>43427</v>
      </c>
      <c r="C629" s="1" t="n">
        <v>45186</v>
      </c>
      <c r="D629" t="inlineStr">
        <is>
          <t>JÖNKÖPINGS LÄN</t>
        </is>
      </c>
      <c r="E629" t="inlineStr">
        <is>
          <t>ANEBY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63323-2018</t>
        </is>
      </c>
      <c r="B630" s="1" t="n">
        <v>43427</v>
      </c>
      <c r="C630" s="1" t="n">
        <v>45186</v>
      </c>
      <c r="D630" t="inlineStr">
        <is>
          <t>JÖNKÖPINGS LÄN</t>
        </is>
      </c>
      <c r="E630" t="inlineStr">
        <is>
          <t>ANEBY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63682-2018</t>
        </is>
      </c>
      <c r="B631" s="1" t="n">
        <v>43427</v>
      </c>
      <c r="C631" s="1" t="n">
        <v>45186</v>
      </c>
      <c r="D631" t="inlineStr">
        <is>
          <t>JÖNKÖPINGS LÄN</t>
        </is>
      </c>
      <c r="E631" t="inlineStr">
        <is>
          <t>VAGGERYD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66251-2018</t>
        </is>
      </c>
      <c r="B632" s="1" t="n">
        <v>43427</v>
      </c>
      <c r="C632" s="1" t="n">
        <v>45186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66309-2018</t>
        </is>
      </c>
      <c r="B633" s="1" t="n">
        <v>43427</v>
      </c>
      <c r="C633" s="1" t="n">
        <v>45186</v>
      </c>
      <c r="D633" t="inlineStr">
        <is>
          <t>JÖNKÖPINGS LÄN</t>
        </is>
      </c>
      <c r="E633" t="inlineStr">
        <is>
          <t>ANEBY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66285-2018</t>
        </is>
      </c>
      <c r="B634" s="1" t="n">
        <v>43427</v>
      </c>
      <c r="C634" s="1" t="n">
        <v>45186</v>
      </c>
      <c r="D634" t="inlineStr">
        <is>
          <t>JÖNKÖPINGS LÄN</t>
        </is>
      </c>
      <c r="E634" t="inlineStr">
        <is>
          <t>TRANÅS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63418-2018</t>
        </is>
      </c>
      <c r="B635" s="1" t="n">
        <v>43427</v>
      </c>
      <c r="C635" s="1" t="n">
        <v>45186</v>
      </c>
      <c r="D635" t="inlineStr">
        <is>
          <t>JÖNKÖPINGS LÄN</t>
        </is>
      </c>
      <c r="E635" t="inlineStr">
        <is>
          <t>VETLANDA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63715-2018</t>
        </is>
      </c>
      <c r="B636" s="1" t="n">
        <v>43428</v>
      </c>
      <c r="C636" s="1" t="n">
        <v>45186</v>
      </c>
      <c r="D636" t="inlineStr">
        <is>
          <t>JÖNKÖPINGS LÄN</t>
        </is>
      </c>
      <c r="E636" t="inlineStr">
        <is>
          <t>SÄVSJÖ</t>
        </is>
      </c>
      <c r="G636" t="n">
        <v>16.9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63801-2018</t>
        </is>
      </c>
      <c r="B637" s="1" t="n">
        <v>43429</v>
      </c>
      <c r="C637" s="1" t="n">
        <v>45186</v>
      </c>
      <c r="D637" t="inlineStr">
        <is>
          <t>JÖNKÖPINGS LÄN</t>
        </is>
      </c>
      <c r="E637" t="inlineStr">
        <is>
          <t>GISLAVED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64202-2018</t>
        </is>
      </c>
      <c r="B638" s="1" t="n">
        <v>43430</v>
      </c>
      <c r="C638" s="1" t="n">
        <v>45186</v>
      </c>
      <c r="D638" t="inlineStr">
        <is>
          <t>JÖNKÖPINGS LÄN</t>
        </is>
      </c>
      <c r="E638" t="inlineStr">
        <is>
          <t>JÖNKÖPING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64231-2018</t>
        </is>
      </c>
      <c r="B639" s="1" t="n">
        <v>43430</v>
      </c>
      <c r="C639" s="1" t="n">
        <v>45186</v>
      </c>
      <c r="D639" t="inlineStr">
        <is>
          <t>JÖNKÖPINGS LÄN</t>
        </is>
      </c>
      <c r="E639" t="inlineStr">
        <is>
          <t>TRANÅS</t>
        </is>
      </c>
      <c r="G639" t="n">
        <v>7.2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64246-2018</t>
        </is>
      </c>
      <c r="B640" s="1" t="n">
        <v>43430</v>
      </c>
      <c r="C640" s="1" t="n">
        <v>45186</v>
      </c>
      <c r="D640" t="inlineStr">
        <is>
          <t>JÖNKÖPINGS LÄN</t>
        </is>
      </c>
      <c r="E640" t="inlineStr">
        <is>
          <t>GISLAVED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63850-2018</t>
        </is>
      </c>
      <c r="B641" s="1" t="n">
        <v>43430</v>
      </c>
      <c r="C641" s="1" t="n">
        <v>45186</v>
      </c>
      <c r="D641" t="inlineStr">
        <is>
          <t>JÖNKÖPINGS LÄN</t>
        </is>
      </c>
      <c r="E641" t="inlineStr">
        <is>
          <t>NÄSSJÖ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64403-2018</t>
        </is>
      </c>
      <c r="B642" s="1" t="n">
        <v>43430</v>
      </c>
      <c r="C642" s="1" t="n">
        <v>45186</v>
      </c>
      <c r="D642" t="inlineStr">
        <is>
          <t>JÖNKÖPINGS LÄN</t>
        </is>
      </c>
      <c r="E642" t="inlineStr">
        <is>
          <t>ANEBY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64082-2018</t>
        </is>
      </c>
      <c r="B643" s="1" t="n">
        <v>43430</v>
      </c>
      <c r="C643" s="1" t="n">
        <v>45186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64148-2018</t>
        </is>
      </c>
      <c r="B644" s="1" t="n">
        <v>43430</v>
      </c>
      <c r="C644" s="1" t="n">
        <v>45186</v>
      </c>
      <c r="D644" t="inlineStr">
        <is>
          <t>JÖNKÖPINGS LÄN</t>
        </is>
      </c>
      <c r="E644" t="inlineStr">
        <is>
          <t>ANEBY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66531-2018</t>
        </is>
      </c>
      <c r="B645" s="1" t="n">
        <v>43430</v>
      </c>
      <c r="C645" s="1" t="n">
        <v>45186</v>
      </c>
      <c r="D645" t="inlineStr">
        <is>
          <t>JÖNKÖPINGS LÄN</t>
        </is>
      </c>
      <c r="E645" t="inlineStr">
        <is>
          <t>VAGGERYD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64365-2018</t>
        </is>
      </c>
      <c r="B646" s="1" t="n">
        <v>43430</v>
      </c>
      <c r="C646" s="1" t="n">
        <v>45186</v>
      </c>
      <c r="D646" t="inlineStr">
        <is>
          <t>JÖNKÖPINGS LÄN</t>
        </is>
      </c>
      <c r="E646" t="inlineStr">
        <is>
          <t>TRANÅS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64401-2018</t>
        </is>
      </c>
      <c r="B647" s="1" t="n">
        <v>43430</v>
      </c>
      <c r="C647" s="1" t="n">
        <v>45186</v>
      </c>
      <c r="D647" t="inlineStr">
        <is>
          <t>JÖNKÖPINGS LÄN</t>
        </is>
      </c>
      <c r="E647" t="inlineStr">
        <is>
          <t>ANEBY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64438-2018</t>
        </is>
      </c>
      <c r="B648" s="1" t="n">
        <v>43431</v>
      </c>
      <c r="C648" s="1" t="n">
        <v>45186</v>
      </c>
      <c r="D648" t="inlineStr">
        <is>
          <t>JÖNKÖPINGS LÄN</t>
        </is>
      </c>
      <c r="E648" t="inlineStr">
        <is>
          <t>VETLANDA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64458-2018</t>
        </is>
      </c>
      <c r="B649" s="1" t="n">
        <v>43431</v>
      </c>
      <c r="C649" s="1" t="n">
        <v>45186</v>
      </c>
      <c r="D649" t="inlineStr">
        <is>
          <t>JÖNKÖPINGS LÄN</t>
        </is>
      </c>
      <c r="E649" t="inlineStr">
        <is>
          <t>SÄVSJÖ</t>
        </is>
      </c>
      <c r="F649" t="inlineStr">
        <is>
          <t>Sveaskog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64491-2018</t>
        </is>
      </c>
      <c r="B650" s="1" t="n">
        <v>43431</v>
      </c>
      <c r="C650" s="1" t="n">
        <v>45186</v>
      </c>
      <c r="D650" t="inlineStr">
        <is>
          <t>JÖNKÖPINGS LÄN</t>
        </is>
      </c>
      <c r="E650" t="inlineStr">
        <is>
          <t>VÄRNAMO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64666-2018</t>
        </is>
      </c>
      <c r="B651" s="1" t="n">
        <v>43431</v>
      </c>
      <c r="C651" s="1" t="n">
        <v>45186</v>
      </c>
      <c r="D651" t="inlineStr">
        <is>
          <t>JÖNKÖPINGS LÄN</t>
        </is>
      </c>
      <c r="E651" t="inlineStr">
        <is>
          <t>VAGGERYD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66910-2018</t>
        </is>
      </c>
      <c r="B652" s="1" t="n">
        <v>43431</v>
      </c>
      <c r="C652" s="1" t="n">
        <v>45186</v>
      </c>
      <c r="D652" t="inlineStr">
        <is>
          <t>JÖNKÖPINGS LÄN</t>
        </is>
      </c>
      <c r="E652" t="inlineStr">
        <is>
          <t>VÄRNAMO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64432-2018</t>
        </is>
      </c>
      <c r="B653" s="1" t="n">
        <v>43431</v>
      </c>
      <c r="C653" s="1" t="n">
        <v>45186</v>
      </c>
      <c r="D653" t="inlineStr">
        <is>
          <t>JÖNKÖPINGS LÄN</t>
        </is>
      </c>
      <c r="E653" t="inlineStr">
        <is>
          <t>GISLAVED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64454-2018</t>
        </is>
      </c>
      <c r="B654" s="1" t="n">
        <v>43431</v>
      </c>
      <c r="C654" s="1" t="n">
        <v>45186</v>
      </c>
      <c r="D654" t="inlineStr">
        <is>
          <t>JÖNKÖPINGS LÄN</t>
        </is>
      </c>
      <c r="E654" t="inlineStr">
        <is>
          <t>SÄVSJÖ</t>
        </is>
      </c>
      <c r="F654" t="inlineStr">
        <is>
          <t>Sveaskog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66631-2018</t>
        </is>
      </c>
      <c r="B655" s="1" t="n">
        <v>43431</v>
      </c>
      <c r="C655" s="1" t="n">
        <v>45186</v>
      </c>
      <c r="D655" t="inlineStr">
        <is>
          <t>JÖNKÖPINGS LÄN</t>
        </is>
      </c>
      <c r="E655" t="inlineStr">
        <is>
          <t>JÖNKÖPING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66908-2018</t>
        </is>
      </c>
      <c r="B656" s="1" t="n">
        <v>43431</v>
      </c>
      <c r="C656" s="1" t="n">
        <v>45186</v>
      </c>
      <c r="D656" t="inlineStr">
        <is>
          <t>JÖNKÖPINGS LÄN</t>
        </is>
      </c>
      <c r="E656" t="inlineStr">
        <is>
          <t>VÄRNAMO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67519-2018</t>
        </is>
      </c>
      <c r="B657" s="1" t="n">
        <v>43432</v>
      </c>
      <c r="C657" s="1" t="n">
        <v>45186</v>
      </c>
      <c r="D657" t="inlineStr">
        <is>
          <t>JÖNKÖPINGS LÄN</t>
        </is>
      </c>
      <c r="E657" t="inlineStr">
        <is>
          <t>JÖNKÖPING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64959-2018</t>
        </is>
      </c>
      <c r="B658" s="1" t="n">
        <v>43432</v>
      </c>
      <c r="C658" s="1" t="n">
        <v>45186</v>
      </c>
      <c r="D658" t="inlineStr">
        <is>
          <t>JÖNKÖPINGS LÄN</t>
        </is>
      </c>
      <c r="E658" t="inlineStr">
        <is>
          <t>VETLANDA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65495-2018</t>
        </is>
      </c>
      <c r="B659" s="1" t="n">
        <v>43433</v>
      </c>
      <c r="C659" s="1" t="n">
        <v>45186</v>
      </c>
      <c r="D659" t="inlineStr">
        <is>
          <t>JÖNKÖPINGS LÄN</t>
        </is>
      </c>
      <c r="E659" t="inlineStr">
        <is>
          <t>GISLAVED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65620-2018</t>
        </is>
      </c>
      <c r="B660" s="1" t="n">
        <v>43433</v>
      </c>
      <c r="C660" s="1" t="n">
        <v>45186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65682-2018</t>
        </is>
      </c>
      <c r="B661" s="1" t="n">
        <v>43433</v>
      </c>
      <c r="C661" s="1" t="n">
        <v>45186</v>
      </c>
      <c r="D661" t="inlineStr">
        <is>
          <t>JÖNKÖPINGS LÄN</t>
        </is>
      </c>
      <c r="E661" t="inlineStr">
        <is>
          <t>MULLSJÖ</t>
        </is>
      </c>
      <c r="G661" t="n">
        <v>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65614-2018</t>
        </is>
      </c>
      <c r="B662" s="1" t="n">
        <v>43433</v>
      </c>
      <c r="C662" s="1" t="n">
        <v>45186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65635-2018</t>
        </is>
      </c>
      <c r="B663" s="1" t="n">
        <v>43433</v>
      </c>
      <c r="C663" s="1" t="n">
        <v>45186</v>
      </c>
      <c r="D663" t="inlineStr">
        <is>
          <t>JÖNKÖPINGS LÄN</t>
        </is>
      </c>
      <c r="E663" t="inlineStr">
        <is>
          <t>VETLANDA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65420-2018</t>
        </is>
      </c>
      <c r="B664" s="1" t="n">
        <v>43433</v>
      </c>
      <c r="C664" s="1" t="n">
        <v>45186</v>
      </c>
      <c r="D664" t="inlineStr">
        <is>
          <t>JÖNKÖPINGS LÄN</t>
        </is>
      </c>
      <c r="E664" t="inlineStr">
        <is>
          <t>MULLSJÖ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67894-2018</t>
        </is>
      </c>
      <c r="B665" s="1" t="n">
        <v>43434</v>
      </c>
      <c r="C665" s="1" t="n">
        <v>45186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67861-2018</t>
        </is>
      </c>
      <c r="B666" s="1" t="n">
        <v>43434</v>
      </c>
      <c r="C666" s="1" t="n">
        <v>45186</v>
      </c>
      <c r="D666" t="inlineStr">
        <is>
          <t>JÖNKÖPINGS LÄN</t>
        </is>
      </c>
      <c r="E666" t="inlineStr">
        <is>
          <t>VAGGERYD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65893-2018</t>
        </is>
      </c>
      <c r="B667" s="1" t="n">
        <v>43434</v>
      </c>
      <c r="C667" s="1" t="n">
        <v>45186</v>
      </c>
      <c r="D667" t="inlineStr">
        <is>
          <t>JÖNKÖPINGS LÄN</t>
        </is>
      </c>
      <c r="E667" t="inlineStr">
        <is>
          <t>VETLANDA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HYPERLINK("https://klasma.github.io/Logging_VETLANDA/knärot/A 65893-2018.png", "A 65893-2018")</f>
        <v/>
      </c>
      <c r="V667">
        <f>HYPERLINK("https://klasma.github.io/Logging_VETLANDA/klagomål/A 65893-2018.docx", "A 65893-2018")</f>
        <v/>
      </c>
      <c r="W667">
        <f>HYPERLINK("https://klasma.github.io/Logging_VETLANDA/klagomålsmail/A 65893-2018.docx", "A 65893-2018")</f>
        <v/>
      </c>
      <c r="X667">
        <f>HYPERLINK("https://klasma.github.io/Logging_VETLANDA/tillsyn/A 65893-2018.docx", "A 65893-2018")</f>
        <v/>
      </c>
      <c r="Y667">
        <f>HYPERLINK("https://klasma.github.io/Logging_VETLANDA/tillsynsmail/A 65893-2018.docx", "A 65893-2018")</f>
        <v/>
      </c>
    </row>
    <row r="668" ht="15" customHeight="1">
      <c r="A668" t="inlineStr">
        <is>
          <t>A 66388-2018</t>
        </is>
      </c>
      <c r="B668" s="1" t="n">
        <v>43436</v>
      </c>
      <c r="C668" s="1" t="n">
        <v>45186</v>
      </c>
      <c r="D668" t="inlineStr">
        <is>
          <t>JÖNKÖPINGS LÄN</t>
        </is>
      </c>
      <c r="E668" t="inlineStr">
        <is>
          <t>EKSJÖ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66390-2018</t>
        </is>
      </c>
      <c r="B669" s="1" t="n">
        <v>43436</v>
      </c>
      <c r="C669" s="1" t="n">
        <v>45186</v>
      </c>
      <c r="D669" t="inlineStr">
        <is>
          <t>JÖNKÖPINGS LÄN</t>
        </is>
      </c>
      <c r="E669" t="inlineStr">
        <is>
          <t>EKSJÖ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66548-2018</t>
        </is>
      </c>
      <c r="B670" s="1" t="n">
        <v>43437</v>
      </c>
      <c r="C670" s="1" t="n">
        <v>45186</v>
      </c>
      <c r="D670" t="inlineStr">
        <is>
          <t>JÖNKÖPINGS LÄN</t>
        </is>
      </c>
      <c r="E670" t="inlineStr">
        <is>
          <t>VÄRNAMO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67962-2018</t>
        </is>
      </c>
      <c r="B671" s="1" t="n">
        <v>43437</v>
      </c>
      <c r="C671" s="1" t="n">
        <v>45186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68141-2018</t>
        </is>
      </c>
      <c r="B672" s="1" t="n">
        <v>43437</v>
      </c>
      <c r="C672" s="1" t="n">
        <v>45186</v>
      </c>
      <c r="D672" t="inlineStr">
        <is>
          <t>JÖNKÖPINGS LÄN</t>
        </is>
      </c>
      <c r="E672" t="inlineStr">
        <is>
          <t>VETLANDA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68240-2018</t>
        </is>
      </c>
      <c r="B673" s="1" t="n">
        <v>43437</v>
      </c>
      <c r="C673" s="1" t="n">
        <v>45186</v>
      </c>
      <c r="D673" t="inlineStr">
        <is>
          <t>JÖNKÖPINGS LÄN</t>
        </is>
      </c>
      <c r="E673" t="inlineStr">
        <is>
          <t>JÖNKÖPING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66500-2018</t>
        </is>
      </c>
      <c r="B674" s="1" t="n">
        <v>43437</v>
      </c>
      <c r="C674" s="1" t="n">
        <v>45186</v>
      </c>
      <c r="D674" t="inlineStr">
        <is>
          <t>JÖNKÖPINGS LÄN</t>
        </is>
      </c>
      <c r="E674" t="inlineStr">
        <is>
          <t>VÄRNAMO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66657-2018</t>
        </is>
      </c>
      <c r="B675" s="1" t="n">
        <v>43437</v>
      </c>
      <c r="C675" s="1" t="n">
        <v>45186</v>
      </c>
      <c r="D675" t="inlineStr">
        <is>
          <t>JÖNKÖPINGS LÄN</t>
        </is>
      </c>
      <c r="E675" t="inlineStr">
        <is>
          <t>VAGGERYD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67977-2018</t>
        </is>
      </c>
      <c r="B676" s="1" t="n">
        <v>43437</v>
      </c>
      <c r="C676" s="1" t="n">
        <v>45186</v>
      </c>
      <c r="D676" t="inlineStr">
        <is>
          <t>JÖNKÖPINGS LÄN</t>
        </is>
      </c>
      <c r="E676" t="inlineStr">
        <is>
          <t>VETLANDA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68157-2018</t>
        </is>
      </c>
      <c r="B677" s="1" t="n">
        <v>43437</v>
      </c>
      <c r="C677" s="1" t="n">
        <v>45186</v>
      </c>
      <c r="D677" t="inlineStr">
        <is>
          <t>JÖNKÖPINGS LÄN</t>
        </is>
      </c>
      <c r="E677" t="inlineStr">
        <is>
          <t>VÄRNAMO</t>
        </is>
      </c>
      <c r="G677" t="n">
        <v>5.6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66498-2018</t>
        </is>
      </c>
      <c r="B678" s="1" t="n">
        <v>43437</v>
      </c>
      <c r="C678" s="1" t="n">
        <v>45186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66977-2018</t>
        </is>
      </c>
      <c r="B679" s="1" t="n">
        <v>43438</v>
      </c>
      <c r="C679" s="1" t="n">
        <v>45186</v>
      </c>
      <c r="D679" t="inlineStr">
        <is>
          <t>JÖNKÖPINGS LÄN</t>
        </is>
      </c>
      <c r="E679" t="inlineStr">
        <is>
          <t>ANEBY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67165-2018</t>
        </is>
      </c>
      <c r="B680" s="1" t="n">
        <v>43438</v>
      </c>
      <c r="C680" s="1" t="n">
        <v>45186</v>
      </c>
      <c r="D680" t="inlineStr">
        <is>
          <t>JÖNKÖPINGS LÄN</t>
        </is>
      </c>
      <c r="E680" t="inlineStr">
        <is>
          <t>VÄRNAMO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66749-2018</t>
        </is>
      </c>
      <c r="B681" s="1" t="n">
        <v>43438</v>
      </c>
      <c r="C681" s="1" t="n">
        <v>45186</v>
      </c>
      <c r="D681" t="inlineStr">
        <is>
          <t>JÖNKÖPINGS LÄN</t>
        </is>
      </c>
      <c r="E681" t="inlineStr">
        <is>
          <t>GISLAVED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67054-2018</t>
        </is>
      </c>
      <c r="B682" s="1" t="n">
        <v>43438</v>
      </c>
      <c r="C682" s="1" t="n">
        <v>45186</v>
      </c>
      <c r="D682" t="inlineStr">
        <is>
          <t>JÖNKÖPINGS LÄN</t>
        </is>
      </c>
      <c r="E682" t="inlineStr">
        <is>
          <t>TRANÅS</t>
        </is>
      </c>
      <c r="F682" t="inlineStr">
        <is>
          <t>Kommuner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67168-2018</t>
        </is>
      </c>
      <c r="B683" s="1" t="n">
        <v>43438</v>
      </c>
      <c r="C683" s="1" t="n">
        <v>45186</v>
      </c>
      <c r="D683" t="inlineStr">
        <is>
          <t>JÖNKÖPINGS LÄN</t>
        </is>
      </c>
      <c r="E683" t="inlineStr">
        <is>
          <t>VAGGERYD</t>
        </is>
      </c>
      <c r="G683" t="n">
        <v>22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68381-2018</t>
        </is>
      </c>
      <c r="B684" s="1" t="n">
        <v>43438</v>
      </c>
      <c r="C684" s="1" t="n">
        <v>45186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68409-2018</t>
        </is>
      </c>
      <c r="B685" s="1" t="n">
        <v>43438</v>
      </c>
      <c r="C685" s="1" t="n">
        <v>45186</v>
      </c>
      <c r="D685" t="inlineStr">
        <is>
          <t>JÖNKÖPINGS LÄN</t>
        </is>
      </c>
      <c r="E685" t="inlineStr">
        <is>
          <t>GISLAVED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68382-2018</t>
        </is>
      </c>
      <c r="B686" s="1" t="n">
        <v>43438</v>
      </c>
      <c r="C686" s="1" t="n">
        <v>45186</v>
      </c>
      <c r="D686" t="inlineStr">
        <is>
          <t>JÖNKÖPINGS LÄN</t>
        </is>
      </c>
      <c r="E686" t="inlineStr">
        <is>
          <t>VÄRNAMO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67313-2018</t>
        </is>
      </c>
      <c r="B687" s="1" t="n">
        <v>43439</v>
      </c>
      <c r="C687" s="1" t="n">
        <v>45186</v>
      </c>
      <c r="D687" t="inlineStr">
        <is>
          <t>JÖNKÖPINGS LÄN</t>
        </is>
      </c>
      <c r="E687" t="inlineStr">
        <is>
          <t>VETLANDA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67475-2018</t>
        </is>
      </c>
      <c r="B688" s="1" t="n">
        <v>43439</v>
      </c>
      <c r="C688" s="1" t="n">
        <v>45186</v>
      </c>
      <c r="D688" t="inlineStr">
        <is>
          <t>JÖNKÖPINGS LÄN</t>
        </is>
      </c>
      <c r="E688" t="inlineStr">
        <is>
          <t>JÖNKÖPING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67210-2018</t>
        </is>
      </c>
      <c r="B689" s="1" t="n">
        <v>43439</v>
      </c>
      <c r="C689" s="1" t="n">
        <v>45186</v>
      </c>
      <c r="D689" t="inlineStr">
        <is>
          <t>JÖNKÖPINGS LÄN</t>
        </is>
      </c>
      <c r="E689" t="inlineStr">
        <is>
          <t>ANEBY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67296-2018</t>
        </is>
      </c>
      <c r="B690" s="1" t="n">
        <v>43439</v>
      </c>
      <c r="C690" s="1" t="n">
        <v>45186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68520-2018</t>
        </is>
      </c>
      <c r="B691" s="1" t="n">
        <v>43439</v>
      </c>
      <c r="C691" s="1" t="n">
        <v>45186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68701-2018</t>
        </is>
      </c>
      <c r="B692" s="1" t="n">
        <v>43439</v>
      </c>
      <c r="C692" s="1" t="n">
        <v>45186</v>
      </c>
      <c r="D692" t="inlineStr">
        <is>
          <t>JÖNKÖPINGS LÄN</t>
        </is>
      </c>
      <c r="E692" t="inlineStr">
        <is>
          <t>VÄRNAMO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67738-2018</t>
        </is>
      </c>
      <c r="B693" s="1" t="n">
        <v>43440</v>
      </c>
      <c r="C693" s="1" t="n">
        <v>45186</v>
      </c>
      <c r="D693" t="inlineStr">
        <is>
          <t>JÖNKÖPINGS LÄN</t>
        </is>
      </c>
      <c r="E693" t="inlineStr">
        <is>
          <t>GISLAVED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67860-2018</t>
        </is>
      </c>
      <c r="B694" s="1" t="n">
        <v>43440</v>
      </c>
      <c r="C694" s="1" t="n">
        <v>45186</v>
      </c>
      <c r="D694" t="inlineStr">
        <is>
          <t>JÖNKÖPINGS LÄN</t>
        </is>
      </c>
      <c r="E694" t="inlineStr">
        <is>
          <t>JÖNKÖPING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69056-2018</t>
        </is>
      </c>
      <c r="B695" s="1" t="n">
        <v>43440</v>
      </c>
      <c r="C695" s="1" t="n">
        <v>45186</v>
      </c>
      <c r="D695" t="inlineStr">
        <is>
          <t>JÖNKÖPINGS LÄN</t>
        </is>
      </c>
      <c r="E695" t="inlineStr">
        <is>
          <t>ANEBY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67598-2018</t>
        </is>
      </c>
      <c r="B696" s="1" t="n">
        <v>43440</v>
      </c>
      <c r="C696" s="1" t="n">
        <v>45186</v>
      </c>
      <c r="D696" t="inlineStr">
        <is>
          <t>JÖNKÖPINGS LÄN</t>
        </is>
      </c>
      <c r="E696" t="inlineStr">
        <is>
          <t>SÄVSJÖ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67726-2018</t>
        </is>
      </c>
      <c r="B697" s="1" t="n">
        <v>43440</v>
      </c>
      <c r="C697" s="1" t="n">
        <v>45186</v>
      </c>
      <c r="D697" t="inlineStr">
        <is>
          <t>JÖNKÖPINGS LÄN</t>
        </is>
      </c>
      <c r="E697" t="inlineStr">
        <is>
          <t>TRANÅS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67741-2018</t>
        </is>
      </c>
      <c r="B698" s="1" t="n">
        <v>43440</v>
      </c>
      <c r="C698" s="1" t="n">
        <v>45186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67969-2018</t>
        </is>
      </c>
      <c r="B699" s="1" t="n">
        <v>43440</v>
      </c>
      <c r="C699" s="1" t="n">
        <v>45186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68906-2018</t>
        </is>
      </c>
      <c r="B700" s="1" t="n">
        <v>43440</v>
      </c>
      <c r="C700" s="1" t="n">
        <v>45186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67729-2018</t>
        </is>
      </c>
      <c r="B701" s="1" t="n">
        <v>43440</v>
      </c>
      <c r="C701" s="1" t="n">
        <v>45186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69088-2018</t>
        </is>
      </c>
      <c r="B702" s="1" t="n">
        <v>43440</v>
      </c>
      <c r="C702" s="1" t="n">
        <v>45186</v>
      </c>
      <c r="D702" t="inlineStr">
        <is>
          <t>JÖNKÖPINGS LÄN</t>
        </is>
      </c>
      <c r="E702" t="inlineStr">
        <is>
          <t>GNOSJÖ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68126-2018</t>
        </is>
      </c>
      <c r="B703" s="1" t="n">
        <v>43441</v>
      </c>
      <c r="C703" s="1" t="n">
        <v>45186</v>
      </c>
      <c r="D703" t="inlineStr">
        <is>
          <t>JÖNKÖPINGS LÄN</t>
        </is>
      </c>
      <c r="E703" t="inlineStr">
        <is>
          <t>EKSJÖ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68279-2018</t>
        </is>
      </c>
      <c r="B704" s="1" t="n">
        <v>43441</v>
      </c>
      <c r="C704" s="1" t="n">
        <v>45186</v>
      </c>
      <c r="D704" t="inlineStr">
        <is>
          <t>JÖNKÖPINGS LÄN</t>
        </is>
      </c>
      <c r="E704" t="inlineStr">
        <is>
          <t>ANEBY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68175-2018</t>
        </is>
      </c>
      <c r="B705" s="1" t="n">
        <v>43441</v>
      </c>
      <c r="C705" s="1" t="n">
        <v>45186</v>
      </c>
      <c r="D705" t="inlineStr">
        <is>
          <t>JÖNKÖPINGS LÄN</t>
        </is>
      </c>
      <c r="E705" t="inlineStr">
        <is>
          <t>EKSJÖ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68123-2018</t>
        </is>
      </c>
      <c r="B706" s="1" t="n">
        <v>43441</v>
      </c>
      <c r="C706" s="1" t="n">
        <v>45186</v>
      </c>
      <c r="D706" t="inlineStr">
        <is>
          <t>JÖNKÖPINGS LÄN</t>
        </is>
      </c>
      <c r="E706" t="inlineStr">
        <is>
          <t>EKSJÖ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68507-2018</t>
        </is>
      </c>
      <c r="B707" s="1" t="n">
        <v>43443</v>
      </c>
      <c r="C707" s="1" t="n">
        <v>45186</v>
      </c>
      <c r="D707" t="inlineStr">
        <is>
          <t>JÖNKÖPINGS LÄN</t>
        </is>
      </c>
      <c r="E707" t="inlineStr">
        <is>
          <t>NÄSSJÖ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68643-2018</t>
        </is>
      </c>
      <c r="B708" s="1" t="n">
        <v>43444</v>
      </c>
      <c r="C708" s="1" t="n">
        <v>45186</v>
      </c>
      <c r="D708" t="inlineStr">
        <is>
          <t>JÖNKÖPINGS LÄN</t>
        </is>
      </c>
      <c r="E708" t="inlineStr">
        <is>
          <t>NÄSSJÖ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68535-2018</t>
        </is>
      </c>
      <c r="B709" s="1" t="n">
        <v>43444</v>
      </c>
      <c r="C709" s="1" t="n">
        <v>45186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68621-2018</t>
        </is>
      </c>
      <c r="B710" s="1" t="n">
        <v>43444</v>
      </c>
      <c r="C710" s="1" t="n">
        <v>45186</v>
      </c>
      <c r="D710" t="inlineStr">
        <is>
          <t>JÖNKÖPINGS LÄN</t>
        </is>
      </c>
      <c r="E710" t="inlineStr">
        <is>
          <t>SÄVSJÖ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68592-2018</t>
        </is>
      </c>
      <c r="B711" s="1" t="n">
        <v>43444</v>
      </c>
      <c r="C711" s="1" t="n">
        <v>45186</v>
      </c>
      <c r="D711" t="inlineStr">
        <is>
          <t>JÖNKÖPINGS LÄN</t>
        </is>
      </c>
      <c r="E711" t="inlineStr">
        <is>
          <t>ANEBY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69142-2018</t>
        </is>
      </c>
      <c r="B712" s="1" t="n">
        <v>43445</v>
      </c>
      <c r="C712" s="1" t="n">
        <v>45186</v>
      </c>
      <c r="D712" t="inlineStr">
        <is>
          <t>JÖNKÖPINGS LÄN</t>
        </is>
      </c>
      <c r="E712" t="inlineStr">
        <is>
          <t>SÄVSJÖ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68883-2018</t>
        </is>
      </c>
      <c r="B713" s="1" t="n">
        <v>43445</v>
      </c>
      <c r="C713" s="1" t="n">
        <v>45186</v>
      </c>
      <c r="D713" t="inlineStr">
        <is>
          <t>JÖNKÖPINGS LÄN</t>
        </is>
      </c>
      <c r="E713" t="inlineStr">
        <is>
          <t>JÖNKÖPING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69174-2018</t>
        </is>
      </c>
      <c r="B714" s="1" t="n">
        <v>43445</v>
      </c>
      <c r="C714" s="1" t="n">
        <v>45186</v>
      </c>
      <c r="D714" t="inlineStr">
        <is>
          <t>JÖNKÖPINGS LÄN</t>
        </is>
      </c>
      <c r="E714" t="inlineStr">
        <is>
          <t>MULLSJÖ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69077-2018</t>
        </is>
      </c>
      <c r="B715" s="1" t="n">
        <v>43445</v>
      </c>
      <c r="C715" s="1" t="n">
        <v>45186</v>
      </c>
      <c r="D715" t="inlineStr">
        <is>
          <t>JÖNKÖPINGS LÄN</t>
        </is>
      </c>
      <c r="E715" t="inlineStr">
        <is>
          <t>EKSJÖ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69189-2018</t>
        </is>
      </c>
      <c r="B716" s="1" t="n">
        <v>43445</v>
      </c>
      <c r="C716" s="1" t="n">
        <v>45186</v>
      </c>
      <c r="D716" t="inlineStr">
        <is>
          <t>JÖNKÖPINGS LÄN</t>
        </is>
      </c>
      <c r="E716" t="inlineStr">
        <is>
          <t>JÖNKÖPING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69362-2018</t>
        </is>
      </c>
      <c r="B717" s="1" t="n">
        <v>43446</v>
      </c>
      <c r="C717" s="1" t="n">
        <v>45186</v>
      </c>
      <c r="D717" t="inlineStr">
        <is>
          <t>JÖNKÖPINGS LÄN</t>
        </is>
      </c>
      <c r="E717" t="inlineStr">
        <is>
          <t>HABO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69605-2018</t>
        </is>
      </c>
      <c r="B718" s="1" t="n">
        <v>43446</v>
      </c>
      <c r="C718" s="1" t="n">
        <v>45186</v>
      </c>
      <c r="D718" t="inlineStr">
        <is>
          <t>JÖNKÖPINGS LÄN</t>
        </is>
      </c>
      <c r="E718" t="inlineStr">
        <is>
          <t>SÄVSJÖ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69251-2018</t>
        </is>
      </c>
      <c r="B719" s="1" t="n">
        <v>43446</v>
      </c>
      <c r="C719" s="1" t="n">
        <v>45186</v>
      </c>
      <c r="D719" t="inlineStr">
        <is>
          <t>JÖNKÖPINGS LÄN</t>
        </is>
      </c>
      <c r="E719" t="inlineStr">
        <is>
          <t>GISLAVED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69316-2018</t>
        </is>
      </c>
      <c r="B720" s="1" t="n">
        <v>43446</v>
      </c>
      <c r="C720" s="1" t="n">
        <v>45186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70391-2018</t>
        </is>
      </c>
      <c r="B721" s="1" t="n">
        <v>43446</v>
      </c>
      <c r="C721" s="1" t="n">
        <v>45186</v>
      </c>
      <c r="D721" t="inlineStr">
        <is>
          <t>JÖNKÖPINGS LÄN</t>
        </is>
      </c>
      <c r="E721" t="inlineStr">
        <is>
          <t>TRANÅS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70311-2018</t>
        </is>
      </c>
      <c r="B722" s="1" t="n">
        <v>43446</v>
      </c>
      <c r="C722" s="1" t="n">
        <v>45186</v>
      </c>
      <c r="D722" t="inlineStr">
        <is>
          <t>JÖNKÖPINGS LÄN</t>
        </is>
      </c>
      <c r="E722" t="inlineStr">
        <is>
          <t>NÄSSJÖ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70345-2018</t>
        </is>
      </c>
      <c r="B723" s="1" t="n">
        <v>43446</v>
      </c>
      <c r="C723" s="1" t="n">
        <v>45186</v>
      </c>
      <c r="D723" t="inlineStr">
        <is>
          <t>JÖNKÖPINGS LÄN</t>
        </is>
      </c>
      <c r="E723" t="inlineStr">
        <is>
          <t>ANEBY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69734-2018</t>
        </is>
      </c>
      <c r="B724" s="1" t="n">
        <v>43447</v>
      </c>
      <c r="C724" s="1" t="n">
        <v>45186</v>
      </c>
      <c r="D724" t="inlineStr">
        <is>
          <t>JÖNKÖPINGS LÄN</t>
        </is>
      </c>
      <c r="E724" t="inlineStr">
        <is>
          <t>VETLANDA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69910-2018</t>
        </is>
      </c>
      <c r="B725" s="1" t="n">
        <v>43447</v>
      </c>
      <c r="C725" s="1" t="n">
        <v>45186</v>
      </c>
      <c r="D725" t="inlineStr">
        <is>
          <t>JÖNKÖPINGS LÄN</t>
        </is>
      </c>
      <c r="E725" t="inlineStr">
        <is>
          <t>EKSJÖ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69912-2018</t>
        </is>
      </c>
      <c r="B726" s="1" t="n">
        <v>43447</v>
      </c>
      <c r="C726" s="1" t="n">
        <v>45186</v>
      </c>
      <c r="D726" t="inlineStr">
        <is>
          <t>JÖNKÖPINGS LÄN</t>
        </is>
      </c>
      <c r="E726" t="inlineStr">
        <is>
          <t>EKSJÖ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69834-2018</t>
        </is>
      </c>
      <c r="B727" s="1" t="n">
        <v>43447</v>
      </c>
      <c r="C727" s="1" t="n">
        <v>45186</v>
      </c>
      <c r="D727" t="inlineStr">
        <is>
          <t>JÖNKÖPINGS LÄN</t>
        </is>
      </c>
      <c r="E727" t="inlineStr">
        <is>
          <t>VAGGERYD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70540-2018</t>
        </is>
      </c>
      <c r="B728" s="1" t="n">
        <v>43447</v>
      </c>
      <c r="C728" s="1" t="n">
        <v>45186</v>
      </c>
      <c r="D728" t="inlineStr">
        <is>
          <t>JÖNKÖPINGS LÄN</t>
        </is>
      </c>
      <c r="E728" t="inlineStr">
        <is>
          <t>JÖNKÖPING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70837-2018</t>
        </is>
      </c>
      <c r="B729" s="1" t="n">
        <v>43448</v>
      </c>
      <c r="C729" s="1" t="n">
        <v>45186</v>
      </c>
      <c r="D729" t="inlineStr">
        <is>
          <t>JÖNKÖPINGS LÄN</t>
        </is>
      </c>
      <c r="E729" t="inlineStr">
        <is>
          <t>ANEBY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70121-2018</t>
        </is>
      </c>
      <c r="B730" s="1" t="n">
        <v>43448</v>
      </c>
      <c r="C730" s="1" t="n">
        <v>45186</v>
      </c>
      <c r="D730" t="inlineStr">
        <is>
          <t>JÖNKÖPINGS LÄN</t>
        </is>
      </c>
      <c r="E730" t="inlineStr">
        <is>
          <t>VAGGERYD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70219-2018</t>
        </is>
      </c>
      <c r="B731" s="1" t="n">
        <v>43448</v>
      </c>
      <c r="C731" s="1" t="n">
        <v>45186</v>
      </c>
      <c r="D731" t="inlineStr">
        <is>
          <t>JÖNKÖPINGS LÄN</t>
        </is>
      </c>
      <c r="E731" t="inlineStr">
        <is>
          <t>TRANÅS</t>
        </is>
      </c>
      <c r="F731" t="inlineStr">
        <is>
          <t>Kyrkan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70839-2018</t>
        </is>
      </c>
      <c r="B732" s="1" t="n">
        <v>43448</v>
      </c>
      <c r="C732" s="1" t="n">
        <v>45186</v>
      </c>
      <c r="D732" t="inlineStr">
        <is>
          <t>JÖNKÖPINGS LÄN</t>
        </is>
      </c>
      <c r="E732" t="inlineStr">
        <is>
          <t>ANEBY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70838-2018</t>
        </is>
      </c>
      <c r="B733" s="1" t="n">
        <v>43448</v>
      </c>
      <c r="C733" s="1" t="n">
        <v>45186</v>
      </c>
      <c r="D733" t="inlineStr">
        <is>
          <t>JÖNKÖPINGS LÄN</t>
        </is>
      </c>
      <c r="E733" t="inlineStr">
        <is>
          <t>ANEBY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70836-2018</t>
        </is>
      </c>
      <c r="B734" s="1" t="n">
        <v>43448</v>
      </c>
      <c r="C734" s="1" t="n">
        <v>45186</v>
      </c>
      <c r="D734" t="inlineStr">
        <is>
          <t>JÖNKÖPINGS LÄN</t>
        </is>
      </c>
      <c r="E734" t="inlineStr">
        <is>
          <t>ANEBY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70841-2018</t>
        </is>
      </c>
      <c r="B735" s="1" t="n">
        <v>43448</v>
      </c>
      <c r="C735" s="1" t="n">
        <v>45186</v>
      </c>
      <c r="D735" t="inlineStr">
        <is>
          <t>JÖNKÖPINGS LÄN</t>
        </is>
      </c>
      <c r="E735" t="inlineStr">
        <is>
          <t>ANEBY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70885-2018</t>
        </is>
      </c>
      <c r="B736" s="1" t="n">
        <v>43448</v>
      </c>
      <c r="C736" s="1" t="n">
        <v>45186</v>
      </c>
      <c r="D736" t="inlineStr">
        <is>
          <t>JÖNKÖPINGS LÄN</t>
        </is>
      </c>
      <c r="E736" t="inlineStr">
        <is>
          <t>VÄRNAMO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70277-2018</t>
        </is>
      </c>
      <c r="B737" s="1" t="n">
        <v>43449</v>
      </c>
      <c r="C737" s="1" t="n">
        <v>45186</v>
      </c>
      <c r="D737" t="inlineStr">
        <is>
          <t>JÖNKÖPINGS LÄN</t>
        </is>
      </c>
      <c r="E737" t="inlineStr">
        <is>
          <t>VETLANDA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70275-2018</t>
        </is>
      </c>
      <c r="B738" s="1" t="n">
        <v>43449</v>
      </c>
      <c r="C738" s="1" t="n">
        <v>45186</v>
      </c>
      <c r="D738" t="inlineStr">
        <is>
          <t>JÖNKÖPINGS LÄN</t>
        </is>
      </c>
      <c r="E738" t="inlineStr">
        <is>
          <t>GNOSJÖ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70404-2018</t>
        </is>
      </c>
      <c r="B739" s="1" t="n">
        <v>43450</v>
      </c>
      <c r="C739" s="1" t="n">
        <v>45186</v>
      </c>
      <c r="D739" t="inlineStr">
        <is>
          <t>JÖNKÖPINGS LÄN</t>
        </is>
      </c>
      <c r="E739" t="inlineStr">
        <is>
          <t>NÄSSJÖ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70686-2018</t>
        </is>
      </c>
      <c r="B740" s="1" t="n">
        <v>43450</v>
      </c>
      <c r="C740" s="1" t="n">
        <v>45186</v>
      </c>
      <c r="D740" t="inlineStr">
        <is>
          <t>JÖNKÖPINGS LÄN</t>
        </is>
      </c>
      <c r="E740" t="inlineStr">
        <is>
          <t>JÖNKÖPING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70492-2018</t>
        </is>
      </c>
      <c r="B741" s="1" t="n">
        <v>43451</v>
      </c>
      <c r="C741" s="1" t="n">
        <v>45186</v>
      </c>
      <c r="D741" t="inlineStr">
        <is>
          <t>JÖNKÖPINGS LÄN</t>
        </is>
      </c>
      <c r="E741" t="inlineStr">
        <is>
          <t>VAGGERYD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70738-2018</t>
        </is>
      </c>
      <c r="B742" s="1" t="n">
        <v>43451</v>
      </c>
      <c r="C742" s="1" t="n">
        <v>45186</v>
      </c>
      <c r="D742" t="inlineStr">
        <is>
          <t>JÖNKÖPINGS LÄN</t>
        </is>
      </c>
      <c r="E742" t="inlineStr">
        <is>
          <t>EKSJÖ</t>
        </is>
      </c>
      <c r="F742" t="inlineStr">
        <is>
          <t>Kyrkan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71089-2018</t>
        </is>
      </c>
      <c r="B743" s="1" t="n">
        <v>43451</v>
      </c>
      <c r="C743" s="1" t="n">
        <v>45186</v>
      </c>
      <c r="D743" t="inlineStr">
        <is>
          <t>JÖNKÖPINGS LÄN</t>
        </is>
      </c>
      <c r="E743" t="inlineStr">
        <is>
          <t>JÖNKÖPING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71041-2018</t>
        </is>
      </c>
      <c r="B744" s="1" t="n">
        <v>43451</v>
      </c>
      <c r="C744" s="1" t="n">
        <v>45186</v>
      </c>
      <c r="D744" t="inlineStr">
        <is>
          <t>JÖNKÖPINGS LÄN</t>
        </is>
      </c>
      <c r="E744" t="inlineStr">
        <is>
          <t>GNOSJÖ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71124-2018</t>
        </is>
      </c>
      <c r="B745" s="1" t="n">
        <v>43452</v>
      </c>
      <c r="C745" s="1" t="n">
        <v>45186</v>
      </c>
      <c r="D745" t="inlineStr">
        <is>
          <t>JÖNKÖPINGS LÄN</t>
        </is>
      </c>
      <c r="E745" t="inlineStr">
        <is>
          <t>NÄSSJÖ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71705-2018</t>
        </is>
      </c>
      <c r="B746" s="1" t="n">
        <v>43452</v>
      </c>
      <c r="C746" s="1" t="n">
        <v>45186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55708-2018</t>
        </is>
      </c>
      <c r="B747" s="1" t="n">
        <v>43452</v>
      </c>
      <c r="C747" s="1" t="n">
        <v>45186</v>
      </c>
      <c r="D747" t="inlineStr">
        <is>
          <t>JÖNKÖPINGS LÄN</t>
        </is>
      </c>
      <c r="E747" t="inlineStr">
        <is>
          <t>VAGGERYD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70876-2018</t>
        </is>
      </c>
      <c r="B748" s="1" t="n">
        <v>43452</v>
      </c>
      <c r="C748" s="1" t="n">
        <v>45186</v>
      </c>
      <c r="D748" t="inlineStr">
        <is>
          <t>JÖNKÖPINGS LÄN</t>
        </is>
      </c>
      <c r="E748" t="inlineStr">
        <is>
          <t>VETLANDA</t>
        </is>
      </c>
      <c r="F748" t="inlineStr">
        <is>
          <t>Sveaskog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70887-2018</t>
        </is>
      </c>
      <c r="B749" s="1" t="n">
        <v>43452</v>
      </c>
      <c r="C749" s="1" t="n">
        <v>45186</v>
      </c>
      <c r="D749" t="inlineStr">
        <is>
          <t>JÖNKÖPINGS LÄN</t>
        </is>
      </c>
      <c r="E749" t="inlineStr">
        <is>
          <t>EKSJÖ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71120-2018</t>
        </is>
      </c>
      <c r="B750" s="1" t="n">
        <v>43452</v>
      </c>
      <c r="C750" s="1" t="n">
        <v>45186</v>
      </c>
      <c r="D750" t="inlineStr">
        <is>
          <t>JÖNKÖPINGS LÄN</t>
        </is>
      </c>
      <c r="E750" t="inlineStr">
        <is>
          <t>NÄSSJÖ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70821-2018</t>
        </is>
      </c>
      <c r="B751" s="1" t="n">
        <v>43452</v>
      </c>
      <c r="C751" s="1" t="n">
        <v>45186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70932-2018</t>
        </is>
      </c>
      <c r="B752" s="1" t="n">
        <v>43452</v>
      </c>
      <c r="C752" s="1" t="n">
        <v>45186</v>
      </c>
      <c r="D752" t="inlineStr">
        <is>
          <t>JÖNKÖPINGS LÄN</t>
        </is>
      </c>
      <c r="E752" t="inlineStr">
        <is>
          <t>JÖNKÖPING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71702-2018</t>
        </is>
      </c>
      <c r="B753" s="1" t="n">
        <v>43452</v>
      </c>
      <c r="C753" s="1" t="n">
        <v>45186</v>
      </c>
      <c r="D753" t="inlineStr">
        <is>
          <t>JÖNKÖPINGS LÄN</t>
        </is>
      </c>
      <c r="E753" t="inlineStr">
        <is>
          <t>VÄRNAMO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70872-2018</t>
        </is>
      </c>
      <c r="B754" s="1" t="n">
        <v>43452</v>
      </c>
      <c r="C754" s="1" t="n">
        <v>45186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71084-2018</t>
        </is>
      </c>
      <c r="B755" s="1" t="n">
        <v>43452</v>
      </c>
      <c r="C755" s="1" t="n">
        <v>45186</v>
      </c>
      <c r="D755" t="inlineStr">
        <is>
          <t>JÖNKÖPINGS LÄN</t>
        </is>
      </c>
      <c r="E755" t="inlineStr">
        <is>
          <t>HABO</t>
        </is>
      </c>
      <c r="G755" t="n">
        <v>7.7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71183-2018</t>
        </is>
      </c>
      <c r="B756" s="1" t="n">
        <v>43453</v>
      </c>
      <c r="C756" s="1" t="n">
        <v>45186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4.4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71507-2018</t>
        </is>
      </c>
      <c r="B757" s="1" t="n">
        <v>43453</v>
      </c>
      <c r="C757" s="1" t="n">
        <v>45186</v>
      </c>
      <c r="D757" t="inlineStr">
        <is>
          <t>JÖNKÖPINGS LÄN</t>
        </is>
      </c>
      <c r="E757" t="inlineStr">
        <is>
          <t>MULLSJÖ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71174-2018</t>
        </is>
      </c>
      <c r="B758" s="1" t="n">
        <v>43453</v>
      </c>
      <c r="C758" s="1" t="n">
        <v>45186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71196-2018</t>
        </is>
      </c>
      <c r="B759" s="1" t="n">
        <v>43453</v>
      </c>
      <c r="C759" s="1" t="n">
        <v>45186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71289-2018</t>
        </is>
      </c>
      <c r="B760" s="1" t="n">
        <v>43453</v>
      </c>
      <c r="C760" s="1" t="n">
        <v>45186</v>
      </c>
      <c r="D760" t="inlineStr">
        <is>
          <t>JÖNKÖPINGS LÄN</t>
        </is>
      </c>
      <c r="E760" t="inlineStr">
        <is>
          <t>NÄSSJÖ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71379-2018</t>
        </is>
      </c>
      <c r="B761" s="1" t="n">
        <v>43453</v>
      </c>
      <c r="C761" s="1" t="n">
        <v>45186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72365-2018</t>
        </is>
      </c>
      <c r="B762" s="1" t="n">
        <v>43453</v>
      </c>
      <c r="C762" s="1" t="n">
        <v>45186</v>
      </c>
      <c r="D762" t="inlineStr">
        <is>
          <t>JÖNKÖPINGS LÄN</t>
        </is>
      </c>
      <c r="E762" t="inlineStr">
        <is>
          <t>VAGGERYD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71178-2018</t>
        </is>
      </c>
      <c r="B763" s="1" t="n">
        <v>43453</v>
      </c>
      <c r="C763" s="1" t="n">
        <v>45186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71364-2018</t>
        </is>
      </c>
      <c r="B764" s="1" t="n">
        <v>43453</v>
      </c>
      <c r="C764" s="1" t="n">
        <v>45186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71191-2018</t>
        </is>
      </c>
      <c r="B765" s="1" t="n">
        <v>43453</v>
      </c>
      <c r="C765" s="1" t="n">
        <v>45186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71373-2018</t>
        </is>
      </c>
      <c r="B766" s="1" t="n">
        <v>43453</v>
      </c>
      <c r="C766" s="1" t="n">
        <v>45186</v>
      </c>
      <c r="D766" t="inlineStr">
        <is>
          <t>JÖNKÖPINGS LÄN</t>
        </is>
      </c>
      <c r="E766" t="inlineStr">
        <is>
          <t>JÖNKÖPING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72149-2018</t>
        </is>
      </c>
      <c r="B767" s="1" t="n">
        <v>43453</v>
      </c>
      <c r="C767" s="1" t="n">
        <v>45186</v>
      </c>
      <c r="D767" t="inlineStr">
        <is>
          <t>JÖNKÖPINGS LÄN</t>
        </is>
      </c>
      <c r="E767" t="inlineStr">
        <is>
          <t>VAGGERYD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87-2019</t>
        </is>
      </c>
      <c r="B768" s="1" t="n">
        <v>43454</v>
      </c>
      <c r="C768" s="1" t="n">
        <v>45186</v>
      </c>
      <c r="D768" t="inlineStr">
        <is>
          <t>JÖNKÖPINGS LÄN</t>
        </is>
      </c>
      <c r="E768" t="inlineStr">
        <is>
          <t>NÄSSJÖ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71638-2018</t>
        </is>
      </c>
      <c r="B769" s="1" t="n">
        <v>43454</v>
      </c>
      <c r="C769" s="1" t="n">
        <v>45186</v>
      </c>
      <c r="D769" t="inlineStr">
        <is>
          <t>JÖNKÖPINGS LÄN</t>
        </is>
      </c>
      <c r="E769" t="inlineStr">
        <is>
          <t>GISLAVED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71827-2018</t>
        </is>
      </c>
      <c r="B770" s="1" t="n">
        <v>43454</v>
      </c>
      <c r="C770" s="1" t="n">
        <v>45186</v>
      </c>
      <c r="D770" t="inlineStr">
        <is>
          <t>JÖNKÖPINGS LÄN</t>
        </is>
      </c>
      <c r="E770" t="inlineStr">
        <is>
          <t>VÄRNAMO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71711-2018</t>
        </is>
      </c>
      <c r="B771" s="1" t="n">
        <v>43454</v>
      </c>
      <c r="C771" s="1" t="n">
        <v>45186</v>
      </c>
      <c r="D771" t="inlineStr">
        <is>
          <t>JÖNKÖPINGS LÄN</t>
        </is>
      </c>
      <c r="E771" t="inlineStr">
        <is>
          <t>NÄSSJÖ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642-2019</t>
        </is>
      </c>
      <c r="B772" s="1" t="n">
        <v>43455</v>
      </c>
      <c r="C772" s="1" t="n">
        <v>45186</v>
      </c>
      <c r="D772" t="inlineStr">
        <is>
          <t>JÖNKÖPINGS LÄN</t>
        </is>
      </c>
      <c r="E772" t="inlineStr">
        <is>
          <t>VÄRNAMO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71931-2018</t>
        </is>
      </c>
      <c r="B773" s="1" t="n">
        <v>43455</v>
      </c>
      <c r="C773" s="1" t="n">
        <v>45186</v>
      </c>
      <c r="D773" t="inlineStr">
        <is>
          <t>JÖNKÖPINGS LÄN</t>
        </is>
      </c>
      <c r="E773" t="inlineStr">
        <is>
          <t>GNOSJÖ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72139-2018</t>
        </is>
      </c>
      <c r="B774" s="1" t="n">
        <v>43455</v>
      </c>
      <c r="C774" s="1" t="n">
        <v>45186</v>
      </c>
      <c r="D774" t="inlineStr">
        <is>
          <t>JÖNKÖPINGS LÄN</t>
        </is>
      </c>
      <c r="E774" t="inlineStr">
        <is>
          <t>EKSJÖ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72243-2018</t>
        </is>
      </c>
      <c r="B775" s="1" t="n">
        <v>43455</v>
      </c>
      <c r="C775" s="1" t="n">
        <v>45186</v>
      </c>
      <c r="D775" t="inlineStr">
        <is>
          <t>JÖNKÖPINGS LÄN</t>
        </is>
      </c>
      <c r="E775" t="inlineStr">
        <is>
          <t>TRANÅS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531-2019</t>
        </is>
      </c>
      <c r="B776" s="1" t="n">
        <v>43455</v>
      </c>
      <c r="C776" s="1" t="n">
        <v>45186</v>
      </c>
      <c r="D776" t="inlineStr">
        <is>
          <t>JÖNKÖPINGS LÄN</t>
        </is>
      </c>
      <c r="E776" t="inlineStr">
        <is>
          <t>JÖNKÖPING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72071-2018</t>
        </is>
      </c>
      <c r="B777" s="1" t="n">
        <v>43455</v>
      </c>
      <c r="C777" s="1" t="n">
        <v>45186</v>
      </c>
      <c r="D777" t="inlineStr">
        <is>
          <t>JÖNKÖPINGS LÄN</t>
        </is>
      </c>
      <c r="E777" t="inlineStr">
        <is>
          <t>VÄRNAMO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529-2019</t>
        </is>
      </c>
      <c r="B778" s="1" t="n">
        <v>43455</v>
      </c>
      <c r="C778" s="1" t="n">
        <v>45186</v>
      </c>
      <c r="D778" t="inlineStr">
        <is>
          <t>JÖNKÖPINGS LÄN</t>
        </is>
      </c>
      <c r="E778" t="inlineStr">
        <is>
          <t>SÄVSJÖ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639-2019</t>
        </is>
      </c>
      <c r="B779" s="1" t="n">
        <v>43455</v>
      </c>
      <c r="C779" s="1" t="n">
        <v>45186</v>
      </c>
      <c r="D779" t="inlineStr">
        <is>
          <t>JÖNKÖPINGS LÄN</t>
        </is>
      </c>
      <c r="E779" t="inlineStr">
        <is>
          <t>VÄRNAMO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72330-2018</t>
        </is>
      </c>
      <c r="B780" s="1" t="n">
        <v>43460</v>
      </c>
      <c r="C780" s="1" t="n">
        <v>45186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1576-2019</t>
        </is>
      </c>
      <c r="B781" s="1" t="n">
        <v>43461</v>
      </c>
      <c r="C781" s="1" t="n">
        <v>45186</v>
      </c>
      <c r="D781" t="inlineStr">
        <is>
          <t>JÖNKÖPINGS LÄN</t>
        </is>
      </c>
      <c r="E781" t="inlineStr">
        <is>
          <t>SÄVSJÖ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1616-2019</t>
        </is>
      </c>
      <c r="B782" s="1" t="n">
        <v>43461</v>
      </c>
      <c r="C782" s="1" t="n">
        <v>45186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1592-2019</t>
        </is>
      </c>
      <c r="B783" s="1" t="n">
        <v>43461</v>
      </c>
      <c r="C783" s="1" t="n">
        <v>45186</v>
      </c>
      <c r="D783" t="inlineStr">
        <is>
          <t>JÖNKÖPINGS LÄN</t>
        </is>
      </c>
      <c r="E783" t="inlineStr">
        <is>
          <t>GISLAVED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1603-2019</t>
        </is>
      </c>
      <c r="B784" s="1" t="n">
        <v>43461</v>
      </c>
      <c r="C784" s="1" t="n">
        <v>45186</v>
      </c>
      <c r="D784" t="inlineStr">
        <is>
          <t>JÖNKÖPINGS LÄN</t>
        </is>
      </c>
      <c r="E784" t="inlineStr">
        <is>
          <t>VETLANDA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1590-2019</t>
        </is>
      </c>
      <c r="B785" s="1" t="n">
        <v>43461</v>
      </c>
      <c r="C785" s="1" t="n">
        <v>45186</v>
      </c>
      <c r="D785" t="inlineStr">
        <is>
          <t>JÖNKÖPINGS LÄN</t>
        </is>
      </c>
      <c r="E785" t="inlineStr">
        <is>
          <t>GISLAVED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1655-2019</t>
        </is>
      </c>
      <c r="B786" s="1" t="n">
        <v>43461</v>
      </c>
      <c r="C786" s="1" t="n">
        <v>45186</v>
      </c>
      <c r="D786" t="inlineStr">
        <is>
          <t>JÖNKÖPINGS LÄN</t>
        </is>
      </c>
      <c r="E786" t="inlineStr">
        <is>
          <t>SÄVSJÖ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72518-2018</t>
        </is>
      </c>
      <c r="B787" s="1" t="n">
        <v>43462</v>
      </c>
      <c r="C787" s="1" t="n">
        <v>45186</v>
      </c>
      <c r="D787" t="inlineStr">
        <is>
          <t>JÖNKÖPINGS LÄN</t>
        </is>
      </c>
      <c r="E787" t="inlineStr">
        <is>
          <t>EKSJÖ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72612-2018</t>
        </is>
      </c>
      <c r="B788" s="1" t="n">
        <v>43463</v>
      </c>
      <c r="C788" s="1" t="n">
        <v>45186</v>
      </c>
      <c r="D788" t="inlineStr">
        <is>
          <t>JÖNKÖPINGS LÄN</t>
        </is>
      </c>
      <c r="E788" t="inlineStr">
        <is>
          <t>VÄRNAMO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72660-2018</t>
        </is>
      </c>
      <c r="B789" s="1" t="n">
        <v>43465</v>
      </c>
      <c r="C789" s="1" t="n">
        <v>45186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72659-2018</t>
        </is>
      </c>
      <c r="B790" s="1" t="n">
        <v>43465</v>
      </c>
      <c r="C790" s="1" t="n">
        <v>45186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72662-2018</t>
        </is>
      </c>
      <c r="B791" s="1" t="n">
        <v>43465</v>
      </c>
      <c r="C791" s="1" t="n">
        <v>45186</v>
      </c>
      <c r="D791" t="inlineStr">
        <is>
          <t>JÖNKÖPINGS LÄN</t>
        </is>
      </c>
      <c r="E791" t="inlineStr">
        <is>
          <t>VETLANDA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2173-2019</t>
        </is>
      </c>
      <c r="B792" s="1" t="n">
        <v>43467</v>
      </c>
      <c r="C792" s="1" t="n">
        <v>45186</v>
      </c>
      <c r="D792" t="inlineStr">
        <is>
          <t>JÖNKÖPINGS LÄN</t>
        </is>
      </c>
      <c r="E792" t="inlineStr">
        <is>
          <t>VETLANDA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2147-2019</t>
        </is>
      </c>
      <c r="B793" s="1" t="n">
        <v>43467</v>
      </c>
      <c r="C793" s="1" t="n">
        <v>45186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426-2019</t>
        </is>
      </c>
      <c r="B794" s="1" t="n">
        <v>43468</v>
      </c>
      <c r="C794" s="1" t="n">
        <v>45186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Kyrkan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308-2019</t>
        </is>
      </c>
      <c r="B795" s="1" t="n">
        <v>43468</v>
      </c>
      <c r="C795" s="1" t="n">
        <v>45186</v>
      </c>
      <c r="D795" t="inlineStr">
        <is>
          <t>JÖNKÖPINGS LÄN</t>
        </is>
      </c>
      <c r="E795" t="inlineStr">
        <is>
          <t>GNOSJÖ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2322-2019</t>
        </is>
      </c>
      <c r="B796" s="1" t="n">
        <v>43468</v>
      </c>
      <c r="C796" s="1" t="n">
        <v>45186</v>
      </c>
      <c r="D796" t="inlineStr">
        <is>
          <t>JÖNKÖPINGS LÄN</t>
        </is>
      </c>
      <c r="E796" t="inlineStr">
        <is>
          <t>NÄSSJÖ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410-2019</t>
        </is>
      </c>
      <c r="B797" s="1" t="n">
        <v>43468</v>
      </c>
      <c r="C797" s="1" t="n">
        <v>45186</v>
      </c>
      <c r="D797" t="inlineStr">
        <is>
          <t>JÖNKÖPINGS LÄN</t>
        </is>
      </c>
      <c r="E797" t="inlineStr">
        <is>
          <t>SÄVSJÖ</t>
        </is>
      </c>
      <c r="F797" t="inlineStr">
        <is>
          <t>Sveaskog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435-2019</t>
        </is>
      </c>
      <c r="B798" s="1" t="n">
        <v>43468</v>
      </c>
      <c r="C798" s="1" t="n">
        <v>45186</v>
      </c>
      <c r="D798" t="inlineStr">
        <is>
          <t>JÖNKÖPINGS LÄN</t>
        </is>
      </c>
      <c r="E798" t="inlineStr">
        <is>
          <t>VAGGERYD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409-2019</t>
        </is>
      </c>
      <c r="B799" s="1" t="n">
        <v>43468</v>
      </c>
      <c r="C799" s="1" t="n">
        <v>45186</v>
      </c>
      <c r="D799" t="inlineStr">
        <is>
          <t>JÖNKÖPINGS LÄN</t>
        </is>
      </c>
      <c r="E799" t="inlineStr">
        <is>
          <t>VÄRNAMO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448-2019</t>
        </is>
      </c>
      <c r="B800" s="1" t="n">
        <v>43468</v>
      </c>
      <c r="C800" s="1" t="n">
        <v>45186</v>
      </c>
      <c r="D800" t="inlineStr">
        <is>
          <t>JÖNKÖPINGS LÄN</t>
        </is>
      </c>
      <c r="E800" t="inlineStr">
        <is>
          <t>VAGGERYD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522-2019</t>
        </is>
      </c>
      <c r="B801" s="1" t="n">
        <v>43469</v>
      </c>
      <c r="C801" s="1" t="n">
        <v>45186</v>
      </c>
      <c r="D801" t="inlineStr">
        <is>
          <t>JÖNKÖPINGS LÄN</t>
        </is>
      </c>
      <c r="E801" t="inlineStr">
        <is>
          <t>MULLSJÖ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659-2019</t>
        </is>
      </c>
      <c r="B802" s="1" t="n">
        <v>43469</v>
      </c>
      <c r="C802" s="1" t="n">
        <v>45186</v>
      </c>
      <c r="D802" t="inlineStr">
        <is>
          <t>JÖNKÖPINGS LÄN</t>
        </is>
      </c>
      <c r="E802" t="inlineStr">
        <is>
          <t>VAGGERYD</t>
        </is>
      </c>
      <c r="G802" t="n">
        <v>6.3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520-2019</t>
        </is>
      </c>
      <c r="B803" s="1" t="n">
        <v>43469</v>
      </c>
      <c r="C803" s="1" t="n">
        <v>45186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668-2019</t>
        </is>
      </c>
      <c r="B804" s="1" t="n">
        <v>43469</v>
      </c>
      <c r="C804" s="1" t="n">
        <v>45186</v>
      </c>
      <c r="D804" t="inlineStr">
        <is>
          <t>JÖNKÖPINGS LÄN</t>
        </is>
      </c>
      <c r="E804" t="inlineStr">
        <is>
          <t>SÄVSJÖ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674-2019</t>
        </is>
      </c>
      <c r="B805" s="1" t="n">
        <v>43469</v>
      </c>
      <c r="C805" s="1" t="n">
        <v>45186</v>
      </c>
      <c r="D805" t="inlineStr">
        <is>
          <t>JÖNKÖPINGS LÄN</t>
        </is>
      </c>
      <c r="E805" t="inlineStr">
        <is>
          <t>SÄVSJÖ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512-2019</t>
        </is>
      </c>
      <c r="B806" s="1" t="n">
        <v>43469</v>
      </c>
      <c r="C806" s="1" t="n">
        <v>45186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536-2019</t>
        </is>
      </c>
      <c r="B807" s="1" t="n">
        <v>43469</v>
      </c>
      <c r="C807" s="1" t="n">
        <v>45186</v>
      </c>
      <c r="D807" t="inlineStr">
        <is>
          <t>JÖNKÖPINGS LÄN</t>
        </is>
      </c>
      <c r="E807" t="inlineStr">
        <is>
          <t>VETLANDA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514-2019</t>
        </is>
      </c>
      <c r="B808" s="1" t="n">
        <v>43469</v>
      </c>
      <c r="C808" s="1" t="n">
        <v>45186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672-2019</t>
        </is>
      </c>
      <c r="B809" s="1" t="n">
        <v>43469</v>
      </c>
      <c r="C809" s="1" t="n">
        <v>45186</v>
      </c>
      <c r="D809" t="inlineStr">
        <is>
          <t>JÖNKÖPINGS LÄN</t>
        </is>
      </c>
      <c r="E809" t="inlineStr">
        <is>
          <t>JÖNKÖPING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3007-2019</t>
        </is>
      </c>
      <c r="B810" s="1" t="n">
        <v>43472</v>
      </c>
      <c r="C810" s="1" t="n">
        <v>45186</v>
      </c>
      <c r="D810" t="inlineStr">
        <is>
          <t>JÖNKÖPINGS LÄN</t>
        </is>
      </c>
      <c r="E810" t="inlineStr">
        <is>
          <t>GISLAVED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1062-2019</t>
        </is>
      </c>
      <c r="B811" s="1" t="n">
        <v>43472</v>
      </c>
      <c r="C811" s="1" t="n">
        <v>45186</v>
      </c>
      <c r="D811" t="inlineStr">
        <is>
          <t>JÖNKÖPINGS LÄN</t>
        </is>
      </c>
      <c r="E811" t="inlineStr">
        <is>
          <t>SÄVSJÖ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1119-2019</t>
        </is>
      </c>
      <c r="B812" s="1" t="n">
        <v>43472</v>
      </c>
      <c r="C812" s="1" t="n">
        <v>45186</v>
      </c>
      <c r="D812" t="inlineStr">
        <is>
          <t>JÖNKÖPINGS LÄN</t>
        </is>
      </c>
      <c r="E812" t="inlineStr">
        <is>
          <t>JÖNKÖPING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1091-2019</t>
        </is>
      </c>
      <c r="B813" s="1" t="n">
        <v>43472</v>
      </c>
      <c r="C813" s="1" t="n">
        <v>45186</v>
      </c>
      <c r="D813" t="inlineStr">
        <is>
          <t>JÖNKÖPINGS LÄN</t>
        </is>
      </c>
      <c r="E813" t="inlineStr">
        <is>
          <t>VÄRNAMO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3280-2019</t>
        </is>
      </c>
      <c r="B814" s="1" t="n">
        <v>43473</v>
      </c>
      <c r="C814" s="1" t="n">
        <v>45186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1304-2019</t>
        </is>
      </c>
      <c r="B815" s="1" t="n">
        <v>43473</v>
      </c>
      <c r="C815" s="1" t="n">
        <v>45186</v>
      </c>
      <c r="D815" t="inlineStr">
        <is>
          <t>JÖNKÖPINGS LÄN</t>
        </is>
      </c>
      <c r="E815" t="inlineStr">
        <is>
          <t>VETLANDA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1397-2019</t>
        </is>
      </c>
      <c r="B816" s="1" t="n">
        <v>43473</v>
      </c>
      <c r="C816" s="1" t="n">
        <v>45186</v>
      </c>
      <c r="D816" t="inlineStr">
        <is>
          <t>JÖNKÖPINGS LÄN</t>
        </is>
      </c>
      <c r="E816" t="inlineStr">
        <is>
          <t>JÖNKÖPING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3242-2019</t>
        </is>
      </c>
      <c r="B817" s="1" t="n">
        <v>43473</v>
      </c>
      <c r="C817" s="1" t="n">
        <v>45186</v>
      </c>
      <c r="D817" t="inlineStr">
        <is>
          <t>JÖNKÖPINGS LÄN</t>
        </is>
      </c>
      <c r="E817" t="inlineStr">
        <is>
          <t>GNOSJÖ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1195-2019</t>
        </is>
      </c>
      <c r="B818" s="1" t="n">
        <v>43473</v>
      </c>
      <c r="C818" s="1" t="n">
        <v>45186</v>
      </c>
      <c r="D818" t="inlineStr">
        <is>
          <t>JÖNKÖPINGS LÄN</t>
        </is>
      </c>
      <c r="E818" t="inlineStr">
        <is>
          <t>GISLAVED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1388-2019</t>
        </is>
      </c>
      <c r="B819" s="1" t="n">
        <v>43473</v>
      </c>
      <c r="C819" s="1" t="n">
        <v>45186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3012-2019</t>
        </is>
      </c>
      <c r="B820" s="1" t="n">
        <v>43473</v>
      </c>
      <c r="C820" s="1" t="n">
        <v>45186</v>
      </c>
      <c r="D820" t="inlineStr">
        <is>
          <t>JÖNKÖPINGS LÄN</t>
        </is>
      </c>
      <c r="E820" t="inlineStr">
        <is>
          <t>VETLANDA</t>
        </is>
      </c>
      <c r="G820" t="n">
        <v>6.8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3317-2019</t>
        </is>
      </c>
      <c r="B821" s="1" t="n">
        <v>43473</v>
      </c>
      <c r="C821" s="1" t="n">
        <v>45186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1406-2019</t>
        </is>
      </c>
      <c r="B822" s="1" t="n">
        <v>43473</v>
      </c>
      <c r="C822" s="1" t="n">
        <v>45186</v>
      </c>
      <c r="D822" t="inlineStr">
        <is>
          <t>JÖNKÖPINGS LÄN</t>
        </is>
      </c>
      <c r="E822" t="inlineStr">
        <is>
          <t>VETLANDA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1716-2019</t>
        </is>
      </c>
      <c r="B823" s="1" t="n">
        <v>43474</v>
      </c>
      <c r="C823" s="1" t="n">
        <v>45186</v>
      </c>
      <c r="D823" t="inlineStr">
        <is>
          <t>JÖNKÖPINGS LÄN</t>
        </is>
      </c>
      <c r="E823" t="inlineStr">
        <is>
          <t>HABO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1788-2019</t>
        </is>
      </c>
      <c r="B824" s="1" t="n">
        <v>43474</v>
      </c>
      <c r="C824" s="1" t="n">
        <v>45186</v>
      </c>
      <c r="D824" t="inlineStr">
        <is>
          <t>JÖNKÖPINGS LÄN</t>
        </is>
      </c>
      <c r="E824" t="inlineStr">
        <is>
          <t>VAGGERYD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1586-2019</t>
        </is>
      </c>
      <c r="B825" s="1" t="n">
        <v>43474</v>
      </c>
      <c r="C825" s="1" t="n">
        <v>45186</v>
      </c>
      <c r="D825" t="inlineStr">
        <is>
          <t>JÖNKÖPINGS LÄN</t>
        </is>
      </c>
      <c r="E825" t="inlineStr">
        <is>
          <t>JÖNKÖPING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1927-2019</t>
        </is>
      </c>
      <c r="B826" s="1" t="n">
        <v>43474</v>
      </c>
      <c r="C826" s="1" t="n">
        <v>45186</v>
      </c>
      <c r="D826" t="inlineStr">
        <is>
          <t>JÖNKÖPINGS LÄN</t>
        </is>
      </c>
      <c r="E826" t="inlineStr">
        <is>
          <t>VÄRNAMO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1582-2019</t>
        </is>
      </c>
      <c r="B827" s="1" t="n">
        <v>43474</v>
      </c>
      <c r="C827" s="1" t="n">
        <v>45186</v>
      </c>
      <c r="D827" t="inlineStr">
        <is>
          <t>JÖNKÖPINGS LÄN</t>
        </is>
      </c>
      <c r="E827" t="inlineStr">
        <is>
          <t>NÄSSJÖ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1794-2019</t>
        </is>
      </c>
      <c r="B828" s="1" t="n">
        <v>43474</v>
      </c>
      <c r="C828" s="1" t="n">
        <v>45186</v>
      </c>
      <c r="D828" t="inlineStr">
        <is>
          <t>JÖNKÖPINGS LÄN</t>
        </is>
      </c>
      <c r="E828" t="inlineStr">
        <is>
          <t>NÄSSJÖ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1881-2019</t>
        </is>
      </c>
      <c r="B829" s="1" t="n">
        <v>43474</v>
      </c>
      <c r="C829" s="1" t="n">
        <v>45186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1624-2019</t>
        </is>
      </c>
      <c r="B830" s="1" t="n">
        <v>43474</v>
      </c>
      <c r="C830" s="1" t="n">
        <v>45186</v>
      </c>
      <c r="D830" t="inlineStr">
        <is>
          <t>JÖNKÖPINGS LÄN</t>
        </is>
      </c>
      <c r="E830" t="inlineStr">
        <is>
          <t>SÄVSJÖ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1730-2019</t>
        </is>
      </c>
      <c r="B831" s="1" t="n">
        <v>43474</v>
      </c>
      <c r="C831" s="1" t="n">
        <v>45186</v>
      </c>
      <c r="D831" t="inlineStr">
        <is>
          <t>JÖNKÖPINGS LÄN</t>
        </is>
      </c>
      <c r="E831" t="inlineStr">
        <is>
          <t>NÄSSJÖ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2273-2019</t>
        </is>
      </c>
      <c r="B832" s="1" t="n">
        <v>43475</v>
      </c>
      <c r="C832" s="1" t="n">
        <v>45186</v>
      </c>
      <c r="D832" t="inlineStr">
        <is>
          <t>JÖNKÖPINGS LÄN</t>
        </is>
      </c>
      <c r="E832" t="inlineStr">
        <is>
          <t>GISLAVED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4008-2019</t>
        </is>
      </c>
      <c r="B833" s="1" t="n">
        <v>43475</v>
      </c>
      <c r="C833" s="1" t="n">
        <v>45186</v>
      </c>
      <c r="D833" t="inlineStr">
        <is>
          <t>JÖNKÖPINGS LÄN</t>
        </is>
      </c>
      <c r="E833" t="inlineStr">
        <is>
          <t>SÄVSJÖ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2271-2019</t>
        </is>
      </c>
      <c r="B834" s="1" t="n">
        <v>43475</v>
      </c>
      <c r="C834" s="1" t="n">
        <v>45186</v>
      </c>
      <c r="D834" t="inlineStr">
        <is>
          <t>JÖNKÖPINGS LÄN</t>
        </is>
      </c>
      <c r="E834" t="inlineStr">
        <is>
          <t>GISLAVED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3904-2019</t>
        </is>
      </c>
      <c r="B835" s="1" t="n">
        <v>43475</v>
      </c>
      <c r="C835" s="1" t="n">
        <v>45186</v>
      </c>
      <c r="D835" t="inlineStr">
        <is>
          <t>JÖNKÖPINGS LÄN</t>
        </is>
      </c>
      <c r="E835" t="inlineStr">
        <is>
          <t>NÄSSJÖ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3967-2019</t>
        </is>
      </c>
      <c r="B836" s="1" t="n">
        <v>43475</v>
      </c>
      <c r="C836" s="1" t="n">
        <v>45186</v>
      </c>
      <c r="D836" t="inlineStr">
        <is>
          <t>JÖNKÖPINGS LÄN</t>
        </is>
      </c>
      <c r="E836" t="inlineStr">
        <is>
          <t>VÄRNAMO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2034-2019</t>
        </is>
      </c>
      <c r="B837" s="1" t="n">
        <v>43475</v>
      </c>
      <c r="C837" s="1" t="n">
        <v>45186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13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2057-2019</t>
        </is>
      </c>
      <c r="B838" s="1" t="n">
        <v>43475</v>
      </c>
      <c r="C838" s="1" t="n">
        <v>45186</v>
      </c>
      <c r="D838" t="inlineStr">
        <is>
          <t>JÖNKÖPINGS LÄN</t>
        </is>
      </c>
      <c r="E838" t="inlineStr">
        <is>
          <t>EKSJÖ</t>
        </is>
      </c>
      <c r="F838" t="inlineStr">
        <is>
          <t>Kommuner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2221-2019</t>
        </is>
      </c>
      <c r="B839" s="1" t="n">
        <v>43475</v>
      </c>
      <c r="C839" s="1" t="n">
        <v>45186</v>
      </c>
      <c r="D839" t="inlineStr">
        <is>
          <t>JÖNKÖPINGS LÄN</t>
        </is>
      </c>
      <c r="E839" t="inlineStr">
        <is>
          <t>VAGGERYD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2592-2019</t>
        </is>
      </c>
      <c r="B840" s="1" t="n">
        <v>43476</v>
      </c>
      <c r="C840" s="1" t="n">
        <v>45186</v>
      </c>
      <c r="D840" t="inlineStr">
        <is>
          <t>JÖNKÖPINGS LÄN</t>
        </is>
      </c>
      <c r="E840" t="inlineStr">
        <is>
          <t>GNOSJÖ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4135-2019</t>
        </is>
      </c>
      <c r="B841" s="1" t="n">
        <v>43476</v>
      </c>
      <c r="C841" s="1" t="n">
        <v>45186</v>
      </c>
      <c r="D841" t="inlineStr">
        <is>
          <t>JÖNKÖPINGS LÄN</t>
        </is>
      </c>
      <c r="E841" t="inlineStr">
        <is>
          <t>ANEBY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4232-2019</t>
        </is>
      </c>
      <c r="B842" s="1" t="n">
        <v>43476</v>
      </c>
      <c r="C842" s="1" t="n">
        <v>45186</v>
      </c>
      <c r="D842" t="inlineStr">
        <is>
          <t>JÖNKÖPINGS LÄN</t>
        </is>
      </c>
      <c r="E842" t="inlineStr">
        <is>
          <t>VETLANDA</t>
        </is>
      </c>
      <c r="G842" t="n">
        <v>3.8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2378-2019</t>
        </is>
      </c>
      <c r="B843" s="1" t="n">
        <v>43476</v>
      </c>
      <c r="C843" s="1" t="n">
        <v>45186</v>
      </c>
      <c r="D843" t="inlineStr">
        <is>
          <t>JÖNKÖPINGS LÄN</t>
        </is>
      </c>
      <c r="E843" t="inlineStr">
        <is>
          <t>JÖNKÖPING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2584-2019</t>
        </is>
      </c>
      <c r="B844" s="1" t="n">
        <v>43476</v>
      </c>
      <c r="C844" s="1" t="n">
        <v>45186</v>
      </c>
      <c r="D844" t="inlineStr">
        <is>
          <t>JÖNKÖPINGS LÄN</t>
        </is>
      </c>
      <c r="E844" t="inlineStr">
        <is>
          <t>GNOSJÖ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4137-2019</t>
        </is>
      </c>
      <c r="B845" s="1" t="n">
        <v>43476</v>
      </c>
      <c r="C845" s="1" t="n">
        <v>45186</v>
      </c>
      <c r="D845" t="inlineStr">
        <is>
          <t>JÖNKÖPINGS LÄN</t>
        </is>
      </c>
      <c r="E845" t="inlineStr">
        <is>
          <t>ANEBY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2354-2019</t>
        </is>
      </c>
      <c r="B846" s="1" t="n">
        <v>43476</v>
      </c>
      <c r="C846" s="1" t="n">
        <v>45186</v>
      </c>
      <c r="D846" t="inlineStr">
        <is>
          <t>JÖNKÖPINGS LÄN</t>
        </is>
      </c>
      <c r="E846" t="inlineStr">
        <is>
          <t>GISLAVED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2369-2019</t>
        </is>
      </c>
      <c r="B847" s="1" t="n">
        <v>43476</v>
      </c>
      <c r="C847" s="1" t="n">
        <v>45186</v>
      </c>
      <c r="D847" t="inlineStr">
        <is>
          <t>JÖNKÖPINGS LÄN</t>
        </is>
      </c>
      <c r="E847" t="inlineStr">
        <is>
          <t>SÄVSJÖ</t>
        </is>
      </c>
      <c r="G847" t="n">
        <v>9.699999999999999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2355-2019</t>
        </is>
      </c>
      <c r="B848" s="1" t="n">
        <v>43476</v>
      </c>
      <c r="C848" s="1" t="n">
        <v>45186</v>
      </c>
      <c r="D848" t="inlineStr">
        <is>
          <t>JÖNKÖPINGS LÄN</t>
        </is>
      </c>
      <c r="E848" t="inlineStr">
        <is>
          <t>GISLAVED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2424-2019</t>
        </is>
      </c>
      <c r="B849" s="1" t="n">
        <v>43476</v>
      </c>
      <c r="C849" s="1" t="n">
        <v>45186</v>
      </c>
      <c r="D849" t="inlineStr">
        <is>
          <t>JÖNKÖPINGS LÄN</t>
        </is>
      </c>
      <c r="E849" t="inlineStr">
        <is>
          <t>JÖNKÖPING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2509-2019</t>
        </is>
      </c>
      <c r="B850" s="1" t="n">
        <v>43476</v>
      </c>
      <c r="C850" s="1" t="n">
        <v>45186</v>
      </c>
      <c r="D850" t="inlineStr">
        <is>
          <t>JÖNKÖPINGS LÄN</t>
        </is>
      </c>
      <c r="E850" t="inlineStr">
        <is>
          <t>ANEBY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2588-2019</t>
        </is>
      </c>
      <c r="B851" s="1" t="n">
        <v>43476</v>
      </c>
      <c r="C851" s="1" t="n">
        <v>45186</v>
      </c>
      <c r="D851" t="inlineStr">
        <is>
          <t>JÖNKÖPINGS LÄN</t>
        </is>
      </c>
      <c r="E851" t="inlineStr">
        <is>
          <t>GNOSJÖ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2750-2019</t>
        </is>
      </c>
      <c r="B852" s="1" t="n">
        <v>43479</v>
      </c>
      <c r="C852" s="1" t="n">
        <v>45186</v>
      </c>
      <c r="D852" t="inlineStr">
        <is>
          <t>JÖNKÖPINGS LÄN</t>
        </is>
      </c>
      <c r="E852" t="inlineStr">
        <is>
          <t>TRANÅS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2912-2019</t>
        </is>
      </c>
      <c r="B853" s="1" t="n">
        <v>43479</v>
      </c>
      <c r="C853" s="1" t="n">
        <v>45186</v>
      </c>
      <c r="D853" t="inlineStr">
        <is>
          <t>JÖNKÖPINGS LÄN</t>
        </is>
      </c>
      <c r="E853" t="inlineStr">
        <is>
          <t>GISLAVED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2995-2019</t>
        </is>
      </c>
      <c r="B854" s="1" t="n">
        <v>43479</v>
      </c>
      <c r="C854" s="1" t="n">
        <v>45186</v>
      </c>
      <c r="D854" t="inlineStr">
        <is>
          <t>JÖNKÖPINGS LÄN</t>
        </is>
      </c>
      <c r="E854" t="inlineStr">
        <is>
          <t>HABO</t>
        </is>
      </c>
      <c r="G854" t="n">
        <v>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4586-2019</t>
        </is>
      </c>
      <c r="B855" s="1" t="n">
        <v>43479</v>
      </c>
      <c r="C855" s="1" t="n">
        <v>45186</v>
      </c>
      <c r="D855" t="inlineStr">
        <is>
          <t>JÖNKÖPINGS LÄN</t>
        </is>
      </c>
      <c r="E855" t="inlineStr">
        <is>
          <t>VÄRNAMO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2849-2019</t>
        </is>
      </c>
      <c r="B856" s="1" t="n">
        <v>43479</v>
      </c>
      <c r="C856" s="1" t="n">
        <v>45186</v>
      </c>
      <c r="D856" t="inlineStr">
        <is>
          <t>JÖNKÖPINGS LÄN</t>
        </is>
      </c>
      <c r="E856" t="inlineStr">
        <is>
          <t>GISLAVED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2872-2019</t>
        </is>
      </c>
      <c r="B857" s="1" t="n">
        <v>43479</v>
      </c>
      <c r="C857" s="1" t="n">
        <v>45186</v>
      </c>
      <c r="D857" t="inlineStr">
        <is>
          <t>JÖNKÖPINGS LÄN</t>
        </is>
      </c>
      <c r="E857" t="inlineStr">
        <is>
          <t>TRANÅS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4520-2019</t>
        </is>
      </c>
      <c r="B858" s="1" t="n">
        <v>43479</v>
      </c>
      <c r="C858" s="1" t="n">
        <v>45186</v>
      </c>
      <c r="D858" t="inlineStr">
        <is>
          <t>JÖNKÖPINGS LÄN</t>
        </is>
      </c>
      <c r="E858" t="inlineStr">
        <is>
          <t>EKSJÖ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4590-2019</t>
        </is>
      </c>
      <c r="B859" s="1" t="n">
        <v>43479</v>
      </c>
      <c r="C859" s="1" t="n">
        <v>45186</v>
      </c>
      <c r="D859" t="inlineStr">
        <is>
          <t>JÖNKÖPINGS LÄN</t>
        </is>
      </c>
      <c r="E859" t="inlineStr">
        <is>
          <t>VÄRNAMO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2958-2019</t>
        </is>
      </c>
      <c r="B860" s="1" t="n">
        <v>43479</v>
      </c>
      <c r="C860" s="1" t="n">
        <v>45186</v>
      </c>
      <c r="D860" t="inlineStr">
        <is>
          <t>JÖNKÖPINGS LÄN</t>
        </is>
      </c>
      <c r="E860" t="inlineStr">
        <is>
          <t>TRANÅS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4574-2019</t>
        </is>
      </c>
      <c r="B861" s="1" t="n">
        <v>43479</v>
      </c>
      <c r="C861" s="1" t="n">
        <v>45186</v>
      </c>
      <c r="D861" t="inlineStr">
        <is>
          <t>JÖNKÖPINGS LÄN</t>
        </is>
      </c>
      <c r="E861" t="inlineStr">
        <is>
          <t>VÄRNAMO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3259-2019</t>
        </is>
      </c>
      <c r="B862" s="1" t="n">
        <v>43480</v>
      </c>
      <c r="C862" s="1" t="n">
        <v>45186</v>
      </c>
      <c r="D862" t="inlineStr">
        <is>
          <t>JÖNKÖPINGS LÄN</t>
        </is>
      </c>
      <c r="E862" t="inlineStr">
        <is>
          <t>ANEBY</t>
        </is>
      </c>
      <c r="G862" t="n">
        <v>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3346-2019</t>
        </is>
      </c>
      <c r="B863" s="1" t="n">
        <v>43480</v>
      </c>
      <c r="C863" s="1" t="n">
        <v>45186</v>
      </c>
      <c r="D863" t="inlineStr">
        <is>
          <t>JÖNKÖPINGS LÄN</t>
        </is>
      </c>
      <c r="E863" t="inlineStr">
        <is>
          <t>JÖNKÖPING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5149-2019</t>
        </is>
      </c>
      <c r="B864" s="1" t="n">
        <v>43480</v>
      </c>
      <c r="C864" s="1" t="n">
        <v>45186</v>
      </c>
      <c r="D864" t="inlineStr">
        <is>
          <t>JÖNKÖPINGS LÄN</t>
        </is>
      </c>
      <c r="E864" t="inlineStr">
        <is>
          <t>TRANÅS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3568-2019</t>
        </is>
      </c>
      <c r="B865" s="1" t="n">
        <v>43480</v>
      </c>
      <c r="C865" s="1" t="n">
        <v>45186</v>
      </c>
      <c r="D865" t="inlineStr">
        <is>
          <t>JÖNKÖPINGS LÄN</t>
        </is>
      </c>
      <c r="E865" t="inlineStr">
        <is>
          <t>TRANÅS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3183-2019</t>
        </is>
      </c>
      <c r="B866" s="1" t="n">
        <v>43480</v>
      </c>
      <c r="C866" s="1" t="n">
        <v>45186</v>
      </c>
      <c r="D866" t="inlineStr">
        <is>
          <t>JÖNKÖPINGS LÄN</t>
        </is>
      </c>
      <c r="E866" t="inlineStr">
        <is>
          <t>VETLANDA</t>
        </is>
      </c>
      <c r="F866" t="inlineStr">
        <is>
          <t>Sveaskog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3311-2019</t>
        </is>
      </c>
      <c r="B867" s="1" t="n">
        <v>43480</v>
      </c>
      <c r="C867" s="1" t="n">
        <v>45186</v>
      </c>
      <c r="D867" t="inlineStr">
        <is>
          <t>JÖNKÖPINGS LÄN</t>
        </is>
      </c>
      <c r="E867" t="inlineStr">
        <is>
          <t>JÖNKÖPING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3383-2019</t>
        </is>
      </c>
      <c r="B868" s="1" t="n">
        <v>43480</v>
      </c>
      <c r="C868" s="1" t="n">
        <v>45186</v>
      </c>
      <c r="D868" t="inlineStr">
        <is>
          <t>JÖNKÖPINGS LÄN</t>
        </is>
      </c>
      <c r="E868" t="inlineStr">
        <is>
          <t>SÄVSJÖ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5305-2019</t>
        </is>
      </c>
      <c r="B869" s="1" t="n">
        <v>43480</v>
      </c>
      <c r="C869" s="1" t="n">
        <v>45186</v>
      </c>
      <c r="D869" t="inlineStr">
        <is>
          <t>JÖNKÖPINGS LÄN</t>
        </is>
      </c>
      <c r="E869" t="inlineStr">
        <is>
          <t>TRANÅS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3184-2019</t>
        </is>
      </c>
      <c r="B870" s="1" t="n">
        <v>43480</v>
      </c>
      <c r="C870" s="1" t="n">
        <v>45186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3236-2019</t>
        </is>
      </c>
      <c r="B871" s="1" t="n">
        <v>43480</v>
      </c>
      <c r="C871" s="1" t="n">
        <v>45186</v>
      </c>
      <c r="D871" t="inlineStr">
        <is>
          <t>JÖNKÖPINGS LÄN</t>
        </is>
      </c>
      <c r="E871" t="inlineStr">
        <is>
          <t>TRANÅS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5147-2019</t>
        </is>
      </c>
      <c r="B872" s="1" t="n">
        <v>43480</v>
      </c>
      <c r="C872" s="1" t="n">
        <v>45186</v>
      </c>
      <c r="D872" t="inlineStr">
        <is>
          <t>JÖNKÖPINGS LÄN</t>
        </is>
      </c>
      <c r="E872" t="inlineStr">
        <is>
          <t>TRANÅS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3685-2019</t>
        </is>
      </c>
      <c r="B873" s="1" t="n">
        <v>43481</v>
      </c>
      <c r="C873" s="1" t="n">
        <v>45186</v>
      </c>
      <c r="D873" t="inlineStr">
        <is>
          <t>JÖNKÖPINGS LÄN</t>
        </is>
      </c>
      <c r="E873" t="inlineStr">
        <is>
          <t>TRANÅS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3460-2019</t>
        </is>
      </c>
      <c r="B874" s="1" t="n">
        <v>43481</v>
      </c>
      <c r="C874" s="1" t="n">
        <v>45186</v>
      </c>
      <c r="D874" t="inlineStr">
        <is>
          <t>JÖNKÖPINGS LÄN</t>
        </is>
      </c>
      <c r="E874" t="inlineStr">
        <is>
          <t>HABO</t>
        </is>
      </c>
      <c r="F874" t="inlineStr">
        <is>
          <t>Kommuner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3577-2019</t>
        </is>
      </c>
      <c r="B875" s="1" t="n">
        <v>43481</v>
      </c>
      <c r="C875" s="1" t="n">
        <v>45186</v>
      </c>
      <c r="D875" t="inlineStr">
        <is>
          <t>JÖNKÖPINGS LÄN</t>
        </is>
      </c>
      <c r="E875" t="inlineStr">
        <is>
          <t>VAGGERYD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3592-2019</t>
        </is>
      </c>
      <c r="B876" s="1" t="n">
        <v>43481</v>
      </c>
      <c r="C876" s="1" t="n">
        <v>45186</v>
      </c>
      <c r="D876" t="inlineStr">
        <is>
          <t>JÖNKÖPINGS LÄN</t>
        </is>
      </c>
      <c r="E876" t="inlineStr">
        <is>
          <t>VETLANDA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3714-2019</t>
        </is>
      </c>
      <c r="B877" s="1" t="n">
        <v>43481</v>
      </c>
      <c r="C877" s="1" t="n">
        <v>45186</v>
      </c>
      <c r="D877" t="inlineStr">
        <is>
          <t>JÖNKÖPINGS LÄN</t>
        </is>
      </c>
      <c r="E877" t="inlineStr">
        <is>
          <t>GNOSJÖ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3765-2019</t>
        </is>
      </c>
      <c r="B878" s="1" t="n">
        <v>43481</v>
      </c>
      <c r="C878" s="1" t="n">
        <v>45186</v>
      </c>
      <c r="D878" t="inlineStr">
        <is>
          <t>JÖNKÖPINGS LÄN</t>
        </is>
      </c>
      <c r="E878" t="inlineStr">
        <is>
          <t>VAGGERYD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5300-2019</t>
        </is>
      </c>
      <c r="B879" s="1" t="n">
        <v>43481</v>
      </c>
      <c r="C879" s="1" t="n">
        <v>45186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3691-2019</t>
        </is>
      </c>
      <c r="B880" s="1" t="n">
        <v>43481</v>
      </c>
      <c r="C880" s="1" t="n">
        <v>45186</v>
      </c>
      <c r="D880" t="inlineStr">
        <is>
          <t>JÖNKÖPINGS LÄN</t>
        </is>
      </c>
      <c r="E880" t="inlineStr">
        <is>
          <t>TRANÅS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3860-2019</t>
        </is>
      </c>
      <c r="B881" s="1" t="n">
        <v>43482</v>
      </c>
      <c r="C881" s="1" t="n">
        <v>45186</v>
      </c>
      <c r="D881" t="inlineStr">
        <is>
          <t>JÖNKÖPINGS LÄN</t>
        </is>
      </c>
      <c r="E881" t="inlineStr">
        <is>
          <t>ANEBY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5469-2019</t>
        </is>
      </c>
      <c r="B882" s="1" t="n">
        <v>43482</v>
      </c>
      <c r="C882" s="1" t="n">
        <v>45186</v>
      </c>
      <c r="D882" t="inlineStr">
        <is>
          <t>JÖNKÖPINGS LÄN</t>
        </is>
      </c>
      <c r="E882" t="inlineStr">
        <is>
          <t>VETLANDA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5677-2019</t>
        </is>
      </c>
      <c r="B883" s="1" t="n">
        <v>43482</v>
      </c>
      <c r="C883" s="1" t="n">
        <v>45186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5459-2019</t>
        </is>
      </c>
      <c r="B884" s="1" t="n">
        <v>43482</v>
      </c>
      <c r="C884" s="1" t="n">
        <v>45186</v>
      </c>
      <c r="D884" t="inlineStr">
        <is>
          <t>JÖNKÖPINGS LÄN</t>
        </is>
      </c>
      <c r="E884" t="inlineStr">
        <is>
          <t>VETLANDA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5771-2019</t>
        </is>
      </c>
      <c r="B885" s="1" t="n">
        <v>43482</v>
      </c>
      <c r="C885" s="1" t="n">
        <v>45186</v>
      </c>
      <c r="D885" t="inlineStr">
        <is>
          <t>JÖNKÖPINGS LÄN</t>
        </is>
      </c>
      <c r="E885" t="inlineStr">
        <is>
          <t>TRANÅS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4091-2019</t>
        </is>
      </c>
      <c r="B886" s="1" t="n">
        <v>43482</v>
      </c>
      <c r="C886" s="1" t="n">
        <v>45186</v>
      </c>
      <c r="D886" t="inlineStr">
        <is>
          <t>JÖNKÖPINGS LÄN</t>
        </is>
      </c>
      <c r="E886" t="inlineStr">
        <is>
          <t>NÄSSJÖ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4212-2019</t>
        </is>
      </c>
      <c r="B887" s="1" t="n">
        <v>43483</v>
      </c>
      <c r="C887" s="1" t="n">
        <v>45186</v>
      </c>
      <c r="D887" t="inlineStr">
        <is>
          <t>JÖNKÖPINGS LÄN</t>
        </is>
      </c>
      <c r="E887" t="inlineStr">
        <is>
          <t>NÄSSJÖ</t>
        </is>
      </c>
      <c r="G887" t="n">
        <v>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5834-2019</t>
        </is>
      </c>
      <c r="B888" s="1" t="n">
        <v>43483</v>
      </c>
      <c r="C888" s="1" t="n">
        <v>45186</v>
      </c>
      <c r="D888" t="inlineStr">
        <is>
          <t>JÖNKÖPINGS LÄN</t>
        </is>
      </c>
      <c r="E888" t="inlineStr">
        <is>
          <t>VAGGERYD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5832-2019</t>
        </is>
      </c>
      <c r="B889" s="1" t="n">
        <v>43483</v>
      </c>
      <c r="C889" s="1" t="n">
        <v>45186</v>
      </c>
      <c r="D889" t="inlineStr">
        <is>
          <t>JÖNKÖPINGS LÄN</t>
        </is>
      </c>
      <c r="E889" t="inlineStr">
        <is>
          <t>VAGGERYD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5838-2019</t>
        </is>
      </c>
      <c r="B890" s="1" t="n">
        <v>43483</v>
      </c>
      <c r="C890" s="1" t="n">
        <v>45186</v>
      </c>
      <c r="D890" t="inlineStr">
        <is>
          <t>JÖNKÖPINGS LÄN</t>
        </is>
      </c>
      <c r="E890" t="inlineStr">
        <is>
          <t>VAGGERYD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5974-2019</t>
        </is>
      </c>
      <c r="B891" s="1" t="n">
        <v>43483</v>
      </c>
      <c r="C891" s="1" t="n">
        <v>45186</v>
      </c>
      <c r="D891" t="inlineStr">
        <is>
          <t>JÖNKÖPINGS LÄN</t>
        </is>
      </c>
      <c r="E891" t="inlineStr">
        <is>
          <t>ANEBY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4303-2019</t>
        </is>
      </c>
      <c r="B892" s="1" t="n">
        <v>43483</v>
      </c>
      <c r="C892" s="1" t="n">
        <v>45186</v>
      </c>
      <c r="D892" t="inlineStr">
        <is>
          <t>JÖNKÖPINGS LÄN</t>
        </is>
      </c>
      <c r="E892" t="inlineStr">
        <is>
          <t>EKSJÖ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5851-2019</t>
        </is>
      </c>
      <c r="B893" s="1" t="n">
        <v>43483</v>
      </c>
      <c r="C893" s="1" t="n">
        <v>45186</v>
      </c>
      <c r="D893" t="inlineStr">
        <is>
          <t>JÖNKÖPINGS LÄN</t>
        </is>
      </c>
      <c r="E893" t="inlineStr">
        <is>
          <t>SÄVSJÖ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4380-2019</t>
        </is>
      </c>
      <c r="B894" s="1" t="n">
        <v>43484</v>
      </c>
      <c r="C894" s="1" t="n">
        <v>45186</v>
      </c>
      <c r="D894" t="inlineStr">
        <is>
          <t>JÖNKÖPINGS LÄN</t>
        </is>
      </c>
      <c r="E894" t="inlineStr">
        <is>
          <t>NÄSSJÖ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4440-2019</t>
        </is>
      </c>
      <c r="B895" s="1" t="n">
        <v>43485</v>
      </c>
      <c r="C895" s="1" t="n">
        <v>45186</v>
      </c>
      <c r="D895" t="inlineStr">
        <is>
          <t>JÖNKÖPINGS LÄN</t>
        </is>
      </c>
      <c r="E895" t="inlineStr">
        <is>
          <t>VETLANDA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4608-2019</t>
        </is>
      </c>
      <c r="B896" s="1" t="n">
        <v>43486</v>
      </c>
      <c r="C896" s="1" t="n">
        <v>45186</v>
      </c>
      <c r="D896" t="inlineStr">
        <is>
          <t>JÖNKÖPINGS LÄN</t>
        </is>
      </c>
      <c r="E896" t="inlineStr">
        <is>
          <t>VÄRNAMO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6225-2019</t>
        </is>
      </c>
      <c r="B897" s="1" t="n">
        <v>43486</v>
      </c>
      <c r="C897" s="1" t="n">
        <v>45186</v>
      </c>
      <c r="D897" t="inlineStr">
        <is>
          <t>JÖNKÖPINGS LÄN</t>
        </is>
      </c>
      <c r="E897" t="inlineStr">
        <is>
          <t>ANEBY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6245-2019</t>
        </is>
      </c>
      <c r="B898" s="1" t="n">
        <v>43486</v>
      </c>
      <c r="C898" s="1" t="n">
        <v>45186</v>
      </c>
      <c r="D898" t="inlineStr">
        <is>
          <t>JÖNKÖPINGS LÄN</t>
        </is>
      </c>
      <c r="E898" t="inlineStr">
        <is>
          <t>VÄRNAMO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4475-2019</t>
        </is>
      </c>
      <c r="B899" s="1" t="n">
        <v>43486</v>
      </c>
      <c r="C899" s="1" t="n">
        <v>45186</v>
      </c>
      <c r="D899" t="inlineStr">
        <is>
          <t>JÖNKÖPINGS LÄN</t>
        </is>
      </c>
      <c r="E899" t="inlineStr">
        <is>
          <t>NÄSSJÖ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4743-2019</t>
        </is>
      </c>
      <c r="B900" s="1" t="n">
        <v>43486</v>
      </c>
      <c r="C900" s="1" t="n">
        <v>45186</v>
      </c>
      <c r="D900" t="inlineStr">
        <is>
          <t>JÖNKÖPINGS LÄN</t>
        </is>
      </c>
      <c r="E900" t="inlineStr">
        <is>
          <t>VÄRNAMO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6409-2019</t>
        </is>
      </c>
      <c r="B901" s="1" t="n">
        <v>43486</v>
      </c>
      <c r="C901" s="1" t="n">
        <v>45186</v>
      </c>
      <c r="D901" t="inlineStr">
        <is>
          <t>JÖNKÖPINGS LÄN</t>
        </is>
      </c>
      <c r="E901" t="inlineStr">
        <is>
          <t>NÄSSJÖ</t>
        </is>
      </c>
      <c r="G901" t="n">
        <v>4.6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4560-2019</t>
        </is>
      </c>
      <c r="B902" s="1" t="n">
        <v>43486</v>
      </c>
      <c r="C902" s="1" t="n">
        <v>45186</v>
      </c>
      <c r="D902" t="inlineStr">
        <is>
          <t>JÖNKÖPINGS LÄN</t>
        </is>
      </c>
      <c r="E902" t="inlineStr">
        <is>
          <t>VÄRNAMO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4741-2019</t>
        </is>
      </c>
      <c r="B903" s="1" t="n">
        <v>43486</v>
      </c>
      <c r="C903" s="1" t="n">
        <v>45186</v>
      </c>
      <c r="D903" t="inlineStr">
        <is>
          <t>JÖNKÖPINGS LÄN</t>
        </is>
      </c>
      <c r="E903" t="inlineStr">
        <is>
          <t>EKSJÖ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6181-2019</t>
        </is>
      </c>
      <c r="B904" s="1" t="n">
        <v>43486</v>
      </c>
      <c r="C904" s="1" t="n">
        <v>45186</v>
      </c>
      <c r="D904" t="inlineStr">
        <is>
          <t>JÖNKÖPINGS LÄN</t>
        </is>
      </c>
      <c r="E904" t="inlineStr">
        <is>
          <t>VETLANDA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6238-2019</t>
        </is>
      </c>
      <c r="B905" s="1" t="n">
        <v>43486</v>
      </c>
      <c r="C905" s="1" t="n">
        <v>45186</v>
      </c>
      <c r="D905" t="inlineStr">
        <is>
          <t>JÖNKÖPINGS LÄN</t>
        </is>
      </c>
      <c r="E905" t="inlineStr">
        <is>
          <t>VÄRNAMO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6179-2019</t>
        </is>
      </c>
      <c r="B906" s="1" t="n">
        <v>43486</v>
      </c>
      <c r="C906" s="1" t="n">
        <v>45186</v>
      </c>
      <c r="D906" t="inlineStr">
        <is>
          <t>JÖNKÖPINGS LÄN</t>
        </is>
      </c>
      <c r="E906" t="inlineStr">
        <is>
          <t>VETLANDA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6527-2019</t>
        </is>
      </c>
      <c r="B907" s="1" t="n">
        <v>43487</v>
      </c>
      <c r="C907" s="1" t="n">
        <v>45186</v>
      </c>
      <c r="D907" t="inlineStr">
        <is>
          <t>JÖNKÖPINGS LÄN</t>
        </is>
      </c>
      <c r="E907" t="inlineStr">
        <is>
          <t>VAGGERYD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6713-2019</t>
        </is>
      </c>
      <c r="B908" s="1" t="n">
        <v>43487</v>
      </c>
      <c r="C908" s="1" t="n">
        <v>45186</v>
      </c>
      <c r="D908" t="inlineStr">
        <is>
          <t>JÖNKÖPINGS LÄN</t>
        </is>
      </c>
      <c r="E908" t="inlineStr">
        <is>
          <t>NÄSSJÖ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6534-2019</t>
        </is>
      </c>
      <c r="B909" s="1" t="n">
        <v>43487</v>
      </c>
      <c r="C909" s="1" t="n">
        <v>45186</v>
      </c>
      <c r="D909" t="inlineStr">
        <is>
          <t>JÖNKÖPINGS LÄN</t>
        </is>
      </c>
      <c r="E909" t="inlineStr">
        <is>
          <t>SÄVSJÖ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6712-2019</t>
        </is>
      </c>
      <c r="B910" s="1" t="n">
        <v>43487</v>
      </c>
      <c r="C910" s="1" t="n">
        <v>45186</v>
      </c>
      <c r="D910" t="inlineStr">
        <is>
          <t>JÖNKÖPINGS LÄN</t>
        </is>
      </c>
      <c r="E910" t="inlineStr">
        <is>
          <t>SÄVSJÖ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6706-2019</t>
        </is>
      </c>
      <c r="B911" s="1" t="n">
        <v>43487</v>
      </c>
      <c r="C911" s="1" t="n">
        <v>45186</v>
      </c>
      <c r="D911" t="inlineStr">
        <is>
          <t>JÖNKÖPINGS LÄN</t>
        </is>
      </c>
      <c r="E911" t="inlineStr">
        <is>
          <t>SÄVSJÖ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5390-2019</t>
        </is>
      </c>
      <c r="B912" s="1" t="n">
        <v>43488</v>
      </c>
      <c r="C912" s="1" t="n">
        <v>45186</v>
      </c>
      <c r="D912" t="inlineStr">
        <is>
          <t>JÖNKÖPINGS LÄN</t>
        </is>
      </c>
      <c r="E912" t="inlineStr">
        <is>
          <t>SÄVSJÖ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5397-2019</t>
        </is>
      </c>
      <c r="B913" s="1" t="n">
        <v>43488</v>
      </c>
      <c r="C913" s="1" t="n">
        <v>45186</v>
      </c>
      <c r="D913" t="inlineStr">
        <is>
          <t>JÖNKÖPINGS LÄN</t>
        </is>
      </c>
      <c r="E913" t="inlineStr">
        <is>
          <t>SÄVSJÖ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5463-2019</t>
        </is>
      </c>
      <c r="B914" s="1" t="n">
        <v>43489</v>
      </c>
      <c r="C914" s="1" t="n">
        <v>45186</v>
      </c>
      <c r="D914" t="inlineStr">
        <is>
          <t>JÖNKÖPINGS LÄN</t>
        </is>
      </c>
      <c r="E914" t="inlineStr">
        <is>
          <t>SÄVSJÖ</t>
        </is>
      </c>
      <c r="F914" t="inlineStr">
        <is>
          <t>Kyrkan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5696-2019</t>
        </is>
      </c>
      <c r="B915" s="1" t="n">
        <v>43489</v>
      </c>
      <c r="C915" s="1" t="n">
        <v>45186</v>
      </c>
      <c r="D915" t="inlineStr">
        <is>
          <t>JÖNKÖPINGS LÄN</t>
        </is>
      </c>
      <c r="E915" t="inlineStr">
        <is>
          <t>NÄSSJÖ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6919-2019</t>
        </is>
      </c>
      <c r="B916" s="1" t="n">
        <v>43489</v>
      </c>
      <c r="C916" s="1" t="n">
        <v>45186</v>
      </c>
      <c r="D916" t="inlineStr">
        <is>
          <t>JÖNKÖPINGS LÄN</t>
        </is>
      </c>
      <c r="E916" t="inlineStr">
        <is>
          <t>SÄVSJÖ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5651-2019</t>
        </is>
      </c>
      <c r="B917" s="1" t="n">
        <v>43489</v>
      </c>
      <c r="C917" s="1" t="n">
        <v>45186</v>
      </c>
      <c r="D917" t="inlineStr">
        <is>
          <t>JÖNKÖPINGS LÄN</t>
        </is>
      </c>
      <c r="E917" t="inlineStr">
        <is>
          <t>SÄVSJÖ</t>
        </is>
      </c>
      <c r="F917" t="inlineStr">
        <is>
          <t>Sveaskog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5697-2019</t>
        </is>
      </c>
      <c r="B918" s="1" t="n">
        <v>43489</v>
      </c>
      <c r="C918" s="1" t="n">
        <v>45186</v>
      </c>
      <c r="D918" t="inlineStr">
        <is>
          <t>JÖNKÖPINGS LÄN</t>
        </is>
      </c>
      <c r="E918" t="inlineStr">
        <is>
          <t>NÄSSJÖ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45186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45186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45186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45186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45186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45186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45186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45186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45186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45186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45186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45186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45186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45186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45186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45186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45186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45186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45186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45186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45186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45186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45186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45186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45186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45186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45186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45186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45186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45186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45186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45186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45186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45186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45186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45186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45186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45186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45186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45186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45186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45186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45186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45186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45186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45186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45186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45186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45186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45186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45186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45186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45186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45186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45186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45186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45186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45186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45186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45186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45186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45186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45186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45186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45186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45186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45186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45186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45186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45186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45186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45186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45186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45186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45186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45186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45186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45186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45186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45186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45186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45186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45186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45186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45186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45186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45186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45186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45186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45186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45186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45186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45186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45186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45186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45186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45186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45186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45186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45186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45186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45186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45186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45186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45186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45186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45186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45186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45186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45186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45186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45186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45186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45186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45186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45186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45186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45186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45186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45186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45186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45186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45186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45186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45186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45186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45186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45186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45186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45186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45186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45186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45186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45186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45186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45186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45186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45186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45186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45186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45186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45186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45186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45186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45186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45186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45186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45186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45186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45186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45186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45186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45186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45186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45186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45186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45186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45186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45186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45186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45186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45186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45186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45186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45186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45186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45186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45186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45186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45186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45186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45186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45186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45186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45186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45186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45186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45186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45186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45186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45186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45186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45186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45186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45186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45186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45186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45186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45186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45186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45186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45186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45186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45186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45186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45186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45186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45186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45186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45186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45186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45186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45186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45186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45186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45186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45186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45186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45186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45186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45186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45186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45186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45186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45186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45186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45186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45186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45186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45186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45186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45186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45186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45186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45186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45186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45186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45186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45186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45186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45186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45186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45186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45186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45186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45186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45186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45186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45186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45186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45186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45186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45186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45186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45186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45186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45186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45186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45186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45186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45186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45186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45186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45186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45186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45186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45186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45186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45186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45186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45186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45186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45186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45186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45186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45186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45186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45186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45186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45186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45186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45186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45186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45186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45186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45186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45186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45186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45186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45186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45186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45186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45186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45186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45186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45186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45186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45186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45186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45186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45186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45186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45186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45186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45186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45186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45186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45186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45186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45186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45186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45186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45186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45186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45186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45186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45186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45186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45186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45186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45186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45186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45186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45186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45186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45186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45186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45186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45186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45186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45186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45186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45186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45186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45186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45186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45186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45186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45186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45186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45186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45186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45186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45186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45186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45186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45186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45186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45186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45186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45186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45186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45186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45186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45186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45186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45186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45186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45186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45186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45186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45186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45186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45186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45186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45186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45186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45186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45186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45186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45186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45186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45186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45186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45186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45186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45186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45186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45186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45186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45186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45186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45186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45186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45186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45186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45186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45186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45186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45186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45186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45186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45186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45186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45186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45186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45186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45186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45186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45186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45186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45186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45186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45186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45186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45186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45186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45186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45186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45186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45186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45186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45186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45186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45186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45186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45186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45186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45186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45186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45186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45186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45186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45186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45186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45186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45186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45186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45186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45186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45186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45186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45186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45186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45186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45186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45186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45186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45186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45186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45186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45186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45186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45186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45186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45186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45186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45186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45186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45186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45186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45186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45186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45186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45186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45186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45186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45186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45186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45186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45186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45186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45186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45186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45186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45186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45186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45186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45186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45186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45186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45186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45186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45186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45186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45186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45186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45186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45186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45186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45186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45186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45186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45186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45186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45186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45186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45186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45186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45186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45186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45186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45186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45186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45186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45186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45186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45186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45186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45186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45186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45186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45186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45186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45186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45186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45186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45186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45186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45186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45186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45186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45186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45186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45186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45186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45186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45186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45186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45186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45186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45186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45186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45186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45186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45186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45186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45186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45186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45186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45186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45186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45186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45186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45186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45186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45186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45186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45186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45186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45186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45186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45186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45186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45186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45186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45186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45186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45186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45186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45186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45186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45186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45186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45186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45186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45186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45186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45186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45186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45186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45186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45186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45186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45186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45186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45186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45186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45186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45186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45186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45186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45186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45186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45186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45186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45186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45186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45186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45186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45186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45186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45186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45186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45186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45186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45186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45186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45186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45186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45186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45186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45186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45186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45186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45186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45186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45186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45186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45186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45186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45186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45186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45186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45186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45186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45186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45186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45186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45186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45186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45186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45186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45186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45186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45186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45186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45186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45186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45186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45186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45186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45186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45186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45186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45186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45186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45186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45186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45186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45186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45186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45186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45186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45186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45186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45186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45186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45186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45186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45186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45186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45186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45186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45186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45186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45186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45186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45186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45186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45186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45186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45186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45186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45186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45186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45186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45186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45186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45186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45186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45186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45186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45186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45186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45186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45186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45186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45186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45186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45186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45186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45186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45186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45186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45186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45186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45186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45186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45186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45186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45186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45186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45186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45186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45186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45186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45186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45186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45186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45186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45186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45186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45186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45186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45186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45186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45186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45186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45186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45186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45186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45186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45186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45186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45186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45186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45186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45186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45186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45186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45186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45186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45186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45186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45186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45186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45186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45186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45186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45186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45186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45186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45186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45186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45186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45186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45186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45186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45186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45186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45186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45186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45186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45186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45186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45186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45186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45186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45186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45186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45186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45186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45186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45186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45186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45186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45186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45186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45186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45186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45186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45186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45186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45186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45186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45186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45186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45186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45186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45186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45186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45186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45186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45186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45186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45186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45186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45186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45186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45186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45186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45186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45186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45186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45186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45186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45186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45186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45186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45186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45186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45186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45186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45186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45186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45186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45186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45186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45186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45186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45186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45186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45186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45186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45186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45186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45186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45186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45186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45186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45186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45186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45186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45186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45186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45186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45186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45186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45186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45186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45186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45186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45186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45186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45186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45186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45186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45186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45186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45186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45186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45186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45186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45186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45186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45186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45186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45186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45186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45186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45186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45186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45186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45186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45186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45186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45186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45186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45186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45186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45186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45186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45186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45186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45186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45186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45186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45186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45186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45186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45186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45186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45186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45186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45186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45186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45186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45186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45186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45186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45186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45186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45186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45186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45186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45186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45186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45186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45186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45186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45186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45186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45186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45186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45186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45186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45186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45186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45186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45186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45186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45186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45186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45186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45186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45186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45186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45186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45186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45186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45186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45186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45186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45186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45186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45186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45186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45186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45186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45186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45186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45186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45186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45186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45186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45186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45186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45186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45186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45186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45186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45186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45186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45186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45186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45186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45186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45186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45186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45186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45186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45186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45186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45186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45186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45186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45186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45186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45186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45186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45186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45186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45186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45186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45186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45186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45186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45186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45186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45186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45186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45186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45186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45186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45186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45186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45186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45186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45186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45186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45186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45186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45186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45186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45186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45186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45186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45186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45186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45186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45186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45186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45186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45186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45186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45186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45186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45186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45186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45186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45186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45186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45186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45186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45186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45186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45186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45186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45186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45186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45186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45186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45186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45186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45186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45186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45186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45186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45186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45186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45186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45186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45186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45186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45186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45186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45186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45186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45186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45186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45186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45186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45186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45186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45186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45186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45186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45186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45186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45186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45186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45186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45186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45186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45186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45186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45186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45186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45186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45186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45186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45186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45186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45186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45186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45186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45186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45186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45186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45186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45186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45186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45186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45186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45186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45186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45186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45186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45186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45186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45186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45186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45186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45186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45186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45186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45186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45186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45186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45186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45186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45186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45186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45186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45186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45186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45186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45186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45186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45186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45186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45186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45186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45186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45186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45186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45186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45186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45186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45186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45186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45186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45186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45186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45186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45186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45186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45186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45186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45186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45186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45186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45186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45186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45186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45186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45186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45186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45186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45186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45186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45186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45186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45186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45186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45186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45186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45186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45186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45186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45186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45186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45186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45186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45186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45186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45186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45186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45186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45186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45186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45186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45186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45186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45186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45186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45186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45186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45186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45186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45186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45186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45186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45186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45186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45186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45186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45186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45186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45186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45186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45186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45186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45186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45186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45186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45186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45186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45186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45186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45186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45186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45186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45186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45186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45186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45186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45186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45186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45186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45186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45186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45186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45186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45186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45186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45186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45186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45186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45186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45186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45186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45186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45186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45186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45186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45186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45186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45186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45186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45186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45186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45186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45186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45186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45186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45186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45186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45186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45186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45186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45186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45186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45186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45186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45186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45186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45186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45186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45186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45186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45186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45186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45186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45186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45186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45186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45186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45186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45186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45186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45186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45186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45186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45186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45186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45186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45186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45186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45186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45186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45186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45186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45186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45186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45186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45186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45186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45186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45186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45186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45186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45186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45186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45186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45186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45186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45186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45186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45186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45186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45186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45186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45186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45186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45186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45186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45186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45186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45186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45186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45186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45186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45186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45186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45186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45186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45186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45186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45186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45186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45186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45186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45186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45186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45186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45186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45186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45186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45186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45186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45186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45186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45186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45186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45186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45186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45186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45186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45186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45186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45186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45186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45186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45186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45186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45186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45186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45186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45186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45186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45186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45186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45186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45186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45186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45186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45186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45186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45186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45186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45186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45186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45186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45186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45186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45186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45186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45186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13377-2020.png", "A 13377-2020")</f>
        <v/>
      </c>
      <c r="V2208">
        <f>HYPERLINK("https://klasma.github.io/Logging_JONKOPING/klagomål/A 13377-2020.docx", "A 13377-2020")</f>
        <v/>
      </c>
      <c r="W2208">
        <f>HYPERLINK("https://klasma.github.io/Logging_JONKOPING/klagomålsmail/A 13377-2020.docx", "A 13377-2020")</f>
        <v/>
      </c>
      <c r="X2208">
        <f>HYPERLINK("https://klasma.github.io/Logging_JONKOPING/tillsyn/A 13377-2020.docx", "A 13377-2020")</f>
        <v/>
      </c>
      <c r="Y2208">
        <f>HYPERLINK("https://klasma.github.io/Logging_JONKOPING/tillsynsmail/A 13377-2020.docx", "A 13377-2020")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45186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45186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45186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45186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45186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45186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45186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45186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45186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45186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45186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45186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45186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45186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45186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45186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45186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45186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45186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45186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45186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45186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45186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45186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45186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45186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45186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45186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45186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45186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45186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45186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45186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45186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45186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45186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45186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45186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45186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45186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45186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45186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45186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45186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45186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45186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45186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45186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45186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45186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45186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45186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45186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45186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45186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45186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45186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45186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45186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45186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45186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45186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45186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45186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45186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45186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45186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45186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45186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45186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45186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45186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45186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45186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45186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45186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45186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45186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45186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45186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45186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45186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45186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45186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45186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45186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45186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45186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45186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45186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45186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45186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45186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45186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45186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45186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45186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45186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45186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45186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45186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45186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45186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45186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45186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45186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45186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45186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45186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45186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45186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45186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45186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45186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45186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45186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45186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45186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45186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45186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45186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45186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45186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45186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45186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45186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45186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45186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45186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45186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45186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45186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45186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45186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45186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45186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45186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45186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45186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45186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45186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45186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45186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45186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45186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45186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45186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45186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45186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45186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45186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45186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45186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45186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45186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45186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45186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45186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45186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45186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45186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45186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45186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45186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45186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45186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45186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45186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45186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45186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45186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45186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45186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45186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45186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45186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45186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45186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45186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45186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45186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45186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45186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45186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45186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45186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45186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45186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45186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45186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45186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45186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45186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45186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45186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45186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45186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45186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45186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45186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45186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45186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45186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45186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45186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45186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45186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45186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45186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45186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45186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45186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45186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45186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45186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45186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45186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45186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45186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45186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45186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45186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45186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45186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45186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45186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45186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45186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45186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45186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45186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45186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45186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45186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45186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45186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45186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45186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45186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45186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45186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45186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45186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45186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45186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32870-2020.png", "A 32870-2020")</f>
        <v/>
      </c>
      <c r="V2453">
        <f>HYPERLINK("https://klasma.github.io/Logging_VETLANDA/klagomål/A 32870-2020.docx", "A 32870-2020")</f>
        <v/>
      </c>
      <c r="W2453">
        <f>HYPERLINK("https://klasma.github.io/Logging_VETLANDA/klagomålsmail/A 32870-2020.docx", "A 32870-2020")</f>
        <v/>
      </c>
      <c r="X2453">
        <f>HYPERLINK("https://klasma.github.io/Logging_VETLANDA/tillsyn/A 32870-2020.docx", "A 32870-2020")</f>
        <v/>
      </c>
      <c r="Y2453">
        <f>HYPERLINK("https://klasma.github.io/Logging_VETLANDA/tillsynsmail/A 32870-2020.docx", "A 32870-2020")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45186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45186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45186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45186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45186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45186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45186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45186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45186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45186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45186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45186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45186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45186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45186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45186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45186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45186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45186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45186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45186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45186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45186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45186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45186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45186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45186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45186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45186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45186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45186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45186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45186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45186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45186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45186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45186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45186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45186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45186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45186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45186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45186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45186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45186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45186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45186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45186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45186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45186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45186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45186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45186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45186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45186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45186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45186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45186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45186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45186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45186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45186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45186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45186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45186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45186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45186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45186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45186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45186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45186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45186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45186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45186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45186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45186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45186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45186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45186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45186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45186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45186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45186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45186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45186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45186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45186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45186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45186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45186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45186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45186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45186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45186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45186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45186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45186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45186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45186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45186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45186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45186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45186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45186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45186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45186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45186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45186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45186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45186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45186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45186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45186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45186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45186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45186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45186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45186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45186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45186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45186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45186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45186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45186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45186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45186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45186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45186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45186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45186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45186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45186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45186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45186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45186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45186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45186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45186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45186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45186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45186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45186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45186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45186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45186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45186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45186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45186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45186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45186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45186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45186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45186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45186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45186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45186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45186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45186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45186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45186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45186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45186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45186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45186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45186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45186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45186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45186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45186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45186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45186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45186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45186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45186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45186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45186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45186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45186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45186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45186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45186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45186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45186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45186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45186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45186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45186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45186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45186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45186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45186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45186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45186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45186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45186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45186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45186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45186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45186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45186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45186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45186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45186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45186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45186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45186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45186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45186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45186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45186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45186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45186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45186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45186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45186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45186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45186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45186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45186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45186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45186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45186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45186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45186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45186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45186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45186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45186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45186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45186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45186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45186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45186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45186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45186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45186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45186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45186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45186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45186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45186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45186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45186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45186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45186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45186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45186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45186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45186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45186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45186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45186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45186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45186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45186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45186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45186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45186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45186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45186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45186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45186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45186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45186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45186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45186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45186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45186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45186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45186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45186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45186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45186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45186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45186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45186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45186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45186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45186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45186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45186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45186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45186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45186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45186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45186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45186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45186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45186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45186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45186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45186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45186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45186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45186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45186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45186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45186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45186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45186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45186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45186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45186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45186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45186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45186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45186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45186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45186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45186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45186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45186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45186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45186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45186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45186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45186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45186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45186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45186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45186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45186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45186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45186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45186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45186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45186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45186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45186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45186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45186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45186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45186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45186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45186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45186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45186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45186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45186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45186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45186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45186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45186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45186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45186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45186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45186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45186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45186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45186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45186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45186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45186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45186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45186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45186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45186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45186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45186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45186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45186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45186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45186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45186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45186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45186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45186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45186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45186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45186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45186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45186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45186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45186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45186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45186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45186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45186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45186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45186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45186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45186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45186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45186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45186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45186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45186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45186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45186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45186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45186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45186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45186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45186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45186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45186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45186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45186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45186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45186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45186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45186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45186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45186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45186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45186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45186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45186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45186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45186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45186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45186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45186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45186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45186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45186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45186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45186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45186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45186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45186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45186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45186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45186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45186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45186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45186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45186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45186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45186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45186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45186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45186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45186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45186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45186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45186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45186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45186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45186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45186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45186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45186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45186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45186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45186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45186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45186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45186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45186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45186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45186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45186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45186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45186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45186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45186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45186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45186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45186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45186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45186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45186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45186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45186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45186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45186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45186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45186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45186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45186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45186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45186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45186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45186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45186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45186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45186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45186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45186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45186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45186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45186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45186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45186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45186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45186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45186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45186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45186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45186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45186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45186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45186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45186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45186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45186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45186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45186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45186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45186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45186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45186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45186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45186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45186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45186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45186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45186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45186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45186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45186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45186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45186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45186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45186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45186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45186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45186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45186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45186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45186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45186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45186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45186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45186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45186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45186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45186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45186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45186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45186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45186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45186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45186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45186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45186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45186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45186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45186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45186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45186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45186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45186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45186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45186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45186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45186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45186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45186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45186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45186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45186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45186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45186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45186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45186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45186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45186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45186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45186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45186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45186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45186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45186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45186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45186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45186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45186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45186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45186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45186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45186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45186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45186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45186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45186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45186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45186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45186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45186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45186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45186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45186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45186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45186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45186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45186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45186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45186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45186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45186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45186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45186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45186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45186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45186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45186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45186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45186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45186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45186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45186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45186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45186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45186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45186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45186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45186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45186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45186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45186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45186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45186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45186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45186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45186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45186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45186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45186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45186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45186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45186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45186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45186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45186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45186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45186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45186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45186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45186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45186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45186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45186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45186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45186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45186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45186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45186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45186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45186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45186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45186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45186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45186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45186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45186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45186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45186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45186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45186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45186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45186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45186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45186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45186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45186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45186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45186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45186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45186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45186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45186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45186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45186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45186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45186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45186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45186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45186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45186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45186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45186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45186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45186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45186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45186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45186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45186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45186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45186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45186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45186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45186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45186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45186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45186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45186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45186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45186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45186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45186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45186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45186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45186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45186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45186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45186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45186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45186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45186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45186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45186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45186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45186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45186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45186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45186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45186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45186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45186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45186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45186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45186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45186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45186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45186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45186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45186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45186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45186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45186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45186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45186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45186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45186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45186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45186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45186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45186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45186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45186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45186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45186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45186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45186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45186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45186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45186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45186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45186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45186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45186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45186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45186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45186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45186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45186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45186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45186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45186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45186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45186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45186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45186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45186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45186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45186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45186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45186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45186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45186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45186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45186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45186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45186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45186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45186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45186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45186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45186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45186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45186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45186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45186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45186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45186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45186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45186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45186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45186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45186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45186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45186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45186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45186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45186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45186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45186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45186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45186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45186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45186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45186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45186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45186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45186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45186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45186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45186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45186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45186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45186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45186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45186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45186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45186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45186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45186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45186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45186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45186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45186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45186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45186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45186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45186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45186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45186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45186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45186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45186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45186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45186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45186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45186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45186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45186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45186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45186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45186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45186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45186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45186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45186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45186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45186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45186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45186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45186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45186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45186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45186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45186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45186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45186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45186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45186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45186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45186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45186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45186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45186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45186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45186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45186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45186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45186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45186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45186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45186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45186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45186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45186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45186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45186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45186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45186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45186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45186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45186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45186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45186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45186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45186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45186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45186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45186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45186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45186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45186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45186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45186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45186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45186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45186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45186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45186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45186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45186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45186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45186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45186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45186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45186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45186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45186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45186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45186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45186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45186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45186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45186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45186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45186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45186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45186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45186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45186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45186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45186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45186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45186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45186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45186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45186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45186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45186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45186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45186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45186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45186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45186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45186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45186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45186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45186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45186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45186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45186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45186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45186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45186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45186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45186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45186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45186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45186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45186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45186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45186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45186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45186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45186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45186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45186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45186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45186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45186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45186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45186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45186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45186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45186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45186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45186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45186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45186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45186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45186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45186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45186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45186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45186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45186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45186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45186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45186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45186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45186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45186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45186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45186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45186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45186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45186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45186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45186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45186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45186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45186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45186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45186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45186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45186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45186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45186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45186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45186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45186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45186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45186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45186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45186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45186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45186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45186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45186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45186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45186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45186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45186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45186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45186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45186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45186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45186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45186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45186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45186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45186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45186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45186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45186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45186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45186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45186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45186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45186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45186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45186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45186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45186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45186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45186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45186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45186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45186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45186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45186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45186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45186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45186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45186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45186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45186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45186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45186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45186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45186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45186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45186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45186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45186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45186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45186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45186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45186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45186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45186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45186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45186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45186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45186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45186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45186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45186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45186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45186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45186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45186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45186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45186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45186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45186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45186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45186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45186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45186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45186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45186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45186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45186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45186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45186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45186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45186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45186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45186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45186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45186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45186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45186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45186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45186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45186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45186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45186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45186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45186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45186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45186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45186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45186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45186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45186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45186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45186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45186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45186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45186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45186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45186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45186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45186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45186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45186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45186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45186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45186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45186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45186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45186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45186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45186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45186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45186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45186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45186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45186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45186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45186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45186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45186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45186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45186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45186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45186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45186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45186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45186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45186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45186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45186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45186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45186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45186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45186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45186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45186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45186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45186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45186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45186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45186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45186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45186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45186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45186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45186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45186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45186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45186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45186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45186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45186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45186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45186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45186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45186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45186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45186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45186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45186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45186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45186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45186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45186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45186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45186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45186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45186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45186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45186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45186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45186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45186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45186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45186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45186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45186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45186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45186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45186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45186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45186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45186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45186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45186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45186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45186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45186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45186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45186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45186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45186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45186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45186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45186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45186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45186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45186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45186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45186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45186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45186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45186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45186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45186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45186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45186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45186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45186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45186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45186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45186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45186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45186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45186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45186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45186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45186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45186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45186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45186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45186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45186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45186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45186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45186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45186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45186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45186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45186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45186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45186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45186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45186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45186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45186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45186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45186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45186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45186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45186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45186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45186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45186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45186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45186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45186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45186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45186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45186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45186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45186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45186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45186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45186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45186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45186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45186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45186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45186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45186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45186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45186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45186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45186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45186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45186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45186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45186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45186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45186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45186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45186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45186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45186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45186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45186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45186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45186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45186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45186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45186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45186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45186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45186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45186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45186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45186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45186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45186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45186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45186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45186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45186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45186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45186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45186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45186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45186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45186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45186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45186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45186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45186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45186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45186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45186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45186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45186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45186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45186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45186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45186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45186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45186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45186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45186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45186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45186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45186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45186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45186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45186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45186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45186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45186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45186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45186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45186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45186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45186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45186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45186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45186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45186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45186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45186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45186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45186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45186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45186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45186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45186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45186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45186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45186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45186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45186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45186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45186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45186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45186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45186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45186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45186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45186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45186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45186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45186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45186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45186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45186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45186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45186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45186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45186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45186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45186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45186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45186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45186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45186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45186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45186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45186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45186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45186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45186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45186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45186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45186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45186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45186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45186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45186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45186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45186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45186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45186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45186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45186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45186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45186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45186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45186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45186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45186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45186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45186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45186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45186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45186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45186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45186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45186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45186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45186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45186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45186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45186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45186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45186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45186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45186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45186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45186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45186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45186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45186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45186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45186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45186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45186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45186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45186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45186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45186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45186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45186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45186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45186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45186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45186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45186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45186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45186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45186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45186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45186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45186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45186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45186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45186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45186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45186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45186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45186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45186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45186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45186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45186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45186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45186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45186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45186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8452-2022.png", "A 8452-2022")</f>
        <v/>
      </c>
      <c r="V3912">
        <f>HYPERLINK("https://klasma.github.io/Logging_VETLANDA/klagomål/A 8452-2022.docx", "A 8452-2022")</f>
        <v/>
      </c>
      <c r="W3912">
        <f>HYPERLINK("https://klasma.github.io/Logging_VETLANDA/klagomålsmail/A 8452-2022.docx", "A 8452-2022")</f>
        <v/>
      </c>
      <c r="X3912">
        <f>HYPERLINK("https://klasma.github.io/Logging_VETLANDA/tillsyn/A 8452-2022.docx", "A 8452-2022")</f>
        <v/>
      </c>
      <c r="Y3912">
        <f>HYPERLINK("https://klasma.github.io/Logging_VETLANDA/tillsynsmail/A 8452-2022.docx", "A 8452-2022")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45186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45186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45186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45186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45186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45186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45186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45186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45186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45186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45186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45186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45186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45186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45186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45186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45186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45186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45186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45186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45186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45186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45186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45186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45186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45186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45186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45186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45186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45186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45186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45186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45186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45186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45186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45186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45186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45186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45186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45186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45186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45186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45186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45186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45186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45186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45186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45186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45186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45186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45186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45186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45186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45186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45186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45186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45186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45186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45186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45186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45186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45186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45186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45186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45186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45186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45186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45186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45186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45186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45186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45186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45186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45186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45186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45186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45186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45186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45186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45186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45186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45186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45186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45186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45186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45186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45186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45186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45186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45186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45186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45186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45186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45186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45186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45186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45186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45186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45186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45186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45186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45186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45186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45186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45186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45186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45186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45186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45186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45186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45186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45186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45186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45186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45186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45186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45186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45186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45186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45186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45186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45186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45186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45186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45186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45186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45186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45186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45186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45186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45186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45186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45186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45186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45186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45186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45186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45186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45186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45186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45186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45186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45186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45186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45186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45186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45186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45186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45186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45186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45186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45186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45186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45186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45186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45186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45186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45186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45186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45186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45186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45186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45186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45186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45186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45186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45186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45186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45186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45186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45186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45186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45186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45186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45186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45186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45186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45186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45186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45186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45186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45186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45186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45186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45186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45186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45186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45186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45186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45186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45186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45186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45186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45186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45186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45186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45186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45186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45186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45186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45186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45186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45186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45186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45186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45186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45186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45186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45186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45186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45186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45186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45186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45186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45186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45186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45186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45186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45186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45186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45186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45186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45186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45186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45186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45186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45186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45186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45186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45186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45186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45186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45186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45186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45186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45186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45186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45186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45186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45186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45186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45186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45186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45186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45186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45186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45186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45186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45186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45186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45186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45186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45186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45186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45186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45186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45186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45186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45186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45186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45186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45186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45186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45186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45186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45186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45186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45186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45186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45186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45186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45186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45186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45186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45186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45186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45186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45186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45186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45186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45186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45186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45186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45186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45186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45186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45186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45186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45186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45186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45186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45186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45186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45186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45186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45186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45186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45186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45186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45186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45186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45186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45186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45186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45186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45186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45186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45186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45186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45186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45186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45186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45186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45186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45186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45186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45186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45186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45186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45186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45186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45186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45186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45186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45186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45186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45186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45186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45186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45186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45186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45186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45186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45186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45186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45186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45186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45186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45186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45186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45186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45186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45186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45186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45186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45186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45186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45186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45186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45186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45186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45186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45186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45186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45186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45186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45186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45186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45186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45186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45186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45186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45186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45186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45186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45186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45186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45186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45186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45186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45186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45186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45186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45186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45186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45186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45186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45186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45186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45186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45186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45186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45186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45186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45186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45186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45186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45186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45186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45186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45186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45186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45186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45186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45186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45186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45186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45186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45186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45186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45186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45186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45186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45186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45186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45186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45186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45186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45186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45186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45186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45186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45186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45186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45186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45186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45186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45186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45186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45186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45186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45186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45186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45186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45186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45186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45186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45186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45186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45186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45186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45186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45186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45186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45186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45186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45186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45186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45186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45186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45186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45186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45186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45186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45186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45186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45186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45186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45186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45186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45186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45186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45186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45186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45186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45186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45186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45186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45186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45186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45186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45186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45186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45186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45186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45186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45186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45186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45186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45186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45186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45186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45186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45186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45186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45186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45186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45186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45186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45186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45186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45186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45186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45186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45186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45186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45186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45186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45186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45186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45186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45186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45186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45186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45186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45186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45186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45186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45186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45186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45186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45186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45186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45186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45186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45186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45186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45186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45186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45186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45186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45186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45186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45186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45186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45186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45186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45186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45186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45186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45186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45186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45186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45186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45186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45186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45186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45186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45186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45186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45186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45186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45186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45186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45186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45186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45186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45186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45186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45186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45186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45186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45186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45186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45186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45186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45186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45186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45186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45186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45186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45186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45186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45186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45186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45186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45186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45186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45186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45186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45186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45186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45186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45186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45186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45186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45186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45186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45186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45186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45186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45186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45186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45186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45186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45186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45186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45186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45186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45186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45186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45186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45186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45186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45186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45186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45186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45186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45186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45186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45186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45186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45186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45186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45186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45186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45186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45186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45186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45186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45186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45186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45186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45186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45186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45186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45186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45186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45186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45186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45186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45186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45186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45186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45186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45186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45186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45186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45186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45186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45186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45186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45186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45186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45186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45186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45186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45186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45186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45186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45186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45186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45186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45186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45186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45186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45186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45186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45186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45186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45186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45186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45186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45186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45186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45186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45186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45186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45186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45186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45186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45186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45186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45186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45186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45186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45186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45186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45186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45186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45186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45186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45186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45186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45186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45186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45186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45186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45186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45186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45186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45186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45186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45186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45186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45186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45186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45186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45186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45186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45186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45186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45186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45186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45186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45186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45186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45186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45186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45186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45186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45186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45186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45186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45186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45186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45186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45186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45186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45186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45186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45186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45186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45186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45186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45186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45186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45186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45186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45186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45186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45186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45186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45186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45186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45186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45186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45186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45186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45186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45186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45186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45186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45186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45186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45186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45186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45186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45186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45186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45186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45186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45186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45186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45186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45186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45186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45186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45186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45186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45186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45186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45186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45186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45186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45186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45186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45186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45186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45186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45186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45186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45186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45186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45186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45186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45186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45186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45186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45186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45186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45186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45186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45186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45186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45186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45186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45186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45186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45186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45186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45186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45186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45186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45186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45186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45186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45186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45186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45186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45186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45186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45186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45186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45186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45186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45186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45186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45186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45186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45186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45186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45186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45186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45186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45186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45186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45186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45186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45186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45186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45186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45186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  <c r="U4715">
        <f>HYPERLINK("https://klasma.github.io/Logging_MULLSJO/knärot/A 7181-2023.png", "A 7181-2023")</f>
        <v/>
      </c>
      <c r="V4715">
        <f>HYPERLINK("https://klasma.github.io/Logging_MULLSJO/klagomål/A 7181-2023.docx", "A 7181-2023")</f>
        <v/>
      </c>
      <c r="W4715">
        <f>HYPERLINK("https://klasma.github.io/Logging_MULLSJO/klagomålsmail/A 7181-2023.docx", "A 7181-2023")</f>
        <v/>
      </c>
      <c r="X4715">
        <f>HYPERLINK("https://klasma.github.io/Logging_MULLSJO/tillsyn/A 7181-2023.docx", "A 7181-2023")</f>
        <v/>
      </c>
      <c r="Y4715">
        <f>HYPERLINK("https://klasma.github.io/Logging_MULLSJO/tillsynsmail/A 7181-2023.docx", "A 7181-2023")</f>
        <v/>
      </c>
    </row>
    <row r="4716" ht="15" customHeight="1">
      <c r="A4716" t="inlineStr">
        <is>
          <t>A 7285-2023</t>
        </is>
      </c>
      <c r="B4716" s="1" t="n">
        <v>44970</v>
      </c>
      <c r="C4716" s="1" t="n">
        <v>45186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45186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45186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45186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45186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45186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45186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45186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45186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45186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45186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45186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45186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45186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45186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45186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45186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45186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45186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45186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45186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45186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45186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45186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45186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45186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45186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45186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45186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45186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45186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45186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45186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45186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45186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45186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45186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45186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45186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45186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45186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45186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45186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45186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45186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45186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45186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45186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45186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45186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45186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45186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45186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45186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45186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45186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45186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45186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45186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45186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45186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45186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45186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45186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45186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45186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45186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45186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45186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45186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45186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45186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45186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45186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45186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45186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45186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45186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45186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45186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45186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45186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45186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45186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45186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12653-2023.png", "A 12653-2023")</f>
        <v/>
      </c>
      <c r="V4800">
        <f>HYPERLINK("https://klasma.github.io/Logging_JONKOPING/klagomål/A 12653-2023.docx", "A 12653-2023")</f>
        <v/>
      </c>
      <c r="W4800">
        <f>HYPERLINK("https://klasma.github.io/Logging_JONKOPING/klagomålsmail/A 12653-2023.docx", "A 12653-2023")</f>
        <v/>
      </c>
      <c r="X4800">
        <f>HYPERLINK("https://klasma.github.io/Logging_JONKOPING/tillsyn/A 12653-2023.docx", "A 12653-2023")</f>
        <v/>
      </c>
      <c r="Y4800">
        <f>HYPERLINK("https://klasma.github.io/Logging_JONKOPING/tillsynsmail/A 12653-2023.docx", "A 12653-2023")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45186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45186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45186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45186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45186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45186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45186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45186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45186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45186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45186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45186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45186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45186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45186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45186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45186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45186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45186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45186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45186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45186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45186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45186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45186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45186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45186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45186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45186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45186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45186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45186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45186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45186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45186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45186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45186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45186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45186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45186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45186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45186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45186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45186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45186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45186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45186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45186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45186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45186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45186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45186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45186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45186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45186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45186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45186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45186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45186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45186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45186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45186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45186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45186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45186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45186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45186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45186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45186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45186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45186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45186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45186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45186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45186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45186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45186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45186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45186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45186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45186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45186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45186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45186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45186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45186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45186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45186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45186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45186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45186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45186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45186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45186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45186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45186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45186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45186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45186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45186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45186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45186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45186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45186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45186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45186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45186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45186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45186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45186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45186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45186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45186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45186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45186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45186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45186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45186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45186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45186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45186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45186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45186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45186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17486-2023.png", "A 17486-2023")</f>
        <v/>
      </c>
      <c r="V4924">
        <f>HYPERLINK("https://klasma.github.io/Logging_JONKOPING/klagomål/A 17486-2023.docx", "A 17486-2023")</f>
        <v/>
      </c>
      <c r="W4924">
        <f>HYPERLINK("https://klasma.github.io/Logging_JONKOPING/klagomålsmail/A 17486-2023.docx", "A 17486-2023")</f>
        <v/>
      </c>
      <c r="X4924">
        <f>HYPERLINK("https://klasma.github.io/Logging_JONKOPING/tillsyn/A 17486-2023.docx", "A 17486-2023")</f>
        <v/>
      </c>
      <c r="Y4924">
        <f>HYPERLINK("https://klasma.github.io/Logging_JONKOPING/tillsynsmail/A 17486-2023.docx", "A 17486-2023")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45186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45186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45186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45186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45186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45186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45186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45186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45186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45186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45186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45186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45186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45186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45186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45186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45186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45186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45186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45186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45186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45186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45186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45186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45186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45186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45186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45186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45186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45186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45186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45186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45186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45186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45186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45186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45186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45186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45186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45186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45186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45186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45186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45186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45186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45186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45186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45186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45186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45186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45186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45186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45186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45186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45186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45186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45186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45186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45186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45186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45186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45186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45186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45186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45186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45186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45186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45186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45186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45186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45186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45186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45186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45186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45186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45186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45186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45186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45186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45186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45186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45186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45186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45186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45186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45186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45186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45186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45186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45186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45186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45186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45186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45186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45186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45186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45186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45186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45186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45186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45186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45186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45186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45186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45186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45186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45186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45186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45186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45186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45186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45186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45186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45186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45186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45186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45186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45186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45186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45186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45186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45186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45186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45186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45186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45186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45186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45186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45186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45186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45186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45186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45186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45186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45186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45186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45186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45186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45186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45186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45186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45186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45186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45186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45186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45186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45186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45186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45186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45186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45186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45186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45186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45186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45186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45186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45186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45186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45186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45186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45186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45186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45186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45186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45186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45186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45186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45186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45186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45186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45186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45186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45186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45186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45186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45186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45186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45186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45186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45186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45186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45186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45186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45186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45186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45186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45186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45186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45186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45186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45186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45186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45186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45186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45186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45186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45186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45186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45186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45186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45186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45186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45186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45186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45186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45186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45186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45186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45186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45186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45186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45186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45186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45186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45186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45186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45186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45186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45186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45186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45186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45186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45186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45186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45186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45186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45186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45186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45186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45186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45186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45186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45186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45186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45186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45186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45186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45186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45186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45186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45186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45186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45186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45186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45186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45186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45186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45186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45186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45186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45186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45186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45186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45186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45186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45186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45186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45186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45186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45186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45186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45186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45186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45186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45186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45186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45186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45186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45186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45186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45186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45186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45186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45186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45186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45186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45186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45186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45186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45186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45186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45186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45186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45186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45186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45186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45186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45186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45186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45186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45186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45186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45186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45186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45186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45186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45186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45186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45186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45186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45186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45186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45186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45186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45186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45186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45186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45186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45186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45186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45186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45186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45186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45186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45186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45186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45186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45186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45186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45186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45186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45186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45186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45186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45186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45186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45186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45186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45186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45186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45186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45186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45186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45186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45186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45186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45186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45186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45186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45186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45186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45186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45186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45186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45186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45186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45186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45186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45186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45186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45186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45186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45186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45186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45186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45186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45186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45186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45186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45186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45186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45186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45186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45186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45186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45186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45186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45186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45186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45186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45186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45186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45186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45186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45186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45186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45186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45186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45186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45186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45186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45186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45186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45186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45186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45186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45186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45186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45186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45186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45186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45186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45186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45186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45186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45186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45186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45186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45186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45186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45186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45186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45186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45186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45186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45186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45186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45186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45186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45186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45186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45186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45186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45186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45186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45186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45186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45186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45186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45186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45186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45186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45186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45186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45186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45186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45186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45186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45186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45186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45186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45186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45186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45186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45186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45186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45186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45186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45186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45186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45186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45186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45186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45186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45186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45186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45186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45186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45186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45186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45186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45186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45186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45186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45186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45186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45186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45186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45186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45186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45186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45186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45186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45186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45186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45186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45186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45186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45186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45186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45186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45186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45186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45186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45186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45186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45186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45186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45186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45186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45186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45186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45186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45186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45186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41746-2023</t>
        </is>
      </c>
      <c r="B5410" s="1" t="n">
        <v>45176</v>
      </c>
      <c r="C5410" s="1" t="n">
        <v>45186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42634-2023</t>
        </is>
      </c>
      <c r="B5411" s="1" t="n">
        <v>45181</v>
      </c>
      <c r="C5411" s="1" t="n">
        <v>45186</v>
      </c>
      <c r="D5411" t="inlineStr">
        <is>
          <t>JÖNKÖPINGS LÄN</t>
        </is>
      </c>
      <c r="E5411" t="inlineStr">
        <is>
          <t>JÖNKÖPING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42757-2023</t>
        </is>
      </c>
      <c r="B5412" s="1" t="n">
        <v>45181</v>
      </c>
      <c r="C5412" s="1" t="n">
        <v>45186</v>
      </c>
      <c r="D5412" t="inlineStr">
        <is>
          <t>JÖNKÖPINGS LÄN</t>
        </is>
      </c>
      <c r="E5412" t="inlineStr">
        <is>
          <t>VETLANDA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42797-2023</t>
        </is>
      </c>
      <c r="B5413" s="1" t="n">
        <v>45182</v>
      </c>
      <c r="C5413" s="1" t="n">
        <v>45186</v>
      </c>
      <c r="D5413" t="inlineStr">
        <is>
          <t>JÖNKÖPINGS LÄN</t>
        </is>
      </c>
      <c r="E5413" t="inlineStr">
        <is>
          <t>ANEBY</t>
        </is>
      </c>
      <c r="G5413" t="n">
        <v>2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42830-2023</t>
        </is>
      </c>
      <c r="B5414" s="1" t="n">
        <v>45182</v>
      </c>
      <c r="C5414" s="1" t="n">
        <v>45186</v>
      </c>
      <c r="D5414" t="inlineStr">
        <is>
          <t>JÖNKÖPINGS LÄN</t>
        </is>
      </c>
      <c r="E5414" t="inlineStr">
        <is>
          <t>VAGGERYD</t>
        </is>
      </c>
      <c r="G5414" t="n">
        <v>1.3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43063-2023</t>
        </is>
      </c>
      <c r="B5415" s="1" t="n">
        <v>45182</v>
      </c>
      <c r="C5415" s="1" t="n">
        <v>45186</v>
      </c>
      <c r="D5415" t="inlineStr">
        <is>
          <t>JÖNKÖPINGS LÄN</t>
        </is>
      </c>
      <c r="E5415" t="inlineStr">
        <is>
          <t>JÖNKÖPING</t>
        </is>
      </c>
      <c r="G5415" t="n">
        <v>0.5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42838-2023</t>
        </is>
      </c>
      <c r="B5416" s="1" t="n">
        <v>45182</v>
      </c>
      <c r="C5416" s="1" t="n">
        <v>45186</v>
      </c>
      <c r="D5416" t="inlineStr">
        <is>
          <t>JÖNKÖPINGS LÄN</t>
        </is>
      </c>
      <c r="E5416" t="inlineStr">
        <is>
          <t>JÖNKÖPING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43061-2023</t>
        </is>
      </c>
      <c r="B5417" s="1" t="n">
        <v>45182</v>
      </c>
      <c r="C5417" s="1" t="n">
        <v>45186</v>
      </c>
      <c r="D5417" t="inlineStr">
        <is>
          <t>JÖNKÖPINGS LÄN</t>
        </is>
      </c>
      <c r="E5417" t="inlineStr">
        <is>
          <t>JÖNKÖPING</t>
        </is>
      </c>
      <c r="G5417" t="n">
        <v>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43485-2023</t>
        </is>
      </c>
      <c r="B5418" s="1" t="n">
        <v>45184</v>
      </c>
      <c r="C5418" s="1" t="n">
        <v>45186</v>
      </c>
      <c r="D5418" t="inlineStr">
        <is>
          <t>JÖNKÖPINGS LÄN</t>
        </is>
      </c>
      <c r="E5418" t="inlineStr">
        <is>
          <t>ANEBY</t>
        </is>
      </c>
      <c r="G5418" t="n">
        <v>3.4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43489-2023</t>
        </is>
      </c>
      <c r="B5419" s="1" t="n">
        <v>45184</v>
      </c>
      <c r="C5419" s="1" t="n">
        <v>45186</v>
      </c>
      <c r="D5419" t="inlineStr">
        <is>
          <t>JÖNKÖPINGS LÄN</t>
        </is>
      </c>
      <c r="E5419" t="inlineStr">
        <is>
          <t>EKSJÖ</t>
        </is>
      </c>
      <c r="G5419" t="n">
        <v>1.4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>
      <c r="A5420" t="inlineStr">
        <is>
          <t>A 43483-2023</t>
        </is>
      </c>
      <c r="B5420" s="1" t="n">
        <v>45184</v>
      </c>
      <c r="C5420" s="1" t="n">
        <v>45186</v>
      </c>
      <c r="D5420" t="inlineStr">
        <is>
          <t>JÖNKÖPINGS LÄN</t>
        </is>
      </c>
      <c r="E5420" t="inlineStr">
        <is>
          <t>EKSJÖ</t>
        </is>
      </c>
      <c r="G5420" t="n">
        <v>1.2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2023-09-17T06:46:57Z</dcterms:created>
  <dcterms:modified xmlns:dcterms="http://purl.org/dc/terms/" xmlns:xsi="http://www.w3.org/2001/XMLSchema-instance" xsi:type="dcterms:W3CDTF">2023-09-17T06:46:59Z</dcterms:modified>
</cp:coreProperties>
</file>